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dxac-my.sharepoint.com/personal/a_n_turner_mdx_ac_uk/Documents/My lectures/Luca Italy/Testing in RTP and HPS/Morandini/"/>
    </mc:Choice>
  </mc:AlternateContent>
  <xr:revisionPtr revIDLastSave="60" documentId="8_{02562E4D-3761-4543-9E4B-74B4F4F883C0}" xr6:coauthVersionLast="47" xr6:coauthVersionMax="47" xr10:uidLastSave="{B541DD00-ECE2-40BA-B50E-8AB627CEE0D0}"/>
  <bookViews>
    <workbookView xWindow="440" yWindow="0" windowWidth="18560" windowHeight="9360" firstSheet="3" activeTab="3" xr2:uid="{4EB6CF92-5BE3-4B8E-BA42-AE21F3FBB6AB}"/>
  </bookViews>
  <sheets>
    <sheet name="CV" sheetId="5" r:id="rId1"/>
    <sheet name="CV_Answers" sheetId="6" r:id="rId2"/>
    <sheet name="Performance_Prev_Base" sheetId="1" r:id="rId3"/>
    <sheet name="Performance_Answers" sheetId="2" r:id="rId4"/>
    <sheet name="Readiness" sheetId="3" r:id="rId5"/>
    <sheet name="Readiness_Answers" sheetId="4" r:id="rId6"/>
    <sheet name="TSA" sheetId="8" r:id="rId7"/>
    <sheet name="TSA_answers" sheetId="7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6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F34" i="7"/>
  <c r="E34" i="7"/>
  <c r="I32" i="7" s="1"/>
  <c r="D34" i="7"/>
  <c r="H32" i="7" s="1"/>
  <c r="C34" i="7"/>
  <c r="J33" i="7"/>
  <c r="F33" i="7"/>
  <c r="E33" i="7"/>
  <c r="D33" i="7"/>
  <c r="C33" i="7"/>
  <c r="J32" i="7"/>
  <c r="G32" i="7"/>
  <c r="J31" i="7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G33" i="7" s="1"/>
  <c r="D29" i="6"/>
  <c r="C29" i="6"/>
  <c r="B29" i="6"/>
  <c r="H28" i="6"/>
  <c r="G28" i="6"/>
  <c r="F28" i="6"/>
  <c r="E28" i="6"/>
  <c r="H27" i="6"/>
  <c r="G27" i="6"/>
  <c r="F27" i="6"/>
  <c r="E27" i="6"/>
  <c r="H26" i="6"/>
  <c r="G26" i="6"/>
  <c r="F26" i="6"/>
  <c r="E26" i="6"/>
  <c r="H25" i="6"/>
  <c r="G25" i="6"/>
  <c r="F25" i="6"/>
  <c r="E25" i="6"/>
  <c r="H24" i="6"/>
  <c r="G24" i="6"/>
  <c r="F24" i="6"/>
  <c r="E24" i="6"/>
  <c r="H23" i="6"/>
  <c r="G23" i="6"/>
  <c r="F23" i="6"/>
  <c r="E23" i="6"/>
  <c r="H22" i="6"/>
  <c r="G22" i="6"/>
  <c r="F22" i="6"/>
  <c r="E22" i="6"/>
  <c r="H21" i="6"/>
  <c r="G21" i="6"/>
  <c r="F21" i="6"/>
  <c r="E21" i="6"/>
  <c r="H20" i="6"/>
  <c r="G20" i="6"/>
  <c r="F20" i="6"/>
  <c r="E20" i="6"/>
  <c r="H19" i="6"/>
  <c r="G19" i="6"/>
  <c r="F19" i="6"/>
  <c r="E19" i="6"/>
  <c r="H18" i="6"/>
  <c r="G18" i="6"/>
  <c r="F18" i="6"/>
  <c r="E18" i="6"/>
  <c r="H17" i="6"/>
  <c r="G17" i="6"/>
  <c r="F17" i="6"/>
  <c r="E17" i="6"/>
  <c r="H16" i="6"/>
  <c r="G16" i="6"/>
  <c r="F16" i="6"/>
  <c r="E16" i="6"/>
  <c r="H15" i="6"/>
  <c r="G15" i="6"/>
  <c r="F15" i="6"/>
  <c r="E15" i="6"/>
  <c r="H14" i="6"/>
  <c r="G14" i="6"/>
  <c r="F14" i="6"/>
  <c r="E14" i="6"/>
  <c r="H13" i="6"/>
  <c r="G13" i="6"/>
  <c r="F13" i="6"/>
  <c r="E13" i="6"/>
  <c r="H12" i="6"/>
  <c r="G12" i="6"/>
  <c r="F12" i="6"/>
  <c r="E12" i="6"/>
  <c r="H11" i="6"/>
  <c r="G11" i="6"/>
  <c r="F11" i="6"/>
  <c r="E11" i="6"/>
  <c r="H10" i="6"/>
  <c r="G10" i="6"/>
  <c r="F10" i="6"/>
  <c r="E10" i="6"/>
  <c r="H9" i="6"/>
  <c r="G9" i="6"/>
  <c r="F9" i="6"/>
  <c r="E9" i="6"/>
  <c r="H8" i="6"/>
  <c r="G8" i="6"/>
  <c r="F8" i="6"/>
  <c r="E8" i="6"/>
  <c r="H7" i="6"/>
  <c r="G7" i="6"/>
  <c r="F7" i="6"/>
  <c r="E7" i="6"/>
  <c r="H6" i="6"/>
  <c r="G6" i="6"/>
  <c r="F6" i="6"/>
  <c r="E6" i="6"/>
  <c r="H5" i="6"/>
  <c r="H29" i="6" s="1"/>
  <c r="G5" i="6"/>
  <c r="F5" i="6"/>
  <c r="E5" i="6"/>
  <c r="K19" i="7" l="1"/>
  <c r="K23" i="7"/>
  <c r="K27" i="7"/>
  <c r="K20" i="7"/>
  <c r="K28" i="7"/>
  <c r="K32" i="7"/>
  <c r="H9" i="7"/>
  <c r="K9" i="7" s="1"/>
  <c r="H10" i="7"/>
  <c r="H11" i="7"/>
  <c r="K11" i="7" s="1"/>
  <c r="H12" i="7"/>
  <c r="K12" i="7" s="1"/>
  <c r="H13" i="7"/>
  <c r="K13" i="7" s="1"/>
  <c r="H14" i="7"/>
  <c r="K14" i="7" s="1"/>
  <c r="H15" i="7"/>
  <c r="K15" i="7" s="1"/>
  <c r="H16" i="7"/>
  <c r="K16" i="7" s="1"/>
  <c r="H17" i="7"/>
  <c r="K17" i="7" s="1"/>
  <c r="H18" i="7"/>
  <c r="H19" i="7"/>
  <c r="H20" i="7"/>
  <c r="H21" i="7"/>
  <c r="K21" i="7" s="1"/>
  <c r="H22" i="7"/>
  <c r="K22" i="7" s="1"/>
  <c r="H23" i="7"/>
  <c r="H24" i="7"/>
  <c r="K24" i="7" s="1"/>
  <c r="H25" i="7"/>
  <c r="K25" i="7" s="1"/>
  <c r="H26" i="7"/>
  <c r="K26" i="7" s="1"/>
  <c r="H27" i="7"/>
  <c r="H28" i="7"/>
  <c r="H29" i="7"/>
  <c r="H30" i="7"/>
  <c r="K30" i="7" s="1"/>
  <c r="H31" i="7"/>
  <c r="K31" i="7" s="1"/>
  <c r="I9" i="7"/>
  <c r="I10" i="7"/>
  <c r="K10" i="7" s="1"/>
  <c r="I11" i="7"/>
  <c r="I12" i="7"/>
  <c r="I13" i="7"/>
  <c r="I14" i="7"/>
  <c r="I15" i="7"/>
  <c r="I16" i="7"/>
  <c r="I17" i="7"/>
  <c r="I18" i="7"/>
  <c r="K18" i="7" s="1"/>
  <c r="I19" i="7"/>
  <c r="I20" i="7"/>
  <c r="I21" i="7"/>
  <c r="I22" i="7"/>
  <c r="I23" i="7"/>
  <c r="I24" i="7"/>
  <c r="I25" i="7"/>
  <c r="I26" i="7"/>
  <c r="I27" i="7"/>
  <c r="I28" i="7"/>
  <c r="I29" i="7"/>
  <c r="K29" i="7" s="1"/>
  <c r="I30" i="7"/>
  <c r="I31" i="7"/>
  <c r="E29" i="6"/>
  <c r="F29" i="6"/>
  <c r="G29" i="6"/>
  <c r="N26" i="7" l="1"/>
  <c r="M26" i="7"/>
  <c r="L26" i="7"/>
  <c r="N10" i="7"/>
  <c r="M10" i="7"/>
  <c r="L10" i="7"/>
  <c r="L25" i="7"/>
  <c r="N25" i="7"/>
  <c r="M25" i="7"/>
  <c r="N9" i="7"/>
  <c r="M9" i="7"/>
  <c r="K33" i="7"/>
  <c r="L9" i="7"/>
  <c r="N24" i="7"/>
  <c r="M24" i="7"/>
  <c r="L24" i="7"/>
  <c r="N31" i="7"/>
  <c r="M31" i="7"/>
  <c r="L31" i="7"/>
  <c r="N30" i="7"/>
  <c r="M30" i="7"/>
  <c r="L30" i="7"/>
  <c r="N22" i="7"/>
  <c r="M22" i="7"/>
  <c r="L22" i="7"/>
  <c r="N21" i="7"/>
  <c r="M21" i="7"/>
  <c r="L21" i="7"/>
  <c r="N29" i="7"/>
  <c r="M29" i="7"/>
  <c r="L29" i="7"/>
  <c r="N12" i="7"/>
  <c r="M12" i="7"/>
  <c r="L12" i="7"/>
  <c r="L18" i="7"/>
  <c r="N18" i="7"/>
  <c r="M18" i="7"/>
  <c r="N17" i="7"/>
  <c r="M17" i="7"/>
  <c r="L17" i="7"/>
  <c r="N16" i="7"/>
  <c r="M16" i="7"/>
  <c r="L16" i="7"/>
  <c r="N15" i="7"/>
  <c r="M15" i="7"/>
  <c r="L15" i="7"/>
  <c r="N14" i="7"/>
  <c r="M14" i="7"/>
  <c r="L14" i="7"/>
  <c r="N13" i="7"/>
  <c r="M13" i="7"/>
  <c r="L13" i="7"/>
  <c r="N11" i="7"/>
  <c r="M11" i="7"/>
  <c r="L11" i="7"/>
  <c r="N27" i="7"/>
  <c r="M27" i="7"/>
  <c r="L27" i="7"/>
  <c r="N19" i="7"/>
  <c r="M19" i="7"/>
  <c r="L19" i="7"/>
  <c r="I33" i="7"/>
  <c r="N23" i="7"/>
  <c r="M23" i="7"/>
  <c r="L23" i="7"/>
  <c r="N28" i="7"/>
  <c r="M28" i="7"/>
  <c r="L28" i="7"/>
  <c r="H33" i="7"/>
  <c r="N32" i="7"/>
  <c r="M32" i="7"/>
  <c r="L32" i="7"/>
  <c r="N20" i="7"/>
  <c r="M20" i="7"/>
  <c r="L20" i="7"/>
  <c r="F17" i="4"/>
  <c r="F16" i="4"/>
  <c r="F15" i="4"/>
  <c r="F14" i="4"/>
  <c r="F13" i="4"/>
  <c r="H17" i="4"/>
  <c r="F12" i="4"/>
  <c r="H16" i="4"/>
  <c r="F11" i="4"/>
  <c r="H15" i="4"/>
  <c r="F10" i="4"/>
  <c r="H14" i="4"/>
  <c r="F9" i="4"/>
  <c r="I13" i="4"/>
  <c r="H8" i="4"/>
  <c r="F8" i="4"/>
  <c r="I12" i="4"/>
  <c r="F7" i="4"/>
  <c r="H10" i="4"/>
  <c r="F6" i="4"/>
  <c r="I10" i="4"/>
  <c r="J5" i="4"/>
  <c r="K5" i="4" s="1"/>
  <c r="I5" i="4"/>
  <c r="F5" i="4"/>
  <c r="H9" i="4"/>
  <c r="J4" i="4"/>
  <c r="K4" i="4" s="1"/>
  <c r="I4" i="4"/>
  <c r="F4" i="4"/>
  <c r="I8" i="4"/>
  <c r="J3" i="4"/>
  <c r="K3" i="4" s="1"/>
  <c r="I3" i="4"/>
  <c r="F3" i="4"/>
  <c r="H6" i="4"/>
  <c r="J2" i="4"/>
  <c r="K2" i="4" s="1"/>
  <c r="I2" i="4"/>
  <c r="F2" i="4"/>
  <c r="J10" i="4" l="1"/>
  <c r="K10" i="4" s="1"/>
  <c r="J8" i="4"/>
  <c r="K8" i="4" s="1"/>
  <c r="H13" i="4"/>
  <c r="J13" i="4" s="1"/>
  <c r="K13" i="4" s="1"/>
  <c r="I7" i="4"/>
  <c r="I6" i="4"/>
  <c r="J6" i="4" s="1"/>
  <c r="K6" i="4" s="1"/>
  <c r="I11" i="4"/>
  <c r="H12" i="4"/>
  <c r="J12" i="4" s="1"/>
  <c r="K12" i="4" s="1"/>
  <c r="H7" i="4"/>
  <c r="H11" i="4"/>
  <c r="I17" i="4"/>
  <c r="J17" i="4" s="1"/>
  <c r="K17" i="4" s="1"/>
  <c r="I9" i="4"/>
  <c r="J9" i="4" s="1"/>
  <c r="K9" i="4" s="1"/>
  <c r="I16" i="4"/>
  <c r="J16" i="4" s="1"/>
  <c r="K16" i="4" s="1"/>
  <c r="I15" i="4"/>
  <c r="J15" i="4" s="1"/>
  <c r="K15" i="4" s="1"/>
  <c r="I14" i="4"/>
  <c r="J14" i="4" s="1"/>
  <c r="K14" i="4" s="1"/>
  <c r="G13" i="2"/>
  <c r="F13" i="2"/>
  <c r="J13" i="2" s="1"/>
  <c r="G12" i="2"/>
  <c r="K13" i="2" s="1"/>
  <c r="F12" i="2"/>
  <c r="G11" i="2"/>
  <c r="I12" i="2" s="1"/>
  <c r="F11" i="2"/>
  <c r="H12" i="2" s="1"/>
  <c r="J10" i="2"/>
  <c r="L10" i="2" s="1"/>
  <c r="M10" i="2" s="1"/>
  <c r="G10" i="2"/>
  <c r="K11" i="2" s="1"/>
  <c r="F10" i="2"/>
  <c r="H11" i="2" s="1"/>
  <c r="G9" i="2"/>
  <c r="K10" i="2" s="1"/>
  <c r="F9" i="2"/>
  <c r="J9" i="2" s="1"/>
  <c r="O8" i="2"/>
  <c r="Q8" i="2" s="1"/>
  <c r="G8" i="2"/>
  <c r="I9" i="2" s="1"/>
  <c r="F8" i="2"/>
  <c r="G7" i="2"/>
  <c r="K8" i="2" s="1"/>
  <c r="F7" i="2"/>
  <c r="H8" i="2" s="1"/>
  <c r="K6" i="2"/>
  <c r="J6" i="2"/>
  <c r="L6" i="2" s="1"/>
  <c r="M6" i="2" s="1"/>
  <c r="G6" i="2"/>
  <c r="K7" i="2" s="1"/>
  <c r="F6" i="2"/>
  <c r="H7" i="2" s="1"/>
  <c r="G5" i="2"/>
  <c r="I6" i="2" s="1"/>
  <c r="F5" i="2"/>
  <c r="J5" i="2" s="1"/>
  <c r="O4" i="2"/>
  <c r="Q4" i="2" s="1"/>
  <c r="G4" i="2"/>
  <c r="K5" i="2" s="1"/>
  <c r="F4" i="2"/>
  <c r="O3" i="2"/>
  <c r="Q3" i="2" s="1"/>
  <c r="I3" i="2"/>
  <c r="G3" i="2"/>
  <c r="I4" i="2" s="1"/>
  <c r="F3" i="2"/>
  <c r="H4" i="2" s="1"/>
  <c r="O2" i="2"/>
  <c r="Q2" i="2" s="1"/>
  <c r="M2" i="2"/>
  <c r="G2" i="2"/>
  <c r="O11" i="2" s="1"/>
  <c r="Q11" i="2" s="1"/>
  <c r="F2" i="2"/>
  <c r="N11" i="2" s="1"/>
  <c r="J11" i="4" l="1"/>
  <c r="K11" i="4" s="1"/>
  <c r="J7" i="4"/>
  <c r="K7" i="4" s="1"/>
  <c r="L5" i="2"/>
  <c r="M5" i="2" s="1"/>
  <c r="L13" i="2"/>
  <c r="M13" i="2" s="1"/>
  <c r="P4" i="2"/>
  <c r="R4" i="2" s="1"/>
  <c r="S4" i="2" s="1"/>
  <c r="O7" i="2"/>
  <c r="Q7" i="2" s="1"/>
  <c r="I8" i="2"/>
  <c r="K9" i="2"/>
  <c r="L9" i="2" s="1"/>
  <c r="M9" i="2" s="1"/>
  <c r="N2" i="2"/>
  <c r="H3" i="2"/>
  <c r="P3" i="2"/>
  <c r="R3" i="2" s="1"/>
  <c r="S3" i="2" s="1"/>
  <c r="J4" i="2"/>
  <c r="N6" i="2"/>
  <c r="P6" i="2" s="1"/>
  <c r="P7" i="2"/>
  <c r="R7" i="2" s="1"/>
  <c r="S7" i="2" s="1"/>
  <c r="J8" i="2"/>
  <c r="L8" i="2" s="1"/>
  <c r="M8" i="2" s="1"/>
  <c r="N10" i="2"/>
  <c r="P10" i="2" s="1"/>
  <c r="P11" i="2"/>
  <c r="R11" i="2" s="1"/>
  <c r="S11" i="2" s="1"/>
  <c r="J12" i="2"/>
  <c r="O10" i="2"/>
  <c r="Q10" i="2" s="1"/>
  <c r="I11" i="2"/>
  <c r="K12" i="2"/>
  <c r="K4" i="2"/>
  <c r="O6" i="2"/>
  <c r="Q6" i="2" s="1"/>
  <c r="I7" i="2"/>
  <c r="P2" i="2"/>
  <c r="R2" i="2" s="1"/>
  <c r="S2" i="2" s="1"/>
  <c r="J3" i="2"/>
  <c r="N5" i="2"/>
  <c r="P5" i="2" s="1"/>
  <c r="R5" i="2" s="1"/>
  <c r="S5" i="2" s="1"/>
  <c r="H6" i="2"/>
  <c r="J7" i="2"/>
  <c r="L7" i="2" s="1"/>
  <c r="M7" i="2" s="1"/>
  <c r="N9" i="2"/>
  <c r="P9" i="2" s="1"/>
  <c r="H10" i="2"/>
  <c r="J11" i="2"/>
  <c r="L11" i="2" s="1"/>
  <c r="M11" i="2" s="1"/>
  <c r="N13" i="2"/>
  <c r="K3" i="2"/>
  <c r="O5" i="2"/>
  <c r="Q5" i="2" s="1"/>
  <c r="O13" i="2"/>
  <c r="Q13" i="2" s="1"/>
  <c r="I5" i="2"/>
  <c r="O9" i="2"/>
  <c r="Q9" i="2" s="1"/>
  <c r="I10" i="2"/>
  <c r="N4" i="2"/>
  <c r="H5" i="2"/>
  <c r="N8" i="2"/>
  <c r="P8" i="2" s="1"/>
  <c r="R8" i="2" s="1"/>
  <c r="S8" i="2" s="1"/>
  <c r="H9" i="2"/>
  <c r="N12" i="2"/>
  <c r="P12" i="2" s="1"/>
  <c r="R12" i="2" s="1"/>
  <c r="S12" i="2" s="1"/>
  <c r="H13" i="2"/>
  <c r="P13" i="2"/>
  <c r="R13" i="2" s="1"/>
  <c r="S13" i="2" s="1"/>
  <c r="O12" i="2"/>
  <c r="Q12" i="2" s="1"/>
  <c r="I13" i="2"/>
  <c r="N3" i="2"/>
  <c r="N7" i="2"/>
  <c r="L4" i="2" l="1"/>
  <c r="M4" i="2" s="1"/>
  <c r="R9" i="2"/>
  <c r="S9" i="2" s="1"/>
  <c r="L3" i="2"/>
  <c r="M3" i="2" s="1"/>
  <c r="L12" i="2"/>
  <c r="M12" i="2" s="1"/>
  <c r="R6" i="2"/>
  <c r="S6" i="2" s="1"/>
  <c r="R10" i="2"/>
  <c r="S10" i="2" s="1"/>
</calcChain>
</file>

<file path=xl/sharedStrings.xml><?xml version="1.0" encoding="utf-8"?>
<sst xmlns="http://schemas.openxmlformats.org/spreadsheetml/2006/main" count="172" uniqueCount="84">
  <si>
    <t>Date</t>
  </si>
  <si>
    <t>Athlete_A</t>
  </si>
  <si>
    <t>Trial_1</t>
  </si>
  <si>
    <t>Trial_2</t>
  </si>
  <si>
    <t>Trial_3</t>
  </si>
  <si>
    <t>2024-01-15</t>
  </si>
  <si>
    <t>Athlete A</t>
  </si>
  <si>
    <t>2024-04-15</t>
  </si>
  <si>
    <t>2024-07-15</t>
  </si>
  <si>
    <t>2024-10-15</t>
  </si>
  <si>
    <t>2025-01-15</t>
  </si>
  <si>
    <t>2025-04-15</t>
  </si>
  <si>
    <t>2025-07-15</t>
  </si>
  <si>
    <t>2025-10-15</t>
  </si>
  <si>
    <t>2026-01-15</t>
  </si>
  <si>
    <t>2026-04-15</t>
  </si>
  <si>
    <t>2026-07-15</t>
  </si>
  <si>
    <t>2026-10-15</t>
  </si>
  <si>
    <t>Best</t>
  </si>
  <si>
    <t>SD</t>
  </si>
  <si>
    <t>Prev_Best</t>
  </si>
  <si>
    <t>Prev_SD</t>
  </si>
  <si>
    <t>Combined SD</t>
  </si>
  <si>
    <t>Status_Prev</t>
  </si>
  <si>
    <t>Base_Best</t>
  </si>
  <si>
    <t>Base_SD</t>
  </si>
  <si>
    <t>Combined_SD_Base</t>
  </si>
  <si>
    <t>Status_Base</t>
  </si>
  <si>
    <t>Trial1_cm</t>
  </si>
  <si>
    <t>Trial2_cm</t>
  </si>
  <si>
    <t>Trial3_cm</t>
  </si>
  <si>
    <t>2025-01-06</t>
  </si>
  <si>
    <t>2025-01-13</t>
  </si>
  <si>
    <t>2025-01-20</t>
  </si>
  <si>
    <t>2025-01-27</t>
  </si>
  <si>
    <t>2025-02-03</t>
  </si>
  <si>
    <t>2025-02-10</t>
  </si>
  <si>
    <t>2025-02-17</t>
  </si>
  <si>
    <t>2025-02-24</t>
  </si>
  <si>
    <t>2025-03-03</t>
  </si>
  <si>
    <t>2025-03-10</t>
  </si>
  <si>
    <t>2025-03-17</t>
  </si>
  <si>
    <t>2025-03-24</t>
  </si>
  <si>
    <t>2025-03-31</t>
  </si>
  <si>
    <t>2025-04-07</t>
  </si>
  <si>
    <t>2025-04-14</t>
  </si>
  <si>
    <t>2025-04-21</t>
  </si>
  <si>
    <t>SD_trials_cm</t>
  </si>
  <si>
    <t>Status</t>
  </si>
  <si>
    <t>CMJ_1</t>
  </si>
  <si>
    <t>CMJ_2</t>
  </si>
  <si>
    <t>CMJ_3</t>
  </si>
  <si>
    <t>Mean</t>
  </si>
  <si>
    <t>CV %</t>
  </si>
  <si>
    <t>CMJ best</t>
  </si>
  <si>
    <t>Ave</t>
  </si>
  <si>
    <t xml:space="preserve">How to video available here: </t>
  </si>
  <si>
    <t>https://www.youtube.com/watch?v=6l5VdBlo96Y&amp;t=262s</t>
  </si>
  <si>
    <t xml:space="preserve">Paper available here: </t>
  </si>
  <si>
    <t>https://www.researchgate.net/publication/264457779_Total_Score_of_Athleticism_a_strategy_for_assessing_an_athlete%27s_athleticism</t>
  </si>
  <si>
    <t>Comparing athletes using z-scores and the total score of athleticism</t>
  </si>
  <si>
    <t>Athlete</t>
  </si>
  <si>
    <t>Best_CMJ</t>
  </si>
  <si>
    <t>Best_RSI</t>
  </si>
  <si>
    <t>Best_ProA</t>
  </si>
  <si>
    <t>Best_30m</t>
  </si>
  <si>
    <t>z_CMJ</t>
  </si>
  <si>
    <t>z_RSI</t>
  </si>
  <si>
    <t>z_ProA</t>
  </si>
  <si>
    <t>z_30m</t>
  </si>
  <si>
    <t>TSA</t>
  </si>
  <si>
    <t>RANK</t>
  </si>
  <si>
    <t>% rank</t>
  </si>
  <si>
    <t>T-score</t>
  </si>
  <si>
    <t xml:space="preserve"> </t>
  </si>
  <si>
    <t>Mean_cm</t>
  </si>
  <si>
    <t>SD_fluctuation_(SD of mean of last 4)</t>
  </si>
  <si>
    <t>Rolling_Base_cm (mean of last 4)</t>
  </si>
  <si>
    <t>Curr_minus_Rolling_Base_cm</t>
  </si>
  <si>
    <r>
      <t>Readiness (</t>
    </r>
    <r>
      <rPr>
        <b/>
        <sz val="11"/>
        <rFont val="Aptos Narrow"/>
        <family val="2"/>
      </rPr>
      <t>Δ</t>
    </r>
    <r>
      <rPr>
        <b/>
        <sz val="11"/>
        <rFont val="Calibri"/>
        <family val="2"/>
      </rPr>
      <t>/SD)</t>
    </r>
  </si>
  <si>
    <t>Curr_minus_Prev</t>
  </si>
  <si>
    <r>
      <t xml:space="preserve">Noise-scaled </t>
    </r>
    <r>
      <rPr>
        <sz val="11"/>
        <color theme="1"/>
        <rFont val="Aptos Narrow"/>
        <family val="2"/>
      </rPr>
      <t>Δ,prev</t>
    </r>
  </si>
  <si>
    <t>Noise-scaled Δ,base</t>
  </si>
  <si>
    <t>Curr_minus_Base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</si>
</sst>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0"/>
      <name val="Aptos Narrow"/>
      <family val="2"/>
      <charset val="134"/>
      <scheme val="minor"/>
    </font>
    <font>
      <b/>
      <sz val="12"/>
      <color theme="0"/>
      <name val="Aptos Narrow"/>
      <family val="2"/>
      <charset val="134"/>
      <scheme val="minor"/>
    </font>
    <font>
      <b/>
      <sz val="12"/>
      <color theme="1"/>
      <name val="Aptos Narrow"/>
      <family val="2"/>
      <charset val="134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6" fillId="0" borderId="0" xfId="2" applyAlignment="1"/>
    <xf numFmtId="0" fontId="7" fillId="3" borderId="0" xfId="0" applyFont="1" applyFill="1" applyAlignment="1">
      <alignment horizontal="center"/>
    </xf>
    <xf numFmtId="0" fontId="0" fillId="3" borderId="0" xfId="0" applyFill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8" fillId="3" borderId="0" xfId="0" applyFont="1" applyFill="1"/>
    <xf numFmtId="0" fontId="0" fillId="0" borderId="3" xfId="0" applyBorder="1"/>
    <xf numFmtId="2" fontId="0" fillId="0" borderId="0" xfId="0" applyNumberFormat="1"/>
    <xf numFmtId="2" fontId="0" fillId="0" borderId="3" xfId="0" applyNumberFormat="1" applyBorder="1"/>
    <xf numFmtId="9" fontId="0" fillId="0" borderId="0" xfId="1" applyFont="1"/>
    <xf numFmtId="1" fontId="0" fillId="0" borderId="3" xfId="0" applyNumberFormat="1" applyBorder="1"/>
    <xf numFmtId="0" fontId="0" fillId="0" borderId="2" xfId="0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2" xfId="0" applyNumberFormat="1" applyBorder="1"/>
    <xf numFmtId="9" fontId="0" fillId="0" borderId="1" xfId="1" applyFont="1" applyBorder="1"/>
    <xf numFmtId="1" fontId="0" fillId="0" borderId="2" xfId="0" applyNumberFormat="1" applyBorder="1"/>
    <xf numFmtId="0" fontId="9" fillId="0" borderId="5" xfId="0" applyFont="1" applyBorder="1"/>
    <xf numFmtId="164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6" fillId="0" borderId="0" xfId="2"/>
    <xf numFmtId="0" fontId="7" fillId="3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39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2" formatCode="0.00"/>
      <alignment horizontal="center" textRotation="0" indent="0" justifyLastLine="0" shrinkToFit="0" readingOrder="0"/>
    </dxf>
    <dxf>
      <numFmt numFmtId="164" formatCode="0.0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Best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[1]Performance_Data!$G$2:$G$13</c:f>
                <c:numCache>
                  <c:formatCode>General</c:formatCode>
                  <c:ptCount val="12"/>
                  <c:pt idx="0">
                    <c:v>0.30550504633038827</c:v>
                  </c:pt>
                  <c:pt idx="1">
                    <c:v>0.35118845842842605</c:v>
                  </c:pt>
                  <c:pt idx="2">
                    <c:v>0.41633319989322704</c:v>
                  </c:pt>
                  <c:pt idx="3">
                    <c:v>0.45092497528228875</c:v>
                  </c:pt>
                  <c:pt idx="4">
                    <c:v>0.45825756949558277</c:v>
                  </c:pt>
                  <c:pt idx="5">
                    <c:v>0.50332229568471676</c:v>
                  </c:pt>
                  <c:pt idx="6">
                    <c:v>0.30550504633038977</c:v>
                  </c:pt>
                  <c:pt idx="7">
                    <c:v>0.40000000000000213</c:v>
                  </c:pt>
                  <c:pt idx="8">
                    <c:v>0.56862407030773288</c:v>
                  </c:pt>
                  <c:pt idx="9">
                    <c:v>0.60000000000000142</c:v>
                  </c:pt>
                  <c:pt idx="10">
                    <c:v>0.45092497528228875</c:v>
                  </c:pt>
                  <c:pt idx="11">
                    <c:v>0.59999999999999787</c:v>
                  </c:pt>
                </c:numCache>
              </c:numRef>
            </c:plus>
            <c:minus>
              <c:numRef>
                <c:f>[1]Performance_Data!$G$2:$G$13</c:f>
                <c:numCache>
                  <c:formatCode>General</c:formatCode>
                  <c:ptCount val="12"/>
                  <c:pt idx="0">
                    <c:v>0.30550504633038827</c:v>
                  </c:pt>
                  <c:pt idx="1">
                    <c:v>0.35118845842842605</c:v>
                  </c:pt>
                  <c:pt idx="2">
                    <c:v>0.41633319989322704</c:v>
                  </c:pt>
                  <c:pt idx="3">
                    <c:v>0.45092497528228875</c:v>
                  </c:pt>
                  <c:pt idx="4">
                    <c:v>0.45825756949558277</c:v>
                  </c:pt>
                  <c:pt idx="5">
                    <c:v>0.50332229568471676</c:v>
                  </c:pt>
                  <c:pt idx="6">
                    <c:v>0.30550504633038977</c:v>
                  </c:pt>
                  <c:pt idx="7">
                    <c:v>0.40000000000000213</c:v>
                  </c:pt>
                  <c:pt idx="8">
                    <c:v>0.56862407030773288</c:v>
                  </c:pt>
                  <c:pt idx="9">
                    <c:v>0.60000000000000142</c:v>
                  </c:pt>
                  <c:pt idx="10">
                    <c:v>0.45092497528228875</c:v>
                  </c:pt>
                  <c:pt idx="11">
                    <c:v>0.59999999999999787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[1]Performance_Data!$A$2:$A$13</c:f>
              <c:strCache>
                <c:ptCount val="12"/>
                <c:pt idx="0">
                  <c:v>2024-01-15</c:v>
                </c:pt>
                <c:pt idx="1">
                  <c:v>2024-04-15</c:v>
                </c:pt>
                <c:pt idx="2">
                  <c:v>2024-07-15</c:v>
                </c:pt>
                <c:pt idx="3">
                  <c:v>2024-10-15</c:v>
                </c:pt>
                <c:pt idx="4">
                  <c:v>2025-01-15</c:v>
                </c:pt>
                <c:pt idx="5">
                  <c:v>2025-04-15</c:v>
                </c:pt>
                <c:pt idx="6">
                  <c:v>2025-07-15</c:v>
                </c:pt>
                <c:pt idx="7">
                  <c:v>2025-10-15</c:v>
                </c:pt>
                <c:pt idx="8">
                  <c:v>2026-01-15</c:v>
                </c:pt>
                <c:pt idx="9">
                  <c:v>2026-04-15</c:v>
                </c:pt>
                <c:pt idx="10">
                  <c:v>2026-07-15</c:v>
                </c:pt>
                <c:pt idx="11">
                  <c:v>2026-10-15</c:v>
                </c:pt>
              </c:strCache>
            </c:strRef>
          </c:cat>
          <c:val>
            <c:numRef>
              <c:f>[1]Performance_Data!$F$2:$F$13</c:f>
              <c:numCache>
                <c:formatCode>General</c:formatCode>
                <c:ptCount val="12"/>
                <c:pt idx="0">
                  <c:v>29.2</c:v>
                </c:pt>
                <c:pt idx="1">
                  <c:v>30.1</c:v>
                </c:pt>
                <c:pt idx="2">
                  <c:v>31</c:v>
                </c:pt>
                <c:pt idx="3">
                  <c:v>31.9</c:v>
                </c:pt>
                <c:pt idx="4">
                  <c:v>33.1</c:v>
                </c:pt>
                <c:pt idx="5">
                  <c:v>34</c:v>
                </c:pt>
                <c:pt idx="6">
                  <c:v>32.200000000000003</c:v>
                </c:pt>
                <c:pt idx="7">
                  <c:v>34.6</c:v>
                </c:pt>
                <c:pt idx="8">
                  <c:v>36.1</c:v>
                </c:pt>
                <c:pt idx="9">
                  <c:v>37.200000000000003</c:v>
                </c:pt>
                <c:pt idx="10">
                  <c:v>38</c:v>
                </c:pt>
                <c:pt idx="11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24-89B3-6B5E94740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21887"/>
        <c:axId val="1725641119"/>
      </c:lineChart>
      <c:catAx>
        <c:axId val="131642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641119"/>
        <c:crosses val="autoZero"/>
        <c:auto val="1"/>
        <c:lblAlgn val="ctr"/>
        <c:lblOffset val="100"/>
        <c:noMultiLvlLbl val="1"/>
      </c:catAx>
      <c:valAx>
        <c:axId val="1725641119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42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[2]Weekly_Readiness!$E$1</c:f>
              <c:strCache>
                <c:ptCount val="1"/>
                <c:pt idx="0">
                  <c:v>Mean_cm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[2]Weekly_Readiness!$A$2:$A$17</c:f>
              <c:strCache>
                <c:ptCount val="16"/>
                <c:pt idx="0">
                  <c:v>2025-01-06</c:v>
                </c:pt>
                <c:pt idx="1">
                  <c:v>2025-01-13</c:v>
                </c:pt>
                <c:pt idx="2">
                  <c:v>2025-01-20</c:v>
                </c:pt>
                <c:pt idx="3">
                  <c:v>2025-01-27</c:v>
                </c:pt>
                <c:pt idx="4">
                  <c:v>2025-02-03</c:v>
                </c:pt>
                <c:pt idx="5">
                  <c:v>2025-02-10</c:v>
                </c:pt>
                <c:pt idx="6">
                  <c:v>2025-02-17</c:v>
                </c:pt>
                <c:pt idx="7">
                  <c:v>2025-02-24</c:v>
                </c:pt>
                <c:pt idx="8">
                  <c:v>2025-03-03</c:v>
                </c:pt>
                <c:pt idx="9">
                  <c:v>2025-03-10</c:v>
                </c:pt>
                <c:pt idx="10">
                  <c:v>2025-03-17</c:v>
                </c:pt>
                <c:pt idx="11">
                  <c:v>2025-03-24</c:v>
                </c:pt>
                <c:pt idx="12">
                  <c:v>2025-03-31</c:v>
                </c:pt>
                <c:pt idx="13">
                  <c:v>2025-04-07</c:v>
                </c:pt>
                <c:pt idx="14">
                  <c:v>2025-04-14</c:v>
                </c:pt>
                <c:pt idx="15">
                  <c:v>2025-04-21</c:v>
                </c:pt>
              </c:strCache>
            </c:strRef>
          </c:cat>
          <c:val>
            <c:numRef>
              <c:f>[2]Weekly_Readiness!$E$2:$E$17</c:f>
              <c:numCache>
                <c:formatCode>General</c:formatCode>
                <c:ptCount val="16"/>
                <c:pt idx="0">
                  <c:v>31.599999999999998</c:v>
                </c:pt>
                <c:pt idx="1">
                  <c:v>32.266666666666673</c:v>
                </c:pt>
                <c:pt idx="2">
                  <c:v>32.633333333333333</c:v>
                </c:pt>
                <c:pt idx="3">
                  <c:v>32.4</c:v>
                </c:pt>
                <c:pt idx="4">
                  <c:v>31.666666666666668</c:v>
                </c:pt>
                <c:pt idx="5">
                  <c:v>31.799999999999997</c:v>
                </c:pt>
                <c:pt idx="6">
                  <c:v>32.06666666666667</c:v>
                </c:pt>
                <c:pt idx="7">
                  <c:v>31.566666666666666</c:v>
                </c:pt>
                <c:pt idx="8">
                  <c:v>31.566666666666663</c:v>
                </c:pt>
                <c:pt idx="9">
                  <c:v>29.399999999999995</c:v>
                </c:pt>
                <c:pt idx="10">
                  <c:v>31.599999999999998</c:v>
                </c:pt>
                <c:pt idx="11">
                  <c:v>31.366666666666664</c:v>
                </c:pt>
                <c:pt idx="12">
                  <c:v>32.333333333333336</c:v>
                </c:pt>
                <c:pt idx="13">
                  <c:v>32.833333333333336</c:v>
                </c:pt>
                <c:pt idx="14">
                  <c:v>31.3</c:v>
                </c:pt>
                <c:pt idx="15">
                  <c:v>32.033333333333331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9-484B-A961-D0E1F170A119}"/>
            </c:ext>
          </c:extLst>
        </c:ser>
        <c:ser>
          <c:idx val="1"/>
          <c:order val="1"/>
          <c:tx>
            <c:strRef>
              <c:f>[2]Weekly_Readiness!$G$1</c:f>
              <c:strCache>
                <c:ptCount val="1"/>
                <c:pt idx="0">
                  <c:v>Rolling_Base_cm (mean of last 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[2]Weekly_Readiness!$A$2:$A$17</c:f>
              <c:strCache>
                <c:ptCount val="16"/>
                <c:pt idx="0">
                  <c:v>2025-01-06</c:v>
                </c:pt>
                <c:pt idx="1">
                  <c:v>2025-01-13</c:v>
                </c:pt>
                <c:pt idx="2">
                  <c:v>2025-01-20</c:v>
                </c:pt>
                <c:pt idx="3">
                  <c:v>2025-01-27</c:v>
                </c:pt>
                <c:pt idx="4">
                  <c:v>2025-02-03</c:v>
                </c:pt>
                <c:pt idx="5">
                  <c:v>2025-02-10</c:v>
                </c:pt>
                <c:pt idx="6">
                  <c:v>2025-02-17</c:v>
                </c:pt>
                <c:pt idx="7">
                  <c:v>2025-02-24</c:v>
                </c:pt>
                <c:pt idx="8">
                  <c:v>2025-03-03</c:v>
                </c:pt>
                <c:pt idx="9">
                  <c:v>2025-03-10</c:v>
                </c:pt>
                <c:pt idx="10">
                  <c:v>2025-03-17</c:v>
                </c:pt>
                <c:pt idx="11">
                  <c:v>2025-03-24</c:v>
                </c:pt>
                <c:pt idx="12">
                  <c:v>2025-03-31</c:v>
                </c:pt>
                <c:pt idx="13">
                  <c:v>2025-04-07</c:v>
                </c:pt>
                <c:pt idx="14">
                  <c:v>2025-04-14</c:v>
                </c:pt>
                <c:pt idx="15">
                  <c:v>2025-04-21</c:v>
                </c:pt>
              </c:strCache>
            </c:strRef>
          </c:cat>
          <c:val>
            <c:numRef>
              <c:f>[2]Weekly_Readiness!$G$2:$G$17</c:f>
              <c:numCache>
                <c:formatCode>General</c:formatCode>
                <c:ptCount val="16"/>
                <c:pt idx="4">
                  <c:v>32.225000000000001</c:v>
                </c:pt>
                <c:pt idx="5">
                  <c:v>32.241666666666667</c:v>
                </c:pt>
                <c:pt idx="6">
                  <c:v>32.125</c:v>
                </c:pt>
                <c:pt idx="7">
                  <c:v>31.983333333333334</c:v>
                </c:pt>
                <c:pt idx="8">
                  <c:v>31.774999999999999</c:v>
                </c:pt>
                <c:pt idx="9">
                  <c:v>31.75</c:v>
                </c:pt>
                <c:pt idx="10">
                  <c:v>31.15</c:v>
                </c:pt>
                <c:pt idx="11">
                  <c:v>31.033333333333328</c:v>
                </c:pt>
                <c:pt idx="12">
                  <c:v>30.983333333333327</c:v>
                </c:pt>
                <c:pt idx="13">
                  <c:v>31.174999999999997</c:v>
                </c:pt>
                <c:pt idx="14">
                  <c:v>32.033333333333331</c:v>
                </c:pt>
                <c:pt idx="15">
                  <c:v>31.958333333333332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9-484B-A961-D0E1F170A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416815"/>
        <c:axId val="1545417775"/>
      </c:lineChart>
      <c:catAx>
        <c:axId val="154541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417775"/>
        <c:crosses val="autoZero"/>
        <c:auto val="1"/>
        <c:lblAlgn val="ctr"/>
        <c:lblOffset val="100"/>
        <c:noMultiLvlLbl val="0"/>
      </c:catAx>
      <c:valAx>
        <c:axId val="1545417775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41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[3]TSA!$G$8:$J$8</c:f>
              <c:strCache>
                <c:ptCount val="4"/>
                <c:pt idx="0">
                  <c:v>z_CMJ</c:v>
                </c:pt>
                <c:pt idx="1">
                  <c:v>z_RSI</c:v>
                </c:pt>
                <c:pt idx="2">
                  <c:v>z_ProA</c:v>
                </c:pt>
                <c:pt idx="3">
                  <c:v>z_30m</c:v>
                </c:pt>
              </c:strCache>
            </c:strRef>
          </c:cat>
          <c:val>
            <c:numRef>
              <c:f>[3]TSA!$G$13:$J$13</c:f>
              <c:numCache>
                <c:formatCode>General</c:formatCode>
                <c:ptCount val="4"/>
                <c:pt idx="0">
                  <c:v>-0.69946576964563045</c:v>
                </c:pt>
                <c:pt idx="1">
                  <c:v>0.71274197595501054</c:v>
                </c:pt>
                <c:pt idx="2">
                  <c:v>1.0180751426812615</c:v>
                </c:pt>
                <c:pt idx="3">
                  <c:v>8.0173946253053019E-2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7-4FD8-80FE-367ADBBC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820008"/>
        <c:axId val="2145769800"/>
      </c:barChart>
      <c:catAx>
        <c:axId val="-213582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5769800"/>
        <c:crosses val="autoZero"/>
        <c:auto val="1"/>
        <c:lblAlgn val="ctr"/>
        <c:lblOffset val="100"/>
        <c:noMultiLvlLbl val="0"/>
      </c:catAx>
      <c:valAx>
        <c:axId val="2145769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820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[3]TSA!$G$8:$J$8</c:f>
              <c:strCache>
                <c:ptCount val="4"/>
                <c:pt idx="0">
                  <c:v>z_CMJ</c:v>
                </c:pt>
                <c:pt idx="1">
                  <c:v>z_RSI</c:v>
                </c:pt>
                <c:pt idx="2">
                  <c:v>z_ProA</c:v>
                </c:pt>
                <c:pt idx="3">
                  <c:v>z_30m</c:v>
                </c:pt>
              </c:strCache>
            </c:strRef>
          </c:cat>
          <c:val>
            <c:numRef>
              <c:f>[3]TSA!$G$28:$J$28</c:f>
              <c:numCache>
                <c:formatCode>General</c:formatCode>
                <c:ptCount val="4"/>
                <c:pt idx="0">
                  <c:v>-1.857683403173555</c:v>
                </c:pt>
                <c:pt idx="1">
                  <c:v>-0.80668504441899536</c:v>
                </c:pt>
                <c:pt idx="2">
                  <c:v>-0.7144573211934252</c:v>
                </c:pt>
                <c:pt idx="3">
                  <c:v>-1.0600777337904155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0-4DA0-A502-B1AB907C36A3}"/>
            </c:ext>
          </c:extLst>
        </c:ser>
        <c:ser>
          <c:idx val="1"/>
          <c:order val="1"/>
          <c:invertIfNegative val="0"/>
          <c:cat>
            <c:strRef>
              <c:f>[3]TSA!$G$8:$J$8</c:f>
              <c:strCache>
                <c:ptCount val="4"/>
                <c:pt idx="0">
                  <c:v>z_CMJ</c:v>
                </c:pt>
                <c:pt idx="1">
                  <c:v>z_RSI</c:v>
                </c:pt>
                <c:pt idx="2">
                  <c:v>z_ProA</c:v>
                </c:pt>
                <c:pt idx="3">
                  <c:v>z_30m</c:v>
                </c:pt>
              </c:strCache>
            </c:strRef>
          </c:cat>
          <c:val>
            <c:numRef>
              <c:f>[3]TSA!$G$16:$J$16</c:f>
              <c:numCache>
                <c:formatCode>General</c:formatCode>
                <c:ptCount val="4"/>
                <c:pt idx="0">
                  <c:v>-0.33665060733567798</c:v>
                </c:pt>
                <c:pt idx="1">
                  <c:v>-0.34105418333663834</c:v>
                </c:pt>
                <c:pt idx="2">
                  <c:v>0.25372258508948681</c:v>
                </c:pt>
                <c:pt idx="3">
                  <c:v>-0.1336232437550989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0-4DA0-A502-B1AB907C36A3}"/>
            </c:ext>
          </c:extLst>
        </c:ser>
        <c:ser>
          <c:idx val="2"/>
          <c:order val="2"/>
          <c:invertIfNegative val="0"/>
          <c:cat>
            <c:strRef>
              <c:f>[3]TSA!$G$8:$J$8</c:f>
              <c:strCache>
                <c:ptCount val="4"/>
                <c:pt idx="0">
                  <c:v>z_CMJ</c:v>
                </c:pt>
                <c:pt idx="1">
                  <c:v>z_RSI</c:v>
                </c:pt>
                <c:pt idx="2">
                  <c:v>z_ProA</c:v>
                </c:pt>
                <c:pt idx="3">
                  <c:v>z_30m</c:v>
                </c:pt>
              </c:strCache>
            </c:strRef>
          </c:cat>
          <c:val>
            <c:numRef>
              <c:f>[3]TSA!$G$22:$J$22</c:f>
              <c:numCache>
                <c:formatCode>General</c:formatCode>
                <c:ptCount val="4"/>
                <c:pt idx="0">
                  <c:v>1.6309239267298323</c:v>
                </c:pt>
                <c:pt idx="1">
                  <c:v>2.0361138969259187</c:v>
                </c:pt>
                <c:pt idx="2">
                  <c:v>0.10085207357113322</c:v>
                </c:pt>
                <c:pt idx="3">
                  <c:v>0.50776832626935053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0-4DA0-A502-B1AB907C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453720"/>
        <c:axId val="2138378984"/>
      </c:barChart>
      <c:catAx>
        <c:axId val="2082453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8378984"/>
        <c:crosses val="autoZero"/>
        <c:auto val="1"/>
        <c:lblAlgn val="ctr"/>
        <c:lblOffset val="100"/>
        <c:noMultiLvlLbl val="0"/>
      </c:catAx>
      <c:valAx>
        <c:axId val="2138378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453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7936</xdr:colOff>
      <xdr:row>15</xdr:row>
      <xdr:rowOff>1587</xdr:rowOff>
    </xdr:from>
    <xdr:to>
      <xdr:col>9</xdr:col>
      <xdr:colOff>1190624</xdr:colOff>
      <xdr:row>36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1D2B96-F11A-48FC-BEB7-D3EB03223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19</xdr:row>
      <xdr:rowOff>19056</xdr:rowOff>
    </xdr:from>
    <xdr:to>
      <xdr:col>8</xdr:col>
      <xdr:colOff>1428750</xdr:colOff>
      <xdr:row>40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8CFB40-012E-404C-9628-0F1A1E50C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</xdr:colOff>
      <xdr:row>2</xdr:row>
      <xdr:rowOff>25399</xdr:rowOff>
    </xdr:from>
    <xdr:to>
      <xdr:col>21</xdr:col>
      <xdr:colOff>12700</xdr:colOff>
      <xdr:row>16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277ED0-D6CC-47D6-96B0-CCF01C98E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2962</xdr:colOff>
      <xdr:row>18</xdr:row>
      <xdr:rowOff>14392</xdr:rowOff>
    </xdr:from>
    <xdr:to>
      <xdr:col>20</xdr:col>
      <xdr:colOff>755649</xdr:colOff>
      <xdr:row>33</xdr:row>
      <xdr:rowOff>16933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54C96D-4E5D-48B3-A214-61AA0F9D9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vemdxac-my.sharepoint.com/personal/a_n_turner_mdx_ac_uk/Documents/My%20lectures/Luca%20Italy/Testing%20in%20RTP%20and%20HPS/Morandini/Paper/Performance_Capability_Prev_Base.xlsx" TargetMode="External"/><Relationship Id="rId1" Type="http://schemas.openxmlformats.org/officeDocument/2006/relationships/externalLinkPath" Target="Paper/Performance_Capability_Prev_Ba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vemdxac-my.sharepoint.com/personal/a_n_turner_mdx_ac_uk/Documents/My%20lectures/Luca%20Italy/Testing%20in%20RTP%20and%20HPS/Morandini/Paper/Performance_Readiness_Stability.xlsx" TargetMode="External"/><Relationship Id="rId1" Type="http://schemas.openxmlformats.org/officeDocument/2006/relationships/externalLinkPath" Target="Paper/Performance_Readiness_Stabilit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/6.%20Data/Research%20methods/7_z-scores%20and%20the%20TSA/z%20scores%20and%20TSA.xlsx" TargetMode="External"/><Relationship Id="rId1" Type="http://schemas.openxmlformats.org/officeDocument/2006/relationships/externalLinkPath" Target="/personal/a_n_turner_mdx_ac_uk/Documents/My%20lectures/DE/6.%20Data/Research%20methods/7_z-scores%20and%20the%20TSA/z%20scores%20and%20T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formance_Data"/>
    </sheetNames>
    <sheetDataSet>
      <sheetData sheetId="0">
        <row r="2">
          <cell r="A2" t="str">
            <v>2024-01-15</v>
          </cell>
          <cell r="F2">
            <v>29.2</v>
          </cell>
          <cell r="G2">
            <v>0.30550504633038827</v>
          </cell>
        </row>
        <row r="3">
          <cell r="A3" t="str">
            <v>2024-04-15</v>
          </cell>
          <cell r="F3">
            <v>30.1</v>
          </cell>
          <cell r="G3">
            <v>0.35118845842842605</v>
          </cell>
        </row>
        <row r="4">
          <cell r="A4" t="str">
            <v>2024-07-15</v>
          </cell>
          <cell r="F4">
            <v>31</v>
          </cell>
          <cell r="G4">
            <v>0.41633319989322704</v>
          </cell>
        </row>
        <row r="5">
          <cell r="A5" t="str">
            <v>2024-10-15</v>
          </cell>
          <cell r="F5">
            <v>31.9</v>
          </cell>
          <cell r="G5">
            <v>0.45092497528228875</v>
          </cell>
        </row>
        <row r="6">
          <cell r="A6" t="str">
            <v>2025-01-15</v>
          </cell>
          <cell r="F6">
            <v>33.1</v>
          </cell>
          <cell r="G6">
            <v>0.45825756949558277</v>
          </cell>
        </row>
        <row r="7">
          <cell r="A7" t="str">
            <v>2025-04-15</v>
          </cell>
          <cell r="F7">
            <v>34</v>
          </cell>
          <cell r="G7">
            <v>0.50332229568471676</v>
          </cell>
        </row>
        <row r="8">
          <cell r="A8" t="str">
            <v>2025-07-15</v>
          </cell>
          <cell r="F8">
            <v>32.200000000000003</v>
          </cell>
          <cell r="G8">
            <v>0.30550504633038977</v>
          </cell>
        </row>
        <row r="9">
          <cell r="A9" t="str">
            <v>2025-10-15</v>
          </cell>
          <cell r="F9">
            <v>34.6</v>
          </cell>
          <cell r="G9">
            <v>0.40000000000000213</v>
          </cell>
        </row>
        <row r="10">
          <cell r="A10" t="str">
            <v>2026-01-15</v>
          </cell>
          <cell r="F10">
            <v>36.1</v>
          </cell>
          <cell r="G10">
            <v>0.56862407030773288</v>
          </cell>
        </row>
        <row r="11">
          <cell r="A11" t="str">
            <v>2026-04-15</v>
          </cell>
          <cell r="F11">
            <v>37.200000000000003</v>
          </cell>
          <cell r="G11">
            <v>0.60000000000000142</v>
          </cell>
        </row>
        <row r="12">
          <cell r="A12" t="str">
            <v>2026-07-15</v>
          </cell>
          <cell r="F12">
            <v>38</v>
          </cell>
          <cell r="G12">
            <v>0.45092497528228875</v>
          </cell>
        </row>
        <row r="13">
          <cell r="A13" t="str">
            <v>2026-10-15</v>
          </cell>
          <cell r="F13">
            <v>39.4</v>
          </cell>
          <cell r="G13">
            <v>0.59999999999999787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ekly_Readiness"/>
    </sheetNames>
    <sheetDataSet>
      <sheetData sheetId="0">
        <row r="1">
          <cell r="E1" t="str">
            <v>Mean_cm</v>
          </cell>
          <cell r="G1" t="str">
            <v>Rolling_Base_cm (mean of last 4)</v>
          </cell>
        </row>
        <row r="2">
          <cell r="A2" t="str">
            <v>2025-01-06</v>
          </cell>
          <cell r="E2">
            <v>31.599999999999998</v>
          </cell>
        </row>
        <row r="3">
          <cell r="A3" t="str">
            <v>2025-01-13</v>
          </cell>
          <cell r="E3">
            <v>32.266666666666673</v>
          </cell>
        </row>
        <row r="4">
          <cell r="A4" t="str">
            <v>2025-01-20</v>
          </cell>
          <cell r="E4">
            <v>32.633333333333333</v>
          </cell>
        </row>
        <row r="5">
          <cell r="A5" t="str">
            <v>2025-01-27</v>
          </cell>
          <cell r="E5">
            <v>32.4</v>
          </cell>
        </row>
        <row r="6">
          <cell r="A6" t="str">
            <v>2025-02-03</v>
          </cell>
          <cell r="E6">
            <v>31.666666666666668</v>
          </cell>
          <cell r="G6">
            <v>32.225000000000001</v>
          </cell>
        </row>
        <row r="7">
          <cell r="A7" t="str">
            <v>2025-02-10</v>
          </cell>
          <cell r="E7">
            <v>31.799999999999997</v>
          </cell>
          <cell r="G7">
            <v>32.241666666666667</v>
          </cell>
        </row>
        <row r="8">
          <cell r="A8" t="str">
            <v>2025-02-17</v>
          </cell>
          <cell r="E8">
            <v>32.06666666666667</v>
          </cell>
          <cell r="G8">
            <v>32.125</v>
          </cell>
        </row>
        <row r="9">
          <cell r="A9" t="str">
            <v>2025-02-24</v>
          </cell>
          <cell r="E9">
            <v>31.566666666666666</v>
          </cell>
          <cell r="G9">
            <v>31.983333333333334</v>
          </cell>
        </row>
        <row r="10">
          <cell r="A10" t="str">
            <v>2025-03-03</v>
          </cell>
          <cell r="E10">
            <v>31.566666666666663</v>
          </cell>
          <cell r="G10">
            <v>31.774999999999999</v>
          </cell>
        </row>
        <row r="11">
          <cell r="A11" t="str">
            <v>2025-03-10</v>
          </cell>
          <cell r="E11">
            <v>29.399999999999995</v>
          </cell>
          <cell r="G11">
            <v>31.75</v>
          </cell>
        </row>
        <row r="12">
          <cell r="A12" t="str">
            <v>2025-03-17</v>
          </cell>
          <cell r="E12">
            <v>31.599999999999998</v>
          </cell>
          <cell r="G12">
            <v>31.15</v>
          </cell>
        </row>
        <row r="13">
          <cell r="A13" t="str">
            <v>2025-03-24</v>
          </cell>
          <cell r="E13">
            <v>31.366666666666664</v>
          </cell>
          <cell r="G13">
            <v>31.033333333333328</v>
          </cell>
        </row>
        <row r="14">
          <cell r="A14" t="str">
            <v>2025-03-31</v>
          </cell>
          <cell r="E14">
            <v>32.333333333333336</v>
          </cell>
          <cell r="G14">
            <v>30.983333333333327</v>
          </cell>
        </row>
        <row r="15">
          <cell r="A15" t="str">
            <v>2025-04-07</v>
          </cell>
          <cell r="E15">
            <v>32.833333333333336</v>
          </cell>
          <cell r="G15">
            <v>31.174999999999997</v>
          </cell>
        </row>
        <row r="16">
          <cell r="A16" t="str">
            <v>2025-04-14</v>
          </cell>
          <cell r="E16">
            <v>31.3</v>
          </cell>
          <cell r="G16">
            <v>32.033333333333331</v>
          </cell>
        </row>
        <row r="17">
          <cell r="A17" t="str">
            <v>2025-04-21</v>
          </cell>
          <cell r="E17">
            <v>32.033333333333331</v>
          </cell>
          <cell r="G17">
            <v>31.958333333333332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SA"/>
    </sheetNames>
    <sheetDataSet>
      <sheetData sheetId="0">
        <row r="8">
          <cell r="G8" t="str">
            <v>z_CMJ</v>
          </cell>
          <cell r="H8" t="str">
            <v>z_RSI</v>
          </cell>
          <cell r="I8" t="str">
            <v>z_ProA</v>
          </cell>
          <cell r="J8" t="str">
            <v>z_30m</v>
          </cell>
        </row>
        <row r="13">
          <cell r="G13">
            <v>-0.69946576964563045</v>
          </cell>
          <cell r="H13">
            <v>0.71274197595501054</v>
          </cell>
          <cell r="I13">
            <v>1.0180751426812615</v>
          </cell>
          <cell r="J13">
            <v>8.0173946253053019E-2</v>
          </cell>
        </row>
        <row r="16">
          <cell r="G16">
            <v>-0.33665060733567798</v>
          </cell>
          <cell r="H16">
            <v>-0.34105418333663834</v>
          </cell>
          <cell r="I16">
            <v>0.25372258508948681</v>
          </cell>
          <cell r="J16">
            <v>-0.1336232437550989</v>
          </cell>
        </row>
        <row r="22">
          <cell r="G22">
            <v>1.6309239267298323</v>
          </cell>
          <cell r="H22">
            <v>2.0361138969259187</v>
          </cell>
          <cell r="I22">
            <v>0.10085207357113322</v>
          </cell>
          <cell r="J22">
            <v>0.50776832626935053</v>
          </cell>
        </row>
        <row r="28">
          <cell r="G28">
            <v>-1.857683403173555</v>
          </cell>
          <cell r="H28">
            <v>-0.80668504441899536</v>
          </cell>
          <cell r="I28">
            <v>-0.7144573211934252</v>
          </cell>
          <cell r="J28">
            <v>-1.0600777337904155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A54453-6EF3-42B6-9FC4-2AB953D7DAEA}" name="PerfData" displayName="PerfData" ref="A1:S13" totalsRowShown="0" headerRowDxfId="38" dataDxfId="37">
  <autoFilter ref="A1:S13" xr:uid="{8CA54453-6EF3-42B6-9FC4-2AB953D7DAEA}"/>
  <tableColumns count="19">
    <tableColumn id="1" xr3:uid="{C69C73B2-94B2-4D2D-81BD-9AB426F94BD8}" name="Date" dataDxfId="36"/>
    <tableColumn id="2" xr3:uid="{CD65AD66-2955-469A-92A8-613009310EBB}" name="Athlete_A" dataDxfId="35"/>
    <tableColumn id="3" xr3:uid="{69EC690A-F7EA-4DAD-9D37-BB202111E5AB}" name="Trial_1" dataDxfId="34"/>
    <tableColumn id="4" xr3:uid="{5D08E4AE-399D-44A4-8F9F-5E1FFB904148}" name="Trial_2" dataDxfId="33"/>
    <tableColumn id="5" xr3:uid="{8EAA49A8-183A-4E27-97C4-4BB18AB9D1C7}" name="Trial_3" dataDxfId="32"/>
    <tableColumn id="6" xr3:uid="{56ACAFB9-CEBF-448D-BBE0-B548182CD8FA}" name="Best" dataDxfId="31">
      <calculatedColumnFormula>MAX(C2:E2)</calculatedColumnFormula>
    </tableColumn>
    <tableColumn id="7" xr3:uid="{45878E87-564F-4206-88D8-BBCE4D1358BE}" name="SD" dataDxfId="30">
      <calculatedColumnFormula>_xlfn.STDEV.S(C2:E2)</calculatedColumnFormula>
    </tableColumn>
    <tableColumn id="8" xr3:uid="{52719FDB-0A67-4363-9757-7BC08FDE6FE9}" name="Prev_Best" dataDxfId="29">
      <calculatedColumnFormula>F1</calculatedColumnFormula>
    </tableColumn>
    <tableColumn id="9" xr3:uid="{630BA245-ADE0-41EB-82E0-90FB2FC72619}" name="Prev_SD" dataDxfId="28">
      <calculatedColumnFormula>G1</calculatedColumnFormula>
    </tableColumn>
    <tableColumn id="10" xr3:uid="{F07C9243-1EDA-432F-AFF6-92A6208CFD46}" name="Curr_minus_Prev" dataDxfId="27">
      <calculatedColumnFormula>F2-F1</calculatedColumnFormula>
    </tableColumn>
    <tableColumn id="11" xr3:uid="{8788373F-D53C-46EB-83F8-F3DB4404B720}" name="Combined SD" dataDxfId="26">
      <calculatedColumnFormula>SQRT(G1^2+G2^2)</calculatedColumnFormula>
    </tableColumn>
    <tableColumn id="12" xr3:uid="{803FFF3C-F315-44D9-AD10-0C592A1F65C9}" name="Noise-scaled Δ,prev" dataDxfId="25">
      <calculatedColumnFormula>J2/K2</calculatedColumnFormula>
    </tableColumn>
    <tableColumn id="13" xr3:uid="{ACD8FBF2-3C57-487F-8963-1189CBFD3BBB}" name="Status_Prev" dataDxfId="24">
      <calculatedColumnFormula>IF(L2="","No previous",IF(L2&gt;=2,"Very likely Better",IF(L2&gt;=1,"Likely Better",IF(L2&lt;=-2,"Very Likely Drop",IF(L2&lt;=-1,"Likely Drop",IF(AND(L2&gt;-1,L2&lt;1),"Stable",""))))))</calculatedColumnFormula>
    </tableColumn>
    <tableColumn id="14" xr3:uid="{F4EF1A03-1F30-45A0-9940-8C4D366BCFE9}" name="Base_Best" dataDxfId="23">
      <calculatedColumnFormula>F$2</calculatedColumnFormula>
    </tableColumn>
    <tableColumn id="15" xr3:uid="{5DC16A5A-24B4-424A-816F-E7376DAB448C}" name="Base_SD" dataDxfId="22">
      <calculatedColumnFormula>G$2</calculatedColumnFormula>
    </tableColumn>
    <tableColumn id="16" xr3:uid="{45FB0630-8D48-444F-B634-D6B3E6F96C5A}" name="Curr_minus_Base" dataDxfId="21">
      <calculatedColumnFormula>PerfData[[#This Row],[Best]]-PerfData[[#This Row],[Base_Best]]</calculatedColumnFormula>
    </tableColumn>
    <tableColumn id="17" xr3:uid="{6CE3E583-511F-4784-9023-8D34C99C49A3}" name="Combined_SD_Base" dataDxfId="20">
      <calculatedColumnFormula>SQRT(PerfData[[#This Row],[Base_SD]]^2+PerfData[[#This Row],[SD]]^2)</calculatedColumnFormula>
    </tableColumn>
    <tableColumn id="18" xr3:uid="{FAC8BE1A-48F6-447F-93DE-EEDB88D43D39}" name="Noise-scaled Δ,base" dataDxfId="19">
      <calculatedColumnFormula>PerfData[[#This Row],[Curr_minus_Base]]/PerfData[[#This Row],[Combined_SD_Base]]</calculatedColumnFormula>
    </tableColumn>
    <tableColumn id="19" xr3:uid="{B6B2045E-11B6-4C32-B677-52F83F008618}" name="Status_Base" dataDxfId="18">
      <calculatedColumnFormula>IF(R2="","No previous",IF(R2&gt;=2,"Very likely Better",IF(R2&gt;=1,"Likely Better",IF(R2&lt;=-2,"Very Likely Drop",IF(R2&lt;=-1,"Likely Drop",IF(AND(R2&gt;-1,R2&lt;1),"Stable",""))))))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6BCBD3-A491-4AA8-972F-D6EA931EA5DB}" name="ReadinessTable" displayName="ReadinessTable" ref="A1:K17" headerRowDxfId="17" dataDxfId="16" totalsRowDxfId="15">
  <autoFilter ref="A1:K17" xr:uid="{466BCBD3-A491-4AA8-972F-D6EA931EA5DB}"/>
  <tableColumns count="11">
    <tableColumn id="1" xr3:uid="{0B7B10BE-020B-404F-8860-BCAC0711DAF3}" name="Date" dataDxfId="14"/>
    <tableColumn id="2" xr3:uid="{9105442A-9FF6-40A1-8AB5-193DEA2BEC12}" name="Trial1_cm" dataDxfId="13"/>
    <tableColumn id="3" xr3:uid="{283832B8-9791-4F50-A8DB-AB67B9A10BB7}" name="Trial2_cm" dataDxfId="12"/>
    <tableColumn id="4" xr3:uid="{83D43BF0-52FF-4BBA-9C2B-B064EAD6A2C7}" name="Trial3_cm" dataDxfId="11"/>
    <tableColumn id="5" xr3:uid="{8BE56926-4150-4C77-9778-72E1074E52F3}" name="Mean_cm" dataDxfId="10">
      <calculatedColumnFormula>AVERAGE(B2:D2)</calculatedColumnFormula>
    </tableColumn>
    <tableColumn id="6" xr3:uid="{8FE16C85-7D80-4813-AE90-1D6C209D8FCA}" name="SD_trials_cm" dataDxfId="9">
      <calculatedColumnFormula>_xlfn.STDEV.S(B2:D2)</calculatedColumnFormula>
    </tableColumn>
    <tableColumn id="7" xr3:uid="{61D358CB-CC20-4E07-A305-26A13BC98806}" name="Rolling_Base_cm (mean of last 4)" dataDxfId="8"/>
    <tableColumn id="8" xr3:uid="{B75E379B-0A44-4D59-9B47-59F6577FEDD6}" name="SD_fluctuation_(SD of mean of last 4)" dataDxfId="7"/>
    <tableColumn id="9" xr3:uid="{8B7006A8-6CC8-4620-9037-8B7ADF7A62BC}" name="Curr_minus_Rolling_Base_cm" dataDxfId="6">
      <calculatedColumnFormula>IF(G2="","",E2-G2)</calculatedColumnFormula>
    </tableColumn>
    <tableColumn id="10" xr3:uid="{535AF093-0274-415E-AC3B-944C0B622D9E}" name="Readiness (Δ/SD)" dataDxfId="5"/>
    <tableColumn id="11" xr3:uid="{7CD11508-532B-4D19-BDEA-86D2B82F9F0F}" name="Status" dataDxfId="4">
      <calculatedColumnFormula>IF(J2="","Insufficient history",IF(J2&lt;=-2,"Meaningful Drop",IF(J2&lt;=-1,"Watch",IF(J2&gt;=2,"Very Fresh",IF(J2&gt;=1,"Fresh","Normal")))))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researchgate.net/publication/264457779_Total_Score_of_Athleticism_a_strategy_for_assessing_an_athlete%27s_athleticism" TargetMode="External"/><Relationship Id="rId1" Type="http://schemas.openxmlformats.org/officeDocument/2006/relationships/hyperlink" Target="https://www.youtube.com/watch?v=6l5VdBlo96Y&amp;t=262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D4A7-96BE-4F72-999E-08D7948C6D35}">
  <dimension ref="B4:H28"/>
  <sheetViews>
    <sheetView workbookViewId="0"/>
  </sheetViews>
  <sheetFormatPr defaultRowHeight="14.5" x14ac:dyDescent="0.35"/>
  <sheetData>
    <row r="4" spans="2:8" x14ac:dyDescent="0.35">
      <c r="B4" s="8" t="s">
        <v>49</v>
      </c>
      <c r="C4" s="8" t="s">
        <v>50</v>
      </c>
      <c r="D4" s="8" t="s">
        <v>51</v>
      </c>
      <c r="E4" s="8" t="s">
        <v>19</v>
      </c>
      <c r="F4" s="8" t="s">
        <v>52</v>
      </c>
      <c r="G4" s="8" t="s">
        <v>53</v>
      </c>
      <c r="H4" s="8" t="s">
        <v>54</v>
      </c>
    </row>
    <row r="5" spans="2:8" x14ac:dyDescent="0.35">
      <c r="B5" s="1">
        <v>38.1</v>
      </c>
      <c r="C5" s="1">
        <v>43.6</v>
      </c>
      <c r="D5" s="1">
        <v>47.7</v>
      </c>
    </row>
    <row r="6" spans="2:8" x14ac:dyDescent="0.35">
      <c r="B6" s="1">
        <v>34.1</v>
      </c>
      <c r="C6" s="1">
        <v>35.700000000000003</v>
      </c>
      <c r="D6" s="1">
        <v>36</v>
      </c>
    </row>
    <row r="7" spans="2:8" x14ac:dyDescent="0.35">
      <c r="B7" s="1">
        <v>42.8</v>
      </c>
      <c r="C7" s="1">
        <v>42.2</v>
      </c>
      <c r="D7" s="1">
        <v>41.9</v>
      </c>
    </row>
    <row r="8" spans="2:8" x14ac:dyDescent="0.35">
      <c r="B8" s="1">
        <v>50.4</v>
      </c>
      <c r="C8" s="1">
        <v>52.2</v>
      </c>
      <c r="D8" s="1">
        <v>52.2</v>
      </c>
    </row>
    <row r="9" spans="2:8" x14ac:dyDescent="0.35">
      <c r="B9" s="1">
        <v>37</v>
      </c>
      <c r="C9" s="1">
        <v>36.1</v>
      </c>
      <c r="D9" s="1">
        <v>36.9</v>
      </c>
    </row>
    <row r="10" spans="2:8" x14ac:dyDescent="0.35">
      <c r="B10" s="1">
        <v>42.1</v>
      </c>
      <c r="C10" s="1">
        <v>40.700000000000003</v>
      </c>
      <c r="D10" s="1">
        <v>45.1</v>
      </c>
    </row>
    <row r="11" spans="2:8" x14ac:dyDescent="0.35">
      <c r="B11" s="1">
        <v>44.5</v>
      </c>
      <c r="C11" s="1">
        <v>42.3</v>
      </c>
      <c r="D11" s="1">
        <v>45.2</v>
      </c>
    </row>
    <row r="12" spans="2:8" x14ac:dyDescent="0.35">
      <c r="B12" s="1">
        <v>37.9</v>
      </c>
      <c r="C12" s="1">
        <v>33.299999999999997</v>
      </c>
      <c r="D12" s="1">
        <v>39.6</v>
      </c>
    </row>
    <row r="13" spans="2:8" x14ac:dyDescent="0.35">
      <c r="B13" s="1">
        <v>43.6</v>
      </c>
      <c r="C13" s="1">
        <v>44.9</v>
      </c>
      <c r="D13" s="1">
        <v>37.4</v>
      </c>
    </row>
    <row r="14" spans="2:8" x14ac:dyDescent="0.35">
      <c r="B14" s="1">
        <v>35.4</v>
      </c>
      <c r="C14" s="1">
        <v>40.1</v>
      </c>
      <c r="D14" s="1">
        <v>39.5</v>
      </c>
    </row>
    <row r="15" spans="2:8" x14ac:dyDescent="0.35">
      <c r="B15" s="1">
        <v>45.3</v>
      </c>
      <c r="C15" s="1">
        <v>44.4</v>
      </c>
      <c r="D15" s="1">
        <v>43.9</v>
      </c>
    </row>
    <row r="16" spans="2:8" x14ac:dyDescent="0.35">
      <c r="B16" s="1">
        <v>46.6</v>
      </c>
      <c r="C16" s="1">
        <v>47.7</v>
      </c>
      <c r="D16" s="1">
        <v>47.7</v>
      </c>
    </row>
    <row r="17" spans="2:8" x14ac:dyDescent="0.35">
      <c r="B17" s="1">
        <v>30.2</v>
      </c>
      <c r="C17" s="1">
        <v>31</v>
      </c>
      <c r="D17" s="1">
        <v>31.5</v>
      </c>
    </row>
    <row r="18" spans="2:8" x14ac:dyDescent="0.35">
      <c r="B18" s="1">
        <v>50.8</v>
      </c>
      <c r="C18" s="1">
        <v>51.2</v>
      </c>
      <c r="D18" s="1">
        <v>53.7</v>
      </c>
    </row>
    <row r="19" spans="2:8" x14ac:dyDescent="0.35">
      <c r="B19" s="1">
        <v>41</v>
      </c>
      <c r="C19" s="1">
        <v>46.7</v>
      </c>
      <c r="D19" s="1">
        <v>36.4</v>
      </c>
    </row>
    <row r="20" spans="2:8" x14ac:dyDescent="0.35">
      <c r="B20" s="1">
        <v>43.7</v>
      </c>
      <c r="C20" s="1">
        <v>40.4</v>
      </c>
      <c r="D20" s="1">
        <v>43</v>
      </c>
    </row>
    <row r="21" spans="2:8" x14ac:dyDescent="0.35">
      <c r="B21" s="1">
        <v>43.6</v>
      </c>
      <c r="C21" s="1">
        <v>44.1</v>
      </c>
      <c r="D21" s="1">
        <v>48.9</v>
      </c>
    </row>
    <row r="22" spans="2:8" x14ac:dyDescent="0.35">
      <c r="B22" s="1">
        <v>43.6</v>
      </c>
      <c r="C22" s="1">
        <v>44.8</v>
      </c>
      <c r="D22" s="1">
        <v>43.5</v>
      </c>
    </row>
    <row r="23" spans="2:8" x14ac:dyDescent="0.35">
      <c r="B23" s="1">
        <v>51.6</v>
      </c>
      <c r="C23" s="1">
        <v>50.4</v>
      </c>
      <c r="D23" s="1">
        <v>53.6</v>
      </c>
    </row>
    <row r="24" spans="2:8" x14ac:dyDescent="0.35">
      <c r="B24" s="1">
        <v>27.8</v>
      </c>
      <c r="C24" s="1">
        <v>28.5</v>
      </c>
      <c r="D24" s="1">
        <v>28.7</v>
      </c>
    </row>
    <row r="25" spans="2:8" x14ac:dyDescent="0.35">
      <c r="B25" s="1">
        <v>29</v>
      </c>
      <c r="C25" s="1">
        <v>28.3</v>
      </c>
      <c r="D25" s="1">
        <v>30.9</v>
      </c>
    </row>
    <row r="26" spans="2:8" x14ac:dyDescent="0.35">
      <c r="B26" s="1">
        <v>29</v>
      </c>
      <c r="C26" s="1">
        <v>27.7</v>
      </c>
      <c r="D26" s="1">
        <v>26.3</v>
      </c>
    </row>
    <row r="27" spans="2:8" x14ac:dyDescent="0.35">
      <c r="B27" s="1">
        <v>30.3</v>
      </c>
      <c r="C27" s="1">
        <v>35.700000000000003</v>
      </c>
      <c r="D27" s="1">
        <v>34.200000000000003</v>
      </c>
    </row>
    <row r="28" spans="2:8" x14ac:dyDescent="0.35">
      <c r="B28" s="9">
        <v>34.9</v>
      </c>
      <c r="C28" s="9">
        <v>36.1</v>
      </c>
      <c r="D28" s="9">
        <v>35.4</v>
      </c>
      <c r="E28" s="10"/>
      <c r="F28" s="10"/>
      <c r="G28" s="10"/>
      <c r="H2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A5F9-A05A-4AF7-9F6F-D8B04ACF12B3}">
  <dimension ref="A4:H29"/>
  <sheetViews>
    <sheetView workbookViewId="0"/>
  </sheetViews>
  <sheetFormatPr defaultRowHeight="14.5" x14ac:dyDescent="0.35"/>
  <sheetData>
    <row r="4" spans="2:8" x14ac:dyDescent="0.35">
      <c r="B4" s="8" t="s">
        <v>49</v>
      </c>
      <c r="C4" s="8" t="s">
        <v>50</v>
      </c>
      <c r="D4" s="8" t="s">
        <v>51</v>
      </c>
      <c r="E4" s="8" t="s">
        <v>19</v>
      </c>
      <c r="F4" s="8" t="s">
        <v>52</v>
      </c>
      <c r="G4" s="8" t="s">
        <v>53</v>
      </c>
      <c r="H4" s="8" t="s">
        <v>54</v>
      </c>
    </row>
    <row r="5" spans="2:8" x14ac:dyDescent="0.35">
      <c r="B5" s="1">
        <v>38.1</v>
      </c>
      <c r="C5" s="1">
        <v>43.6</v>
      </c>
      <c r="D5" s="1">
        <v>47.7</v>
      </c>
      <c r="E5" s="4">
        <f>_xlfn.STDEV.S(B5:D5)</f>
        <v>4.8169838419215543</v>
      </c>
      <c r="F5" s="4">
        <f>AVERAGE(B5:D5)</f>
        <v>43.133333333333333</v>
      </c>
      <c r="G5" s="4">
        <f>_xlfn.STDEV.S(B5:D5)/AVERAGE(B5:D5)*100</f>
        <v>11.167659602600203</v>
      </c>
      <c r="H5" s="4">
        <f>MAX(B5:D5)</f>
        <v>47.7</v>
      </c>
    </row>
    <row r="6" spans="2:8" x14ac:dyDescent="0.35">
      <c r="B6" s="1">
        <v>34.1</v>
      </c>
      <c r="C6" s="1">
        <v>35.700000000000003</v>
      </c>
      <c r="D6" s="1">
        <v>36</v>
      </c>
      <c r="E6" s="4">
        <f t="shared" ref="E6:E28" si="0">_xlfn.STDEV.S(B6:D6)</f>
        <v>1.0214368964029708</v>
      </c>
      <c r="F6" s="4">
        <f t="shared" ref="F6:F28" si="1">AVERAGE(B6:D6)</f>
        <v>35.266666666666673</v>
      </c>
      <c r="G6" s="4">
        <f t="shared" ref="G6:G28" si="2">_xlfn.STDEV.S(B6:D6)/AVERAGE(B6:D6)*100</f>
        <v>2.896323902843962</v>
      </c>
      <c r="H6" s="4">
        <f t="shared" ref="H6:H28" si="3">MAX(B6:D6)</f>
        <v>36</v>
      </c>
    </row>
    <row r="7" spans="2:8" x14ac:dyDescent="0.35">
      <c r="B7" s="1">
        <v>42.8</v>
      </c>
      <c r="C7" s="1">
        <v>42.2</v>
      </c>
      <c r="D7" s="1">
        <v>41.9</v>
      </c>
      <c r="E7" s="4">
        <f t="shared" si="0"/>
        <v>0.45825756949558277</v>
      </c>
      <c r="F7" s="4">
        <f t="shared" si="1"/>
        <v>42.300000000000004</v>
      </c>
      <c r="G7" s="4">
        <f t="shared" si="2"/>
        <v>1.0833512281219451</v>
      </c>
      <c r="H7" s="4">
        <f t="shared" si="3"/>
        <v>42.8</v>
      </c>
    </row>
    <row r="8" spans="2:8" x14ac:dyDescent="0.35">
      <c r="B8" s="1">
        <v>50.4</v>
      </c>
      <c r="C8" s="1">
        <v>52.2</v>
      </c>
      <c r="D8" s="1">
        <v>52.2</v>
      </c>
      <c r="E8" s="4">
        <f t="shared" si="0"/>
        <v>1.0392304845413289</v>
      </c>
      <c r="F8" s="4">
        <f t="shared" si="1"/>
        <v>51.6</v>
      </c>
      <c r="G8" s="4">
        <f t="shared" si="2"/>
        <v>2.01401256694056</v>
      </c>
      <c r="H8" s="4">
        <f t="shared" si="3"/>
        <v>52.2</v>
      </c>
    </row>
    <row r="9" spans="2:8" x14ac:dyDescent="0.35">
      <c r="B9" s="1">
        <v>37</v>
      </c>
      <c r="C9" s="1">
        <v>36.1</v>
      </c>
      <c r="D9" s="1">
        <v>36.9</v>
      </c>
      <c r="E9" s="4">
        <f t="shared" si="0"/>
        <v>0.49328828623162357</v>
      </c>
      <c r="F9" s="4">
        <f t="shared" si="1"/>
        <v>36.666666666666664</v>
      </c>
      <c r="G9" s="4">
        <f t="shared" si="2"/>
        <v>1.34533168972261</v>
      </c>
      <c r="H9" s="4">
        <f t="shared" si="3"/>
        <v>37</v>
      </c>
    </row>
    <row r="10" spans="2:8" x14ac:dyDescent="0.35">
      <c r="B10" s="1">
        <v>42.1</v>
      </c>
      <c r="C10" s="1">
        <v>40.700000000000003</v>
      </c>
      <c r="D10" s="1">
        <v>45.1</v>
      </c>
      <c r="E10" s="4">
        <f t="shared" si="0"/>
        <v>2.247962040011648</v>
      </c>
      <c r="F10" s="4">
        <f t="shared" si="1"/>
        <v>42.633333333333333</v>
      </c>
      <c r="G10" s="4">
        <f t="shared" si="2"/>
        <v>5.2727803909577364</v>
      </c>
      <c r="H10" s="4">
        <f t="shared" si="3"/>
        <v>45.1</v>
      </c>
    </row>
    <row r="11" spans="2:8" x14ac:dyDescent="0.35">
      <c r="B11" s="1">
        <v>44.5</v>
      </c>
      <c r="C11" s="1">
        <v>42.3</v>
      </c>
      <c r="D11" s="1">
        <v>45.2</v>
      </c>
      <c r="E11" s="4">
        <f t="shared" si="0"/>
        <v>1.5132745950421582</v>
      </c>
      <c r="F11" s="4">
        <f t="shared" si="1"/>
        <v>44</v>
      </c>
      <c r="G11" s="4">
        <f t="shared" si="2"/>
        <v>3.4392604432776324</v>
      </c>
      <c r="H11" s="4">
        <f t="shared" si="3"/>
        <v>45.2</v>
      </c>
    </row>
    <row r="12" spans="2:8" x14ac:dyDescent="0.35">
      <c r="B12" s="1">
        <v>37.9</v>
      </c>
      <c r="C12" s="1">
        <v>33.299999999999997</v>
      </c>
      <c r="D12" s="1">
        <v>39.6</v>
      </c>
      <c r="E12" s="4">
        <f t="shared" si="0"/>
        <v>3.2593455375785712</v>
      </c>
      <c r="F12" s="4">
        <f t="shared" si="1"/>
        <v>36.93333333333333</v>
      </c>
      <c r="G12" s="4">
        <f t="shared" si="2"/>
        <v>8.8249427912777207</v>
      </c>
      <c r="H12" s="4">
        <f t="shared" si="3"/>
        <v>39.6</v>
      </c>
    </row>
    <row r="13" spans="2:8" x14ac:dyDescent="0.35">
      <c r="B13" s="1">
        <v>43.6</v>
      </c>
      <c r="C13" s="1">
        <v>44.9</v>
      </c>
      <c r="D13" s="1">
        <v>37.4</v>
      </c>
      <c r="E13" s="4">
        <f t="shared" si="0"/>
        <v>4.0079088479322156</v>
      </c>
      <c r="F13" s="4">
        <f t="shared" si="1"/>
        <v>41.966666666666669</v>
      </c>
      <c r="G13" s="4">
        <f t="shared" si="2"/>
        <v>9.5502196535318866</v>
      </c>
      <c r="H13" s="4">
        <f t="shared" si="3"/>
        <v>44.9</v>
      </c>
    </row>
    <row r="14" spans="2:8" x14ac:dyDescent="0.35">
      <c r="B14" s="1">
        <v>35.4</v>
      </c>
      <c r="C14" s="1">
        <v>40.1</v>
      </c>
      <c r="D14" s="1">
        <v>39.5</v>
      </c>
      <c r="E14" s="4">
        <f t="shared" si="0"/>
        <v>2.5579940057266239</v>
      </c>
      <c r="F14" s="4">
        <f t="shared" si="1"/>
        <v>38.333333333333336</v>
      </c>
      <c r="G14" s="4">
        <f t="shared" si="2"/>
        <v>6.6730278410259745</v>
      </c>
      <c r="H14" s="4">
        <f t="shared" si="3"/>
        <v>40.1</v>
      </c>
    </row>
    <row r="15" spans="2:8" x14ac:dyDescent="0.35">
      <c r="B15" s="1">
        <v>45.3</v>
      </c>
      <c r="C15" s="1">
        <v>44.4</v>
      </c>
      <c r="D15" s="1">
        <v>43.9</v>
      </c>
      <c r="E15" s="4">
        <f t="shared" si="0"/>
        <v>0.70945988845975805</v>
      </c>
      <c r="F15" s="4">
        <f t="shared" si="1"/>
        <v>44.533333333333331</v>
      </c>
      <c r="G15" s="4">
        <f t="shared" si="2"/>
        <v>1.5930985519305945</v>
      </c>
      <c r="H15" s="4">
        <f t="shared" si="3"/>
        <v>45.3</v>
      </c>
    </row>
    <row r="16" spans="2:8" x14ac:dyDescent="0.35">
      <c r="B16" s="1">
        <v>46.6</v>
      </c>
      <c r="C16" s="1">
        <v>47.7</v>
      </c>
      <c r="D16" s="1">
        <v>47.7</v>
      </c>
      <c r="E16" s="4">
        <f t="shared" si="0"/>
        <v>0.63508529610858921</v>
      </c>
      <c r="F16" s="4">
        <f t="shared" si="1"/>
        <v>47.333333333333336</v>
      </c>
      <c r="G16" s="4">
        <f t="shared" si="2"/>
        <v>1.3417294988209629</v>
      </c>
      <c r="H16" s="4">
        <f t="shared" si="3"/>
        <v>47.7</v>
      </c>
    </row>
    <row r="17" spans="1:8" x14ac:dyDescent="0.35">
      <c r="B17" s="1">
        <v>30.2</v>
      </c>
      <c r="C17" s="1">
        <v>31</v>
      </c>
      <c r="D17" s="1">
        <v>31.5</v>
      </c>
      <c r="E17" s="4">
        <f t="shared" si="0"/>
        <v>0.65574385243020039</v>
      </c>
      <c r="F17" s="4">
        <f t="shared" si="1"/>
        <v>30.900000000000002</v>
      </c>
      <c r="G17" s="4">
        <f t="shared" si="2"/>
        <v>2.1221483897417488</v>
      </c>
      <c r="H17" s="4">
        <f t="shared" si="3"/>
        <v>31.5</v>
      </c>
    </row>
    <row r="18" spans="1:8" x14ac:dyDescent="0.35">
      <c r="B18" s="1">
        <v>50.8</v>
      </c>
      <c r="C18" s="1">
        <v>51.2</v>
      </c>
      <c r="D18" s="1">
        <v>53.7</v>
      </c>
      <c r="E18" s="4">
        <f t="shared" si="0"/>
        <v>1.5716233645501729</v>
      </c>
      <c r="F18" s="4">
        <f t="shared" si="1"/>
        <v>51.9</v>
      </c>
      <c r="G18" s="4">
        <f t="shared" si="2"/>
        <v>3.0281760395957091</v>
      </c>
      <c r="H18" s="4">
        <f t="shared" si="3"/>
        <v>53.7</v>
      </c>
    </row>
    <row r="19" spans="1:8" x14ac:dyDescent="0.35">
      <c r="B19" s="1">
        <v>41</v>
      </c>
      <c r="C19" s="1">
        <v>46.7</v>
      </c>
      <c r="D19" s="1">
        <v>36.4</v>
      </c>
      <c r="E19" s="4">
        <f t="shared" si="0"/>
        <v>5.1597803570824068</v>
      </c>
      <c r="F19" s="4">
        <f t="shared" si="1"/>
        <v>41.366666666666667</v>
      </c>
      <c r="G19" s="4">
        <f t="shared" si="2"/>
        <v>12.473280476428059</v>
      </c>
      <c r="H19" s="4">
        <f t="shared" si="3"/>
        <v>46.7</v>
      </c>
    </row>
    <row r="20" spans="1:8" x14ac:dyDescent="0.35">
      <c r="B20" s="1">
        <v>43.7</v>
      </c>
      <c r="C20" s="1">
        <v>40.4</v>
      </c>
      <c r="D20" s="1">
        <v>43</v>
      </c>
      <c r="E20" s="4">
        <f t="shared" si="0"/>
        <v>1.7387735140993321</v>
      </c>
      <c r="F20" s="4">
        <f t="shared" si="1"/>
        <v>42.366666666666667</v>
      </c>
      <c r="G20" s="4">
        <f t="shared" si="2"/>
        <v>4.104107429030682</v>
      </c>
      <c r="H20" s="4">
        <f t="shared" si="3"/>
        <v>43.7</v>
      </c>
    </row>
    <row r="21" spans="1:8" x14ac:dyDescent="0.35">
      <c r="B21" s="1">
        <v>43.6</v>
      </c>
      <c r="C21" s="1">
        <v>44.1</v>
      </c>
      <c r="D21" s="1">
        <v>48.9</v>
      </c>
      <c r="E21" s="4">
        <f t="shared" si="0"/>
        <v>2.9263173671584775</v>
      </c>
      <c r="F21" s="4">
        <f t="shared" si="1"/>
        <v>45.533333333333331</v>
      </c>
      <c r="G21" s="4">
        <f t="shared" si="2"/>
        <v>6.4267584930274024</v>
      </c>
      <c r="H21" s="4">
        <f t="shared" si="3"/>
        <v>48.9</v>
      </c>
    </row>
    <row r="22" spans="1:8" x14ac:dyDescent="0.35">
      <c r="B22" s="1">
        <v>43.6</v>
      </c>
      <c r="C22" s="1">
        <v>44.8</v>
      </c>
      <c r="D22" s="1">
        <v>43.5</v>
      </c>
      <c r="E22" s="4">
        <f t="shared" si="0"/>
        <v>0.72341781380702153</v>
      </c>
      <c r="F22" s="4">
        <f t="shared" si="1"/>
        <v>43.966666666666669</v>
      </c>
      <c r="G22" s="4">
        <f t="shared" si="2"/>
        <v>1.645377893420064</v>
      </c>
      <c r="H22" s="4">
        <f t="shared" si="3"/>
        <v>44.8</v>
      </c>
    </row>
    <row r="23" spans="1:8" x14ac:dyDescent="0.35">
      <c r="B23" s="1">
        <v>51.6</v>
      </c>
      <c r="C23" s="1">
        <v>50.4</v>
      </c>
      <c r="D23" s="1">
        <v>53.6</v>
      </c>
      <c r="E23" s="4">
        <f t="shared" si="0"/>
        <v>1.6165807537309536</v>
      </c>
      <c r="F23" s="4">
        <f t="shared" si="1"/>
        <v>51.866666666666667</v>
      </c>
      <c r="G23" s="4">
        <f t="shared" si="2"/>
        <v>3.1168009390699618</v>
      </c>
      <c r="H23" s="4">
        <f t="shared" si="3"/>
        <v>53.6</v>
      </c>
    </row>
    <row r="24" spans="1:8" x14ac:dyDescent="0.35">
      <c r="B24" s="1">
        <v>27.8</v>
      </c>
      <c r="C24" s="1">
        <v>28.5</v>
      </c>
      <c r="D24" s="1">
        <v>28.7</v>
      </c>
      <c r="E24" s="4">
        <f t="shared" si="0"/>
        <v>0.47258156262526019</v>
      </c>
      <c r="F24" s="4">
        <f t="shared" si="1"/>
        <v>28.333333333333332</v>
      </c>
      <c r="G24" s="4">
        <f t="shared" si="2"/>
        <v>1.6679349269126831</v>
      </c>
      <c r="H24" s="4">
        <f t="shared" si="3"/>
        <v>28.7</v>
      </c>
    </row>
    <row r="25" spans="1:8" x14ac:dyDescent="0.35">
      <c r="B25" s="1">
        <v>29</v>
      </c>
      <c r="C25" s="1">
        <v>28.3</v>
      </c>
      <c r="D25" s="1">
        <v>30.9</v>
      </c>
      <c r="E25" s="4">
        <f t="shared" si="0"/>
        <v>1.34536240470737</v>
      </c>
      <c r="F25" s="4">
        <f t="shared" si="1"/>
        <v>29.399999999999995</v>
      </c>
      <c r="G25" s="4">
        <f t="shared" si="2"/>
        <v>4.5760626010454768</v>
      </c>
      <c r="H25" s="4">
        <f t="shared" si="3"/>
        <v>30.9</v>
      </c>
    </row>
    <row r="26" spans="1:8" x14ac:dyDescent="0.35">
      <c r="B26" s="1">
        <v>29</v>
      </c>
      <c r="C26" s="1">
        <v>27.7</v>
      </c>
      <c r="D26" s="1">
        <v>26.3</v>
      </c>
      <c r="E26" s="4">
        <f t="shared" si="0"/>
        <v>1.3503086067019392</v>
      </c>
      <c r="F26" s="4">
        <f t="shared" si="1"/>
        <v>27.666666666666668</v>
      </c>
      <c r="G26" s="4">
        <f t="shared" si="2"/>
        <v>4.8806335181997795</v>
      </c>
      <c r="H26" s="4">
        <f t="shared" si="3"/>
        <v>29</v>
      </c>
    </row>
    <row r="27" spans="1:8" x14ac:dyDescent="0.35">
      <c r="B27" s="1">
        <v>30.3</v>
      </c>
      <c r="C27" s="1">
        <v>35.700000000000003</v>
      </c>
      <c r="D27" s="1">
        <v>34.200000000000003</v>
      </c>
      <c r="E27" s="4">
        <f t="shared" si="0"/>
        <v>2.7874719729532722</v>
      </c>
      <c r="F27" s="4">
        <f t="shared" si="1"/>
        <v>33.4</v>
      </c>
      <c r="G27" s="4">
        <f t="shared" si="2"/>
        <v>8.3457244699199773</v>
      </c>
      <c r="H27" s="4">
        <f t="shared" si="3"/>
        <v>35.700000000000003</v>
      </c>
    </row>
    <row r="28" spans="1:8" x14ac:dyDescent="0.35">
      <c r="B28" s="9">
        <v>34.9</v>
      </c>
      <c r="C28" s="9">
        <v>36.1</v>
      </c>
      <c r="D28" s="9">
        <v>35.4</v>
      </c>
      <c r="E28" s="11">
        <f t="shared" si="0"/>
        <v>0.6027713773341723</v>
      </c>
      <c r="F28" s="11">
        <f t="shared" si="1"/>
        <v>35.466666666666669</v>
      </c>
      <c r="G28" s="11">
        <f t="shared" si="2"/>
        <v>1.6995433571452228</v>
      </c>
      <c r="H28" s="11">
        <f t="shared" si="3"/>
        <v>36.1</v>
      </c>
    </row>
    <row r="29" spans="1:8" x14ac:dyDescent="0.35">
      <c r="A29" s="12" t="s">
        <v>55</v>
      </c>
      <c r="B29" s="13">
        <f>AVERAGE(B5:B28)</f>
        <v>39.720833333333331</v>
      </c>
      <c r="C29" s="13">
        <f t="shared" ref="C29:H29" si="4">AVERAGE(C5:C28)</f>
        <v>40.337500000000006</v>
      </c>
      <c r="D29" s="13">
        <f t="shared" si="4"/>
        <v>40.800000000000004</v>
      </c>
      <c r="E29" s="13">
        <f t="shared" si="4"/>
        <v>1.8212900098597169</v>
      </c>
      <c r="F29" s="13">
        <f t="shared" si="4"/>
        <v>40.286111111111111</v>
      </c>
      <c r="G29" s="13">
        <f t="shared" si="4"/>
        <v>4.5536786122745223</v>
      </c>
      <c r="H29" s="13">
        <f t="shared" si="4"/>
        <v>41.954166666666673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9F41-024F-417F-B12E-D9BD6E476A82}">
  <dimension ref="A1:E13"/>
  <sheetViews>
    <sheetView workbookViewId="0">
      <selection activeCell="E1" sqref="E1"/>
    </sheetView>
  </sheetViews>
  <sheetFormatPr defaultRowHeight="14.5" x14ac:dyDescent="0.35"/>
  <cols>
    <col min="1" max="1" width="10.0898437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1" t="s">
        <v>5</v>
      </c>
      <c r="B2" s="1" t="s">
        <v>6</v>
      </c>
      <c r="C2" s="1">
        <v>28.6</v>
      </c>
      <c r="D2" s="1">
        <v>29.2</v>
      </c>
      <c r="E2" s="1">
        <v>29</v>
      </c>
    </row>
    <row r="3" spans="1:5" x14ac:dyDescent="0.35">
      <c r="A3" s="1" t="s">
        <v>7</v>
      </c>
      <c r="B3" s="1" t="s">
        <v>6</v>
      </c>
      <c r="C3" s="1">
        <v>29.4</v>
      </c>
      <c r="D3" s="1">
        <v>30.1</v>
      </c>
      <c r="E3" s="1">
        <v>29.8</v>
      </c>
    </row>
    <row r="4" spans="1:5" x14ac:dyDescent="0.35">
      <c r="A4" s="1" t="s">
        <v>8</v>
      </c>
      <c r="B4" s="1" t="s">
        <v>6</v>
      </c>
      <c r="C4" s="1">
        <v>30.2</v>
      </c>
      <c r="D4" s="1">
        <v>30.8</v>
      </c>
      <c r="E4" s="1">
        <v>31</v>
      </c>
    </row>
    <row r="5" spans="1:5" x14ac:dyDescent="0.35">
      <c r="A5" s="1" t="s">
        <v>9</v>
      </c>
      <c r="B5" s="1" t="s">
        <v>6</v>
      </c>
      <c r="C5" s="1">
        <v>31</v>
      </c>
      <c r="D5" s="1">
        <v>31.4</v>
      </c>
      <c r="E5" s="1">
        <v>31.9</v>
      </c>
    </row>
    <row r="6" spans="1:5" x14ac:dyDescent="0.35">
      <c r="A6" s="1" t="s">
        <v>10</v>
      </c>
      <c r="B6" s="1" t="s">
        <v>6</v>
      </c>
      <c r="C6" s="1">
        <v>32.200000000000003</v>
      </c>
      <c r="D6" s="1">
        <v>32.799999999999997</v>
      </c>
      <c r="E6" s="1">
        <v>33.1</v>
      </c>
    </row>
    <row r="7" spans="1:5" x14ac:dyDescent="0.35">
      <c r="A7" s="1" t="s">
        <v>11</v>
      </c>
      <c r="B7" s="1" t="s">
        <v>6</v>
      </c>
      <c r="C7" s="1">
        <v>33</v>
      </c>
      <c r="D7" s="1">
        <v>33.6</v>
      </c>
      <c r="E7" s="1">
        <v>34</v>
      </c>
    </row>
    <row r="8" spans="1:5" x14ac:dyDescent="0.35">
      <c r="A8" s="1" t="s">
        <v>12</v>
      </c>
      <c r="B8" s="1" t="s">
        <v>6</v>
      </c>
      <c r="C8" s="1">
        <v>31.6</v>
      </c>
      <c r="D8" s="1">
        <v>32.200000000000003</v>
      </c>
      <c r="E8" s="1">
        <v>32</v>
      </c>
    </row>
    <row r="9" spans="1:5" x14ac:dyDescent="0.35">
      <c r="A9" s="1" t="s">
        <v>13</v>
      </c>
      <c r="B9" s="1" t="s">
        <v>6</v>
      </c>
      <c r="C9" s="1">
        <v>33.799999999999997</v>
      </c>
      <c r="D9" s="1">
        <v>34.6</v>
      </c>
      <c r="E9" s="1">
        <v>34.200000000000003</v>
      </c>
    </row>
    <row r="10" spans="1:5" x14ac:dyDescent="0.35">
      <c r="A10" s="1" t="s">
        <v>14</v>
      </c>
      <c r="B10" s="1" t="s">
        <v>6</v>
      </c>
      <c r="C10" s="1">
        <v>35</v>
      </c>
      <c r="D10" s="1">
        <v>35.799999999999997</v>
      </c>
      <c r="E10" s="1">
        <v>36.1</v>
      </c>
    </row>
    <row r="11" spans="1:5" x14ac:dyDescent="0.35">
      <c r="A11" s="1" t="s">
        <v>15</v>
      </c>
      <c r="B11" s="1" t="s">
        <v>6</v>
      </c>
      <c r="C11" s="1">
        <v>36</v>
      </c>
      <c r="D11" s="1">
        <v>36.6</v>
      </c>
      <c r="E11" s="1">
        <v>37.200000000000003</v>
      </c>
    </row>
    <row r="12" spans="1:5" x14ac:dyDescent="0.35">
      <c r="A12" s="1" t="s">
        <v>16</v>
      </c>
      <c r="B12" s="1" t="s">
        <v>6</v>
      </c>
      <c r="C12" s="1">
        <v>37.1</v>
      </c>
      <c r="D12" s="1">
        <v>37.6</v>
      </c>
      <c r="E12" s="1">
        <v>38</v>
      </c>
    </row>
    <row r="13" spans="1:5" x14ac:dyDescent="0.35">
      <c r="A13" s="1" t="s">
        <v>17</v>
      </c>
      <c r="B13" s="1" t="s">
        <v>6</v>
      </c>
      <c r="C13" s="1">
        <v>38.200000000000003</v>
      </c>
      <c r="D13" s="1">
        <v>38.799999999999997</v>
      </c>
      <c r="E13" s="1">
        <v>39.4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BF21-714D-498A-9C76-A7A72A640D5A}">
  <dimension ref="A1:S13"/>
  <sheetViews>
    <sheetView tabSelected="1" topLeftCell="K1" workbookViewId="0">
      <selection activeCell="R1" sqref="R1"/>
    </sheetView>
  </sheetViews>
  <sheetFormatPr defaultRowHeight="14.5" x14ac:dyDescent="0.35"/>
  <cols>
    <col min="1" max="1" width="11.1796875" style="2" bestFit="1" customWidth="1"/>
    <col min="2" max="2" width="14.08984375" style="1" customWidth="1"/>
    <col min="3" max="3" width="11.08984375" style="1" customWidth="1"/>
    <col min="4" max="4" width="11.1796875" style="1" customWidth="1"/>
    <col min="5" max="5" width="11.453125" style="1" customWidth="1"/>
    <col min="6" max="6" width="10.453125" style="1" customWidth="1"/>
    <col min="7" max="7" width="8.7265625" style="1"/>
    <col min="8" max="8" width="14" style="1" customWidth="1"/>
    <col min="9" max="9" width="12.36328125" style="1" customWidth="1"/>
    <col min="10" max="10" width="17.08984375" style="1" customWidth="1"/>
    <col min="11" max="11" width="16.90625" style="1" customWidth="1"/>
    <col min="12" max="12" width="22.7265625" style="1" customWidth="1"/>
    <col min="13" max="13" width="16.36328125" style="1" customWidth="1"/>
    <col min="14" max="14" width="14.26953125" style="1" customWidth="1"/>
    <col min="15" max="15" width="13.453125" style="1" customWidth="1"/>
    <col min="16" max="16" width="20" style="1" bestFit="1" customWidth="1"/>
    <col min="17" max="17" width="21.81640625" style="1" customWidth="1"/>
    <col min="18" max="18" width="23.1796875" style="1" bestFit="1" customWidth="1"/>
    <col min="19" max="19" width="17.26953125" style="1" customWidth="1"/>
    <col min="20" max="16384" width="8.7265625" style="1"/>
  </cols>
  <sheetData>
    <row r="1" spans="1:19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80</v>
      </c>
      <c r="K1" s="1" t="s">
        <v>22</v>
      </c>
      <c r="L1" s="1" t="s">
        <v>81</v>
      </c>
      <c r="M1" s="1" t="s">
        <v>23</v>
      </c>
      <c r="N1" s="1" t="s">
        <v>24</v>
      </c>
      <c r="O1" s="1" t="s">
        <v>25</v>
      </c>
      <c r="P1" s="1" t="s">
        <v>83</v>
      </c>
      <c r="Q1" s="1" t="s">
        <v>26</v>
      </c>
      <c r="R1" s="1" t="s">
        <v>82</v>
      </c>
      <c r="S1" s="1" t="s">
        <v>27</v>
      </c>
    </row>
    <row r="2" spans="1:19" x14ac:dyDescent="0.35">
      <c r="A2" s="3" t="s">
        <v>5</v>
      </c>
      <c r="B2" s="1" t="s">
        <v>6</v>
      </c>
      <c r="C2" s="3">
        <v>28.6</v>
      </c>
      <c r="D2" s="3">
        <v>29.2</v>
      </c>
      <c r="E2" s="3">
        <v>29</v>
      </c>
      <c r="F2" s="1">
        <f>MAX(C2:E2)</f>
        <v>29.2</v>
      </c>
      <c r="G2" s="4">
        <f>_xlfn.STDEV.S(C2:E2)</f>
        <v>0.30550504633038827</v>
      </c>
      <c r="M2" s="1" t="str">
        <f>IF(L2="","No previous",IF(L2&gt;=2,"Very likely Better",IF(L2&gt;=1,"Likely Better",IF(L2&lt;=-2,"Very Likely Drop",IF(L2&lt;=-1,"Likely Drop",IF(AND(L2&gt;-1,L2&lt;1),"Stable",""))))))</f>
        <v>No previous</v>
      </c>
      <c r="N2" s="4">
        <f t="shared" ref="N2:O13" si="0">F$2</f>
        <v>29.2</v>
      </c>
      <c r="O2" s="4">
        <f t="shared" si="0"/>
        <v>0.30550504633038827</v>
      </c>
      <c r="P2" s="4">
        <f>PerfData[[#This Row],[Best]]-PerfData[[#This Row],[Base_Best]]</f>
        <v>0</v>
      </c>
      <c r="Q2" s="4">
        <f>SQRT(PerfData[[#This Row],[Base_SD]]^2+PerfData[[#This Row],[SD]]^2)</f>
        <v>0.43204937989385583</v>
      </c>
      <c r="R2" s="4">
        <f>PerfData[[#This Row],[Curr_minus_Base]]/PerfData[[#This Row],[Combined_SD_Base]]</f>
        <v>0</v>
      </c>
      <c r="S2" s="4" t="str">
        <f t="shared" ref="S2:S13" si="1">IF(R2="","No previous",IF(R2&gt;=2,"Very likely Better",IF(R2&gt;=1,"Likely Better",IF(R2&lt;=-2,"Very Likely Drop",IF(R2&lt;=-1,"Likely Drop",IF(AND(R2&gt;-1,R2&lt;1),"Stable",""))))))</f>
        <v>Stable</v>
      </c>
    </row>
    <row r="3" spans="1:19" x14ac:dyDescent="0.35">
      <c r="A3" s="3" t="s">
        <v>7</v>
      </c>
      <c r="B3" s="1" t="s">
        <v>6</v>
      </c>
      <c r="C3" s="3">
        <v>29.4</v>
      </c>
      <c r="D3" s="3">
        <v>30.1</v>
      </c>
      <c r="E3" s="3">
        <v>29.8</v>
      </c>
      <c r="F3" s="1">
        <f t="shared" ref="F3:F8" si="2">MAX(C3:E3)</f>
        <v>30.1</v>
      </c>
      <c r="G3" s="4">
        <f t="shared" ref="G3:G8" si="3">_xlfn.STDEV.S(C3:E3)</f>
        <v>0.35118845842842605</v>
      </c>
      <c r="H3" s="4">
        <f>F2</f>
        <v>29.2</v>
      </c>
      <c r="I3" s="4">
        <f>G2</f>
        <v>0.30550504633038827</v>
      </c>
      <c r="J3" s="4">
        <f>F3-F2</f>
        <v>0.90000000000000213</v>
      </c>
      <c r="K3" s="4">
        <f>SQRT(G2^2+G3^2)</f>
        <v>0.46547466812563176</v>
      </c>
      <c r="L3" s="4">
        <f>J3/K3</f>
        <v>1.9335101599064717</v>
      </c>
      <c r="M3" s="1" t="str">
        <f t="shared" ref="M3:M13" si="4">IF(L3="","No previous",IF(L3&gt;=2,"Very likely Better",IF(L3&gt;=1,"Likely Better",IF(L3&lt;=-2,"Very Likely Drop",IF(L3&lt;=-1,"Likely Drop",IF(AND(L3&gt;-1,L3&lt;1),"Stable",""))))))</f>
        <v>Likely Better</v>
      </c>
      <c r="N3" s="4">
        <f t="shared" si="0"/>
        <v>29.2</v>
      </c>
      <c r="O3" s="4">
        <f t="shared" si="0"/>
        <v>0.30550504633038827</v>
      </c>
      <c r="P3" s="4">
        <f>PerfData[[#This Row],[Best]]-PerfData[[#This Row],[Base_Best]]</f>
        <v>0.90000000000000213</v>
      </c>
      <c r="Q3" s="4">
        <f>SQRT(PerfData[[#This Row],[Base_SD]]^2+PerfData[[#This Row],[SD]]^2)</f>
        <v>0.46547466812563176</v>
      </c>
      <c r="R3" s="4">
        <f>PerfData[[#This Row],[Curr_minus_Base]]/PerfData[[#This Row],[Combined_SD_Base]]</f>
        <v>1.9335101599064717</v>
      </c>
      <c r="S3" s="4" t="str">
        <f t="shared" si="1"/>
        <v>Likely Better</v>
      </c>
    </row>
    <row r="4" spans="1:19" x14ac:dyDescent="0.35">
      <c r="A4" s="3" t="s">
        <v>8</v>
      </c>
      <c r="B4" s="1" t="s">
        <v>6</v>
      </c>
      <c r="C4" s="3">
        <v>30.2</v>
      </c>
      <c r="D4" s="3">
        <v>30.8</v>
      </c>
      <c r="E4" s="3">
        <v>31</v>
      </c>
      <c r="F4" s="1">
        <f t="shared" si="2"/>
        <v>31</v>
      </c>
      <c r="G4" s="4">
        <f t="shared" si="3"/>
        <v>0.41633319989322704</v>
      </c>
      <c r="H4" s="4">
        <f t="shared" ref="H4:I8" si="5">F3</f>
        <v>30.1</v>
      </c>
      <c r="I4" s="4">
        <f t="shared" si="5"/>
        <v>0.35118845842842605</v>
      </c>
      <c r="J4" s="4">
        <f t="shared" ref="J4:J8" si="6">F4-F3</f>
        <v>0.89999999999999858</v>
      </c>
      <c r="K4" s="4">
        <f t="shared" ref="K4:K8" si="7">SQRT(G3^2+G4^2)</f>
        <v>0.54467115461227433</v>
      </c>
      <c r="L4" s="4">
        <f t="shared" ref="L4:L8" si="8">J4/K4</f>
        <v>1.6523731656776759</v>
      </c>
      <c r="M4" s="1" t="str">
        <f t="shared" si="4"/>
        <v>Likely Better</v>
      </c>
      <c r="N4" s="4">
        <f t="shared" si="0"/>
        <v>29.2</v>
      </c>
      <c r="O4" s="4">
        <f t="shared" si="0"/>
        <v>0.30550504633038827</v>
      </c>
      <c r="P4" s="4">
        <f>PerfData[[#This Row],[Best]]-PerfData[[#This Row],[Base_Best]]</f>
        <v>1.8000000000000007</v>
      </c>
      <c r="Q4" s="4">
        <f>SQRT(PerfData[[#This Row],[Base_SD]]^2+PerfData[[#This Row],[SD]]^2)</f>
        <v>0.51639777949432197</v>
      </c>
      <c r="R4" s="4">
        <f>PerfData[[#This Row],[Curr_minus_Base]]/PerfData[[#This Row],[Combined_SD_Base]]</f>
        <v>3.4856850115866784</v>
      </c>
      <c r="S4" s="4" t="str">
        <f t="shared" si="1"/>
        <v>Very likely Better</v>
      </c>
    </row>
    <row r="5" spans="1:19" x14ac:dyDescent="0.35">
      <c r="A5" s="3" t="s">
        <v>9</v>
      </c>
      <c r="B5" s="1" t="s">
        <v>6</v>
      </c>
      <c r="C5" s="3">
        <v>31</v>
      </c>
      <c r="D5" s="3">
        <v>31.4</v>
      </c>
      <c r="E5" s="3">
        <v>31.9</v>
      </c>
      <c r="F5" s="1">
        <f t="shared" si="2"/>
        <v>31.9</v>
      </c>
      <c r="G5" s="4">
        <f t="shared" si="3"/>
        <v>0.45092497528228875</v>
      </c>
      <c r="H5" s="4">
        <f t="shared" si="5"/>
        <v>31</v>
      </c>
      <c r="I5" s="4">
        <f t="shared" si="5"/>
        <v>0.41633319989322704</v>
      </c>
      <c r="J5" s="4">
        <f t="shared" si="6"/>
        <v>0.89999999999999858</v>
      </c>
      <c r="K5" s="4">
        <f t="shared" si="7"/>
        <v>0.61373175465073215</v>
      </c>
      <c r="L5" s="4">
        <f t="shared" si="8"/>
        <v>1.4664387058026327</v>
      </c>
      <c r="M5" s="1" t="str">
        <f t="shared" si="4"/>
        <v>Likely Better</v>
      </c>
      <c r="N5" s="4">
        <f t="shared" si="0"/>
        <v>29.2</v>
      </c>
      <c r="O5" s="4">
        <f t="shared" si="0"/>
        <v>0.30550504633038827</v>
      </c>
      <c r="P5" s="4">
        <f>PerfData[[#This Row],[Best]]-PerfData[[#This Row],[Base_Best]]</f>
        <v>2.6999999999999993</v>
      </c>
      <c r="Q5" s="4">
        <f>SQRT(PerfData[[#This Row],[Base_SD]]^2+PerfData[[#This Row],[SD]]^2)</f>
        <v>0.54467115461227189</v>
      </c>
      <c r="R5" s="4">
        <f>PerfData[[#This Row],[Curr_minus_Base]]/PerfData[[#This Row],[Combined_SD_Base]]</f>
        <v>4.9571194970330561</v>
      </c>
      <c r="S5" s="4" t="str">
        <f t="shared" si="1"/>
        <v>Very likely Better</v>
      </c>
    </row>
    <row r="6" spans="1:19" x14ac:dyDescent="0.35">
      <c r="A6" s="3" t="s">
        <v>10</v>
      </c>
      <c r="B6" s="1" t="s">
        <v>6</v>
      </c>
      <c r="C6" s="3">
        <v>32.200000000000003</v>
      </c>
      <c r="D6" s="3">
        <v>32.799999999999997</v>
      </c>
      <c r="E6" s="3">
        <v>33.1</v>
      </c>
      <c r="F6" s="1">
        <f t="shared" si="2"/>
        <v>33.1</v>
      </c>
      <c r="G6" s="4">
        <f t="shared" si="3"/>
        <v>0.45825756949558277</v>
      </c>
      <c r="H6" s="4">
        <f t="shared" si="5"/>
        <v>31.9</v>
      </c>
      <c r="I6" s="4">
        <f t="shared" si="5"/>
        <v>0.45092497528228875</v>
      </c>
      <c r="J6" s="4">
        <f t="shared" si="6"/>
        <v>1.2000000000000028</v>
      </c>
      <c r="K6" s="4">
        <f t="shared" si="7"/>
        <v>0.64291005073286234</v>
      </c>
      <c r="L6" s="4">
        <f t="shared" si="8"/>
        <v>1.8665130505147738</v>
      </c>
      <c r="M6" s="1" t="str">
        <f t="shared" si="4"/>
        <v>Likely Better</v>
      </c>
      <c r="N6" s="4">
        <f t="shared" si="0"/>
        <v>29.2</v>
      </c>
      <c r="O6" s="4">
        <f t="shared" si="0"/>
        <v>0.30550504633038827</v>
      </c>
      <c r="P6" s="4">
        <f>PerfData[[#This Row],[Best]]-PerfData[[#This Row],[Base_Best]]</f>
        <v>3.9000000000000021</v>
      </c>
      <c r="Q6" s="4">
        <f>SQRT(PerfData[[#This Row],[Base_SD]]^2+PerfData[[#This Row],[SD]]^2)</f>
        <v>0.55075705472860859</v>
      </c>
      <c r="R6" s="4">
        <f>PerfData[[#This Row],[Curr_minus_Base]]/PerfData[[#This Row],[Combined_SD_Base]]</f>
        <v>7.0811621322250131</v>
      </c>
      <c r="S6" s="4" t="str">
        <f t="shared" si="1"/>
        <v>Very likely Better</v>
      </c>
    </row>
    <row r="7" spans="1:19" x14ac:dyDescent="0.35">
      <c r="A7" s="3" t="s">
        <v>11</v>
      </c>
      <c r="B7" s="1" t="s">
        <v>6</v>
      </c>
      <c r="C7" s="3">
        <v>33</v>
      </c>
      <c r="D7" s="3">
        <v>33.6</v>
      </c>
      <c r="E7" s="3">
        <v>34</v>
      </c>
      <c r="F7" s="1">
        <f t="shared" si="2"/>
        <v>34</v>
      </c>
      <c r="G7" s="4">
        <f t="shared" si="3"/>
        <v>0.50332229568471676</v>
      </c>
      <c r="H7" s="4">
        <f t="shared" si="5"/>
        <v>33.1</v>
      </c>
      <c r="I7" s="4">
        <f t="shared" si="5"/>
        <v>0.45825756949558277</v>
      </c>
      <c r="J7" s="4">
        <f t="shared" si="6"/>
        <v>0.89999999999999858</v>
      </c>
      <c r="K7" s="4">
        <f t="shared" si="7"/>
        <v>0.68068592855540389</v>
      </c>
      <c r="L7" s="4">
        <f t="shared" si="8"/>
        <v>1.322195688560857</v>
      </c>
      <c r="M7" s="1" t="str">
        <f t="shared" si="4"/>
        <v>Likely Better</v>
      </c>
      <c r="N7" s="4">
        <f t="shared" si="0"/>
        <v>29.2</v>
      </c>
      <c r="O7" s="4">
        <f t="shared" si="0"/>
        <v>0.30550504633038827</v>
      </c>
      <c r="P7" s="4">
        <f>PerfData[[#This Row],[Best]]-PerfData[[#This Row],[Base_Best]]</f>
        <v>4.8000000000000007</v>
      </c>
      <c r="Q7" s="4">
        <f>SQRT(PerfData[[#This Row],[Base_SD]]^2+PerfData[[#This Row],[SD]]^2)</f>
        <v>0.58878405775518938</v>
      </c>
      <c r="R7" s="4">
        <f>PerfData[[#This Row],[Curr_minus_Base]]/PerfData[[#This Row],[Combined_SD_Base]]</f>
        <v>8.1523946458410954</v>
      </c>
      <c r="S7" s="4" t="str">
        <f t="shared" si="1"/>
        <v>Very likely Better</v>
      </c>
    </row>
    <row r="8" spans="1:19" x14ac:dyDescent="0.35">
      <c r="A8" s="3" t="s">
        <v>12</v>
      </c>
      <c r="B8" s="1" t="s">
        <v>6</v>
      </c>
      <c r="C8" s="3">
        <v>31.6</v>
      </c>
      <c r="D8" s="3">
        <v>32.200000000000003</v>
      </c>
      <c r="E8" s="3">
        <v>32</v>
      </c>
      <c r="F8" s="1">
        <f t="shared" si="2"/>
        <v>32.200000000000003</v>
      </c>
      <c r="G8" s="4">
        <f t="shared" si="3"/>
        <v>0.30550504633038977</v>
      </c>
      <c r="H8" s="4">
        <f t="shared" si="5"/>
        <v>34</v>
      </c>
      <c r="I8" s="4">
        <f t="shared" si="5"/>
        <v>0.50332229568471676</v>
      </c>
      <c r="J8" s="4">
        <f t="shared" si="6"/>
        <v>-1.7999999999999972</v>
      </c>
      <c r="K8" s="4">
        <f t="shared" si="7"/>
        <v>0.58878405775519016</v>
      </c>
      <c r="L8" s="4">
        <f t="shared" si="8"/>
        <v>-3.0571479921904019</v>
      </c>
      <c r="M8" s="1" t="str">
        <f t="shared" si="4"/>
        <v>Very Likely Drop</v>
      </c>
      <c r="N8" s="4">
        <f t="shared" si="0"/>
        <v>29.2</v>
      </c>
      <c r="O8" s="4">
        <f t="shared" si="0"/>
        <v>0.30550504633038827</v>
      </c>
      <c r="P8" s="4">
        <f>PerfData[[#This Row],[Best]]-PerfData[[#This Row],[Base_Best]]</f>
        <v>3.0000000000000036</v>
      </c>
      <c r="Q8" s="4">
        <f>SQRT(PerfData[[#This Row],[Base_SD]]^2+PerfData[[#This Row],[SD]]^2)</f>
        <v>0.43204937989385689</v>
      </c>
      <c r="R8" s="4">
        <f>PerfData[[#This Row],[Curr_minus_Base]]/PerfData[[#This Row],[Combined_SD_Base]]</f>
        <v>6.9436507482941519</v>
      </c>
      <c r="S8" s="4" t="str">
        <f t="shared" si="1"/>
        <v>Very likely Better</v>
      </c>
    </row>
    <row r="9" spans="1:19" x14ac:dyDescent="0.35">
      <c r="A9" s="3" t="s">
        <v>13</v>
      </c>
      <c r="B9" s="1" t="s">
        <v>6</v>
      </c>
      <c r="C9" s="3">
        <v>33.799999999999997</v>
      </c>
      <c r="D9" s="3">
        <v>34.6</v>
      </c>
      <c r="E9" s="3">
        <v>34.200000000000003</v>
      </c>
      <c r="F9" s="1">
        <f>MAX(C9:E9)</f>
        <v>34.6</v>
      </c>
      <c r="G9" s="4">
        <f>_xlfn.STDEV.S(C9:E9)</f>
        <v>0.40000000000000213</v>
      </c>
      <c r="H9" s="4">
        <f>F8</f>
        <v>32.200000000000003</v>
      </c>
      <c r="I9" s="4">
        <f>G8</f>
        <v>0.30550504633038977</v>
      </c>
      <c r="J9" s="4">
        <f>F9-F8</f>
        <v>2.3999999999999986</v>
      </c>
      <c r="K9" s="4">
        <f>SQRT(G8^2+G9^2)</f>
        <v>0.50332229568471865</v>
      </c>
      <c r="L9" s="4">
        <f>J9/K9</f>
        <v>4.768316485434136</v>
      </c>
      <c r="M9" s="1" t="str">
        <f t="shared" si="4"/>
        <v>Very likely Better</v>
      </c>
      <c r="N9" s="4">
        <f t="shared" si="0"/>
        <v>29.2</v>
      </c>
      <c r="O9" s="4">
        <f t="shared" si="0"/>
        <v>0.30550504633038827</v>
      </c>
      <c r="P9" s="4">
        <f>PerfData[[#This Row],[Best]]-PerfData[[#This Row],[Base_Best]]</f>
        <v>5.4000000000000021</v>
      </c>
      <c r="Q9" s="4">
        <f>SQRT(PerfData[[#This Row],[Base_SD]]^2+PerfData[[#This Row],[SD]]^2)</f>
        <v>0.50332229568471776</v>
      </c>
      <c r="R9" s="4">
        <f>PerfData[[#This Row],[Curr_minus_Base]]/PerfData[[#This Row],[Combined_SD_Base]]</f>
        <v>10.728712092226836</v>
      </c>
      <c r="S9" s="4" t="str">
        <f t="shared" si="1"/>
        <v>Very likely Better</v>
      </c>
    </row>
    <row r="10" spans="1:19" x14ac:dyDescent="0.35">
      <c r="A10" s="3" t="s">
        <v>14</v>
      </c>
      <c r="B10" s="1" t="s">
        <v>6</v>
      </c>
      <c r="C10" s="3">
        <v>35</v>
      </c>
      <c r="D10" s="3">
        <v>35.799999999999997</v>
      </c>
      <c r="E10" s="3">
        <v>36.1</v>
      </c>
      <c r="F10" s="1">
        <f t="shared" ref="F10:F13" si="9">MAX(C10:E10)</f>
        <v>36.1</v>
      </c>
      <c r="G10" s="4">
        <f t="shared" ref="G10:G13" si="10">_xlfn.STDEV.S(C10:E10)</f>
        <v>0.56862407030773288</v>
      </c>
      <c r="H10" s="4">
        <f t="shared" ref="H10:I13" si="11">F9</f>
        <v>34.6</v>
      </c>
      <c r="I10" s="4">
        <f t="shared" si="11"/>
        <v>0.40000000000000213</v>
      </c>
      <c r="J10" s="4">
        <f t="shared" ref="J10:J13" si="12">F10-F9</f>
        <v>1.5</v>
      </c>
      <c r="K10" s="4">
        <f t="shared" ref="K10:K13" si="13">SQRT(G9^2+G10^2)</f>
        <v>0.69522178715380833</v>
      </c>
      <c r="L10" s="4">
        <f t="shared" ref="L10:L13" si="14">J10/K10</f>
        <v>2.1575848566842244</v>
      </c>
      <c r="M10" s="1" t="str">
        <f t="shared" si="4"/>
        <v>Very likely Better</v>
      </c>
      <c r="N10" s="4">
        <f t="shared" si="0"/>
        <v>29.2</v>
      </c>
      <c r="O10" s="4">
        <f t="shared" si="0"/>
        <v>0.30550504633038827</v>
      </c>
      <c r="P10" s="4">
        <f>PerfData[[#This Row],[Best]]-PerfData[[#This Row],[Base_Best]]</f>
        <v>6.9000000000000021</v>
      </c>
      <c r="Q10" s="4">
        <f>SQRT(PerfData[[#This Row],[Base_SD]]^2+PerfData[[#This Row],[SD]]^2)</f>
        <v>0.64549722436790247</v>
      </c>
      <c r="R10" s="4">
        <f>PerfData[[#This Row],[Curr_minus_Base]]/PerfData[[#This Row],[Combined_SD_Base]]</f>
        <v>10.68943403553248</v>
      </c>
      <c r="S10" s="4" t="str">
        <f t="shared" si="1"/>
        <v>Very likely Better</v>
      </c>
    </row>
    <row r="11" spans="1:19" x14ac:dyDescent="0.35">
      <c r="A11" s="3" t="s">
        <v>15</v>
      </c>
      <c r="B11" s="1" t="s">
        <v>6</v>
      </c>
      <c r="C11" s="3">
        <v>36</v>
      </c>
      <c r="D11" s="3">
        <v>36.6</v>
      </c>
      <c r="E11" s="3">
        <v>37.200000000000003</v>
      </c>
      <c r="F11" s="1">
        <f t="shared" si="9"/>
        <v>37.200000000000003</v>
      </c>
      <c r="G11" s="4">
        <f t="shared" si="10"/>
        <v>0.60000000000000142</v>
      </c>
      <c r="H11" s="4">
        <f t="shared" si="11"/>
        <v>36.1</v>
      </c>
      <c r="I11" s="4">
        <f t="shared" si="11"/>
        <v>0.56862407030773288</v>
      </c>
      <c r="J11" s="4">
        <f t="shared" si="12"/>
        <v>1.1000000000000014</v>
      </c>
      <c r="K11" s="4">
        <f t="shared" si="13"/>
        <v>0.82663978450915077</v>
      </c>
      <c r="L11" s="4">
        <f t="shared" si="14"/>
        <v>1.3306884336000944</v>
      </c>
      <c r="M11" s="1" t="str">
        <f t="shared" si="4"/>
        <v>Likely Better</v>
      </c>
      <c r="N11" s="4">
        <f t="shared" si="0"/>
        <v>29.2</v>
      </c>
      <c r="O11" s="4">
        <f t="shared" si="0"/>
        <v>0.30550504633038827</v>
      </c>
      <c r="P11" s="4">
        <f>PerfData[[#This Row],[Best]]-PerfData[[#This Row],[Base_Best]]</f>
        <v>8.0000000000000036</v>
      </c>
      <c r="Q11" s="4">
        <f>SQRT(PerfData[[#This Row],[Base_SD]]^2+PerfData[[#This Row],[SD]]^2)</f>
        <v>0.67330032922413929</v>
      </c>
      <c r="R11" s="4">
        <f>PerfData[[#This Row],[Curr_minus_Base]]/PerfData[[#This Row],[Combined_SD_Base]]</f>
        <v>11.881770515720083</v>
      </c>
      <c r="S11" s="4" t="str">
        <f t="shared" si="1"/>
        <v>Very likely Better</v>
      </c>
    </row>
    <row r="12" spans="1:19" x14ac:dyDescent="0.35">
      <c r="A12" s="3" t="s">
        <v>16</v>
      </c>
      <c r="B12" s="1" t="s">
        <v>6</v>
      </c>
      <c r="C12" s="3">
        <v>37.1</v>
      </c>
      <c r="D12" s="3">
        <v>37.6</v>
      </c>
      <c r="E12" s="3">
        <v>38</v>
      </c>
      <c r="F12" s="1">
        <f t="shared" si="9"/>
        <v>38</v>
      </c>
      <c r="G12" s="4">
        <f t="shared" si="10"/>
        <v>0.45092497528228875</v>
      </c>
      <c r="H12" s="4">
        <f t="shared" si="11"/>
        <v>37.200000000000003</v>
      </c>
      <c r="I12" s="4">
        <f t="shared" si="11"/>
        <v>0.60000000000000142</v>
      </c>
      <c r="J12" s="4">
        <f t="shared" si="12"/>
        <v>0.79999999999999716</v>
      </c>
      <c r="K12" s="4">
        <f t="shared" si="13"/>
        <v>0.75055534994651429</v>
      </c>
      <c r="L12" s="4">
        <f t="shared" si="14"/>
        <v>1.0658774200423811</v>
      </c>
      <c r="M12" s="1" t="str">
        <f t="shared" si="4"/>
        <v>Likely Better</v>
      </c>
      <c r="N12" s="4">
        <f t="shared" si="0"/>
        <v>29.2</v>
      </c>
      <c r="O12" s="4">
        <f t="shared" si="0"/>
        <v>0.30550504633038827</v>
      </c>
      <c r="P12" s="4">
        <f>PerfData[[#This Row],[Best]]-PerfData[[#This Row],[Base_Best]]</f>
        <v>8.8000000000000007</v>
      </c>
      <c r="Q12" s="4">
        <f>SQRT(PerfData[[#This Row],[Base_SD]]^2+PerfData[[#This Row],[SD]]^2)</f>
        <v>0.54467115461227189</v>
      </c>
      <c r="R12" s="4">
        <f>PerfData[[#This Row],[Curr_minus_Base]]/PerfData[[#This Row],[Combined_SD_Base]]</f>
        <v>16.156537619959597</v>
      </c>
      <c r="S12" s="4" t="str">
        <f t="shared" si="1"/>
        <v>Very likely Better</v>
      </c>
    </row>
    <row r="13" spans="1:19" x14ac:dyDescent="0.35">
      <c r="A13" s="3" t="s">
        <v>17</v>
      </c>
      <c r="B13" s="1" t="s">
        <v>6</v>
      </c>
      <c r="C13" s="3">
        <v>38.200000000000003</v>
      </c>
      <c r="D13" s="3">
        <v>38.799999999999997</v>
      </c>
      <c r="E13" s="3">
        <v>39.4</v>
      </c>
      <c r="F13" s="1">
        <f t="shared" si="9"/>
        <v>39.4</v>
      </c>
      <c r="G13" s="4">
        <f t="shared" si="10"/>
        <v>0.59999999999999787</v>
      </c>
      <c r="H13" s="4">
        <f t="shared" si="11"/>
        <v>38</v>
      </c>
      <c r="I13" s="4">
        <f t="shared" si="11"/>
        <v>0.45092497528228875</v>
      </c>
      <c r="J13" s="4">
        <f t="shared" si="12"/>
        <v>1.3999999999999986</v>
      </c>
      <c r="K13" s="4">
        <f t="shared" si="13"/>
        <v>0.75055534994651141</v>
      </c>
      <c r="L13" s="4">
        <f t="shared" si="14"/>
        <v>1.8652854850741789</v>
      </c>
      <c r="M13" s="1" t="str">
        <f t="shared" si="4"/>
        <v>Likely Better</v>
      </c>
      <c r="N13" s="4">
        <f t="shared" si="0"/>
        <v>29.2</v>
      </c>
      <c r="O13" s="4">
        <f t="shared" si="0"/>
        <v>0.30550504633038827</v>
      </c>
      <c r="P13" s="4">
        <f>PerfData[[#This Row],[Best]]-PerfData[[#This Row],[Base_Best]]</f>
        <v>10.199999999999999</v>
      </c>
      <c r="Q13" s="4">
        <f>SQRT(PerfData[[#This Row],[Base_SD]]^2+PerfData[[#This Row],[SD]]^2)</f>
        <v>0.67330032922413618</v>
      </c>
      <c r="R13" s="4">
        <f>PerfData[[#This Row],[Curr_minus_Base]]/PerfData[[#This Row],[Combined_SD_Base]]</f>
        <v>15.149257407543169</v>
      </c>
      <c r="S13" s="4" t="str">
        <f t="shared" si="1"/>
        <v>Very likely Better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FA84-E254-4E2E-B217-679BB1F61DF3}">
  <dimension ref="A1:D17"/>
  <sheetViews>
    <sheetView workbookViewId="0">
      <selection activeCell="A18" sqref="A18"/>
    </sheetView>
  </sheetViews>
  <sheetFormatPr defaultRowHeight="14.5" x14ac:dyDescent="0.35"/>
  <cols>
    <col min="1" max="1" width="10.08984375" bestFit="1" customWidth="1"/>
  </cols>
  <sheetData>
    <row r="1" spans="1:4" x14ac:dyDescent="0.35">
      <c r="A1" s="1" t="s">
        <v>0</v>
      </c>
      <c r="B1" s="1" t="s">
        <v>28</v>
      </c>
      <c r="C1" s="1" t="s">
        <v>29</v>
      </c>
      <c r="D1" s="1" t="s">
        <v>30</v>
      </c>
    </row>
    <row r="2" spans="1:4" x14ac:dyDescent="0.35">
      <c r="A2" s="1" t="s">
        <v>31</v>
      </c>
      <c r="B2" s="1">
        <v>31.7</v>
      </c>
      <c r="C2" s="1">
        <v>31.9</v>
      </c>
      <c r="D2" s="1">
        <v>31.2</v>
      </c>
    </row>
    <row r="3" spans="1:4" x14ac:dyDescent="0.35">
      <c r="A3" s="1" t="s">
        <v>32</v>
      </c>
      <c r="B3" s="1">
        <v>32.299999999999997</v>
      </c>
      <c r="C3" s="1">
        <v>32.1</v>
      </c>
      <c r="D3" s="1">
        <v>32.4</v>
      </c>
    </row>
    <row r="4" spans="1:4" x14ac:dyDescent="0.35">
      <c r="A4" s="1" t="s">
        <v>33</v>
      </c>
      <c r="B4" s="1">
        <v>32.6</v>
      </c>
      <c r="C4" s="1">
        <v>32.799999999999997</v>
      </c>
      <c r="D4" s="1">
        <v>32.5</v>
      </c>
    </row>
    <row r="5" spans="1:4" x14ac:dyDescent="0.35">
      <c r="A5" s="1" t="s">
        <v>34</v>
      </c>
      <c r="B5" s="1">
        <v>32.1</v>
      </c>
      <c r="C5" s="1">
        <v>32.5</v>
      </c>
      <c r="D5" s="1">
        <v>32.6</v>
      </c>
    </row>
    <row r="6" spans="1:4" x14ac:dyDescent="0.35">
      <c r="A6" s="1" t="s">
        <v>35</v>
      </c>
      <c r="B6" s="1">
        <v>31.4</v>
      </c>
      <c r="C6" s="1">
        <v>31.8</v>
      </c>
      <c r="D6" s="1">
        <v>31.8</v>
      </c>
    </row>
    <row r="7" spans="1:4" x14ac:dyDescent="0.35">
      <c r="A7" s="1" t="s">
        <v>36</v>
      </c>
      <c r="B7" s="1">
        <v>31.7</v>
      </c>
      <c r="C7" s="1">
        <v>31.4</v>
      </c>
      <c r="D7" s="1">
        <v>32.299999999999997</v>
      </c>
    </row>
    <row r="8" spans="1:4" x14ac:dyDescent="0.35">
      <c r="A8" s="1" t="s">
        <v>37</v>
      </c>
      <c r="B8" s="1">
        <v>32.200000000000003</v>
      </c>
      <c r="C8" s="1">
        <v>32</v>
      </c>
      <c r="D8" s="1">
        <v>32</v>
      </c>
    </row>
    <row r="9" spans="1:4" x14ac:dyDescent="0.35">
      <c r="A9" s="1" t="s">
        <v>38</v>
      </c>
      <c r="B9" s="1">
        <v>31.7</v>
      </c>
      <c r="C9" s="1">
        <v>31.2</v>
      </c>
      <c r="D9" s="1">
        <v>31.8</v>
      </c>
    </row>
    <row r="10" spans="1:4" x14ac:dyDescent="0.35">
      <c r="A10" s="1" t="s">
        <v>39</v>
      </c>
      <c r="B10" s="1">
        <v>31.5</v>
      </c>
      <c r="C10" s="1">
        <v>31.3</v>
      </c>
      <c r="D10" s="1">
        <v>31.9</v>
      </c>
    </row>
    <row r="11" spans="1:4" x14ac:dyDescent="0.35">
      <c r="A11" s="1" t="s">
        <v>40</v>
      </c>
      <c r="B11" s="1">
        <v>29.5</v>
      </c>
      <c r="C11" s="1">
        <v>29.3</v>
      </c>
      <c r="D11" s="1">
        <v>29.4</v>
      </c>
    </row>
    <row r="12" spans="1:4" x14ac:dyDescent="0.35">
      <c r="A12" s="1" t="s">
        <v>41</v>
      </c>
      <c r="B12" s="1">
        <v>31.6</v>
      </c>
      <c r="C12" s="1">
        <v>31.9</v>
      </c>
      <c r="D12" s="1">
        <v>31.3</v>
      </c>
    </row>
    <row r="13" spans="1:4" x14ac:dyDescent="0.35">
      <c r="A13" s="1" t="s">
        <v>42</v>
      </c>
      <c r="B13" s="1">
        <v>31.3</v>
      </c>
      <c r="C13" s="1">
        <v>31.4</v>
      </c>
      <c r="D13" s="1">
        <v>31.4</v>
      </c>
    </row>
    <row r="14" spans="1:4" x14ac:dyDescent="0.35">
      <c r="A14" s="1" t="s">
        <v>43</v>
      </c>
      <c r="B14" s="1">
        <v>32.299999999999997</v>
      </c>
      <c r="C14" s="1">
        <v>32.200000000000003</v>
      </c>
      <c r="D14" s="1">
        <v>32.5</v>
      </c>
    </row>
    <row r="15" spans="1:4" x14ac:dyDescent="0.35">
      <c r="A15" s="1" t="s">
        <v>44</v>
      </c>
      <c r="B15" s="1">
        <v>33.1</v>
      </c>
      <c r="C15" s="1">
        <v>32.9</v>
      </c>
      <c r="D15" s="1">
        <v>32.5</v>
      </c>
    </row>
    <row r="16" spans="1:4" x14ac:dyDescent="0.35">
      <c r="A16" s="1" t="s">
        <v>45</v>
      </c>
      <c r="B16" s="1">
        <v>31.3</v>
      </c>
      <c r="C16" s="1">
        <v>31.2</v>
      </c>
      <c r="D16" s="1">
        <v>31.4</v>
      </c>
    </row>
    <row r="17" spans="1:4" x14ac:dyDescent="0.35">
      <c r="A17" s="1" t="s">
        <v>46</v>
      </c>
      <c r="B17" s="1">
        <v>32.4</v>
      </c>
      <c r="C17" s="1">
        <v>31.8</v>
      </c>
      <c r="D17" s="1">
        <v>31.9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5FD7-5FD3-4077-BCC0-40FB42D797CF}">
  <dimension ref="A1:K17"/>
  <sheetViews>
    <sheetView workbookViewId="0">
      <selection activeCell="H2" sqref="H2"/>
    </sheetView>
  </sheetViews>
  <sheetFormatPr defaultColWidth="8.7265625" defaultRowHeight="14.5" x14ac:dyDescent="0.35"/>
  <cols>
    <col min="1" max="4" width="12" style="1" customWidth="1"/>
    <col min="5" max="5" width="18" style="1" customWidth="1"/>
    <col min="6" max="7" width="19" style="1" customWidth="1"/>
    <col min="8" max="8" width="21" style="1" customWidth="1"/>
    <col min="9" max="9" width="19" style="1" customWidth="1"/>
    <col min="10" max="10" width="17.7265625" style="1" customWidth="1"/>
    <col min="11" max="11" width="17.1796875" style="1" bestFit="1" customWidth="1"/>
    <col min="12" max="16384" width="8.7265625" style="1"/>
  </cols>
  <sheetData>
    <row r="1" spans="1:11" ht="29" x14ac:dyDescent="0.35">
      <c r="A1" s="5" t="s">
        <v>0</v>
      </c>
      <c r="B1" s="5" t="s">
        <v>28</v>
      </c>
      <c r="C1" s="5" t="s">
        <v>29</v>
      </c>
      <c r="D1" s="5" t="s">
        <v>30</v>
      </c>
      <c r="E1" s="6" t="s">
        <v>75</v>
      </c>
      <c r="F1" s="6" t="s">
        <v>47</v>
      </c>
      <c r="G1" s="6" t="s">
        <v>77</v>
      </c>
      <c r="H1" s="6" t="s">
        <v>76</v>
      </c>
      <c r="I1" s="6" t="s">
        <v>78</v>
      </c>
      <c r="J1" s="6" t="s">
        <v>79</v>
      </c>
      <c r="K1" s="5" t="s">
        <v>48</v>
      </c>
    </row>
    <row r="2" spans="1:11" x14ac:dyDescent="0.35">
      <c r="A2" s="1" t="s">
        <v>31</v>
      </c>
      <c r="B2" s="1">
        <v>31.7</v>
      </c>
      <c r="C2" s="1">
        <v>31.9</v>
      </c>
      <c r="D2" s="1">
        <v>31.2</v>
      </c>
      <c r="E2" s="4">
        <f t="shared" ref="E2:E17" si="0">AVERAGE(B2:D2)</f>
        <v>31.599999999999998</v>
      </c>
      <c r="F2" s="7">
        <f>_xlfn.STDEV.S(B2:D2)</f>
        <v>0.36055512754639862</v>
      </c>
      <c r="I2" s="1" t="str">
        <f t="shared" ref="I2:I17" si="1">IF(G2="","",E2-G2)</f>
        <v/>
      </c>
      <c r="J2" s="1" t="str">
        <f t="shared" ref="J2:J17" si="2">IF(H2="","",I2/H2)</f>
        <v/>
      </c>
      <c r="K2" s="1" t="str">
        <f t="shared" ref="K2:K17" si="3">IF(J2="","Insufficient history",IF(J2&lt;=-2,"Meaningful Drop",IF(J2&lt;=-1,"Watch",IF(J2&gt;=2,"Very Fresh",IF(J2&gt;=1,"Fresh","Normal")))))</f>
        <v>Insufficient history</v>
      </c>
    </row>
    <row r="3" spans="1:11" x14ac:dyDescent="0.35">
      <c r="A3" s="1" t="s">
        <v>32</v>
      </c>
      <c r="B3" s="1">
        <v>32.299999999999997</v>
      </c>
      <c r="C3" s="1">
        <v>32.1</v>
      </c>
      <c r="D3" s="1">
        <v>32.4</v>
      </c>
      <c r="E3" s="4">
        <f t="shared" si="0"/>
        <v>32.266666666666673</v>
      </c>
      <c r="F3" s="7">
        <f t="shared" ref="F3:F17" si="4">_xlfn.STDEV.S(B3:D3)</f>
        <v>0.15275252316519294</v>
      </c>
      <c r="I3" s="1" t="str">
        <f t="shared" si="1"/>
        <v/>
      </c>
      <c r="J3" s="1" t="str">
        <f t="shared" si="2"/>
        <v/>
      </c>
      <c r="K3" s="1" t="str">
        <f t="shared" si="3"/>
        <v>Insufficient history</v>
      </c>
    </row>
    <row r="4" spans="1:11" x14ac:dyDescent="0.35">
      <c r="A4" s="1" t="s">
        <v>33</v>
      </c>
      <c r="B4" s="1">
        <v>32.6</v>
      </c>
      <c r="C4" s="1">
        <v>32.799999999999997</v>
      </c>
      <c r="D4" s="1">
        <v>32.5</v>
      </c>
      <c r="E4" s="4">
        <f t="shared" si="0"/>
        <v>32.633333333333333</v>
      </c>
      <c r="F4" s="7">
        <f t="shared" si="4"/>
        <v>0.15275252316519294</v>
      </c>
      <c r="I4" s="1" t="str">
        <f t="shared" si="1"/>
        <v/>
      </c>
      <c r="J4" s="1" t="str">
        <f t="shared" si="2"/>
        <v/>
      </c>
      <c r="K4" s="1" t="str">
        <f t="shared" si="3"/>
        <v>Insufficient history</v>
      </c>
    </row>
    <row r="5" spans="1:11" x14ac:dyDescent="0.35">
      <c r="A5" s="1" t="s">
        <v>34</v>
      </c>
      <c r="B5" s="1">
        <v>32.1</v>
      </c>
      <c r="C5" s="1">
        <v>32.5</v>
      </c>
      <c r="D5" s="1">
        <v>32.6</v>
      </c>
      <c r="E5" s="4">
        <f t="shared" si="0"/>
        <v>32.4</v>
      </c>
      <c r="F5" s="7">
        <f t="shared" si="4"/>
        <v>0.26457513110645881</v>
      </c>
      <c r="I5" s="1" t="str">
        <f t="shared" si="1"/>
        <v/>
      </c>
      <c r="J5" s="1" t="str">
        <f t="shared" si="2"/>
        <v/>
      </c>
      <c r="K5" s="1" t="str">
        <f t="shared" si="3"/>
        <v>Insufficient history</v>
      </c>
    </row>
    <row r="6" spans="1:11" x14ac:dyDescent="0.35">
      <c r="A6" s="1" t="s">
        <v>35</v>
      </c>
      <c r="B6" s="1">
        <v>31.4</v>
      </c>
      <c r="C6" s="1">
        <v>31.8</v>
      </c>
      <c r="D6" s="1">
        <v>31.8</v>
      </c>
      <c r="E6" s="4">
        <f t="shared" si="0"/>
        <v>31.666666666666668</v>
      </c>
      <c r="F6" s="7">
        <f t="shared" si="4"/>
        <v>0.23094010767585155</v>
      </c>
      <c r="G6" s="7">
        <f>AVERAGE(E2:E5)</f>
        <v>32.225000000000001</v>
      </c>
      <c r="H6" s="7">
        <f>_xlfn.STDEV.S(E2:E5)</f>
        <v>0.44336674894952915</v>
      </c>
      <c r="I6" s="7">
        <f t="shared" si="1"/>
        <v>-0.55833333333333357</v>
      </c>
      <c r="J6" s="7">
        <f>IF(H6="","",I6/ReadinessTable[[#This Row],[SD_fluctuation_(SD of mean of last 4)]])</f>
        <v>-1.2593035780337503</v>
      </c>
      <c r="K6" s="1" t="str">
        <f t="shared" si="3"/>
        <v>Watch</v>
      </c>
    </row>
    <row r="7" spans="1:11" x14ac:dyDescent="0.35">
      <c r="A7" s="1" t="s">
        <v>36</v>
      </c>
      <c r="B7" s="1">
        <v>31.7</v>
      </c>
      <c r="C7" s="1">
        <v>31.4</v>
      </c>
      <c r="D7" s="1">
        <v>32.299999999999997</v>
      </c>
      <c r="E7" s="4">
        <f t="shared" si="0"/>
        <v>31.799999999999997</v>
      </c>
      <c r="F7" s="7">
        <f t="shared" si="4"/>
        <v>0.45825756949558316</v>
      </c>
      <c r="G7" s="7">
        <f t="shared" ref="G7:G17" si="5">AVERAGE(E3:E6)</f>
        <v>32.241666666666667</v>
      </c>
      <c r="H7" s="7">
        <f t="shared" ref="H7:H17" si="6">_xlfn.STDEV.S(E3:E6)</f>
        <v>0.41219826225665573</v>
      </c>
      <c r="I7" s="7">
        <f t="shared" si="1"/>
        <v>-0.44166666666666998</v>
      </c>
      <c r="J7" s="7">
        <f t="shared" si="2"/>
        <v>-1.0714908506617278</v>
      </c>
      <c r="K7" s="1" t="str">
        <f t="shared" si="3"/>
        <v>Watch</v>
      </c>
    </row>
    <row r="8" spans="1:11" x14ac:dyDescent="0.35">
      <c r="A8" s="1" t="s">
        <v>37</v>
      </c>
      <c r="B8" s="1">
        <v>32.200000000000003</v>
      </c>
      <c r="C8" s="1">
        <v>32</v>
      </c>
      <c r="D8" s="1">
        <v>32</v>
      </c>
      <c r="E8" s="4">
        <f t="shared" si="0"/>
        <v>32.06666666666667</v>
      </c>
      <c r="F8" s="7">
        <f t="shared" si="4"/>
        <v>0.1154700538379268</v>
      </c>
      <c r="G8" s="7">
        <f t="shared" si="5"/>
        <v>32.125</v>
      </c>
      <c r="H8" s="7">
        <f t="shared" si="6"/>
        <v>0.4653751970980769</v>
      </c>
      <c r="I8" s="7">
        <f>IF(G8="","",E8-G8)</f>
        <v>-5.8333333333330017E-2</v>
      </c>
      <c r="J8" s="7">
        <f t="shared" si="2"/>
        <v>-0.12534688934235655</v>
      </c>
      <c r="K8" s="1" t="str">
        <f t="shared" si="3"/>
        <v>Normal</v>
      </c>
    </row>
    <row r="9" spans="1:11" x14ac:dyDescent="0.35">
      <c r="A9" s="1" t="s">
        <v>38</v>
      </c>
      <c r="B9" s="1">
        <v>31.7</v>
      </c>
      <c r="C9" s="1">
        <v>31.2</v>
      </c>
      <c r="D9" s="1">
        <v>31.8</v>
      </c>
      <c r="E9" s="4">
        <f t="shared" si="0"/>
        <v>31.566666666666666</v>
      </c>
      <c r="F9" s="7">
        <f t="shared" si="4"/>
        <v>0.32145502536643233</v>
      </c>
      <c r="G9" s="7">
        <f t="shared" si="5"/>
        <v>31.983333333333334</v>
      </c>
      <c r="H9" s="7">
        <f t="shared" si="6"/>
        <v>0.32375116187407682</v>
      </c>
      <c r="I9" s="7">
        <f t="shared" si="1"/>
        <v>-0.41666666666666785</v>
      </c>
      <c r="J9" s="7">
        <f t="shared" si="2"/>
        <v>-1.2869966682273424</v>
      </c>
      <c r="K9" s="1" t="str">
        <f t="shared" si="3"/>
        <v>Watch</v>
      </c>
    </row>
    <row r="10" spans="1:11" x14ac:dyDescent="0.35">
      <c r="A10" s="1" t="s">
        <v>39</v>
      </c>
      <c r="B10" s="1">
        <v>31.5</v>
      </c>
      <c r="C10" s="1">
        <v>31.3</v>
      </c>
      <c r="D10" s="1">
        <v>31.9</v>
      </c>
      <c r="E10" s="4">
        <f t="shared" si="0"/>
        <v>31.566666666666663</v>
      </c>
      <c r="F10" s="7">
        <f t="shared" si="4"/>
        <v>0.30550504633038827</v>
      </c>
      <c r="G10" s="7">
        <f t="shared" si="5"/>
        <v>31.774999999999999</v>
      </c>
      <c r="H10" s="7">
        <f t="shared" si="6"/>
        <v>0.21666666666666792</v>
      </c>
      <c r="I10" s="7">
        <f t="shared" si="1"/>
        <v>-0.2083333333333357</v>
      </c>
      <c r="J10" s="7">
        <f t="shared" si="2"/>
        <v>-0.96153846153846689</v>
      </c>
      <c r="K10" s="1" t="str">
        <f t="shared" si="3"/>
        <v>Normal</v>
      </c>
    </row>
    <row r="11" spans="1:11" x14ac:dyDescent="0.35">
      <c r="A11" s="1" t="s">
        <v>40</v>
      </c>
      <c r="B11" s="1">
        <v>29.5</v>
      </c>
      <c r="C11" s="1">
        <v>29.3</v>
      </c>
      <c r="D11" s="1">
        <v>29.4</v>
      </c>
      <c r="E11" s="4">
        <f t="shared" si="0"/>
        <v>29.399999999999995</v>
      </c>
      <c r="F11" s="7">
        <f t="shared" si="4"/>
        <v>9.9999999999999645E-2</v>
      </c>
      <c r="G11" s="7">
        <f t="shared" si="5"/>
        <v>31.75</v>
      </c>
      <c r="H11" s="7">
        <f t="shared" si="6"/>
        <v>0.23804761428476395</v>
      </c>
      <c r="I11" s="7">
        <f t="shared" si="1"/>
        <v>-2.350000000000005</v>
      </c>
      <c r="J11" s="7">
        <f t="shared" si="2"/>
        <v>-9.8719745923973949</v>
      </c>
      <c r="K11" s="1" t="str">
        <f t="shared" si="3"/>
        <v>Meaningful Drop</v>
      </c>
    </row>
    <row r="12" spans="1:11" x14ac:dyDescent="0.35">
      <c r="A12" s="1" t="s">
        <v>41</v>
      </c>
      <c r="B12" s="1">
        <v>31.6</v>
      </c>
      <c r="C12" s="1">
        <v>31.9</v>
      </c>
      <c r="D12" s="1">
        <v>31.3</v>
      </c>
      <c r="E12" s="4">
        <f t="shared" si="0"/>
        <v>31.599999999999998</v>
      </c>
      <c r="F12" s="7">
        <f t="shared" si="4"/>
        <v>0.29999999999999893</v>
      </c>
      <c r="G12" s="7">
        <f t="shared" si="5"/>
        <v>31.15</v>
      </c>
      <c r="H12" s="7">
        <f t="shared" si="6"/>
        <v>1.1902380714238112</v>
      </c>
      <c r="I12" s="7">
        <f t="shared" si="1"/>
        <v>0.44999999999999929</v>
      </c>
      <c r="J12" s="7">
        <f t="shared" si="2"/>
        <v>0.37807562268756112</v>
      </c>
      <c r="K12" s="1" t="str">
        <f t="shared" si="3"/>
        <v>Normal</v>
      </c>
    </row>
    <row r="13" spans="1:11" x14ac:dyDescent="0.35">
      <c r="A13" s="1" t="s">
        <v>42</v>
      </c>
      <c r="B13" s="1">
        <v>31.3</v>
      </c>
      <c r="C13" s="1">
        <v>31.4</v>
      </c>
      <c r="D13" s="1">
        <v>31.4</v>
      </c>
      <c r="E13" s="4">
        <f t="shared" si="0"/>
        <v>31.366666666666664</v>
      </c>
      <c r="F13" s="7">
        <f t="shared" si="4"/>
        <v>5.7735026918961339E-2</v>
      </c>
      <c r="G13" s="7">
        <f t="shared" si="5"/>
        <v>31.033333333333328</v>
      </c>
      <c r="H13" s="7">
        <f t="shared" si="6"/>
        <v>1.0890022616716317</v>
      </c>
      <c r="I13" s="7">
        <f t="shared" si="1"/>
        <v>0.3333333333333357</v>
      </c>
      <c r="J13" s="7">
        <f t="shared" si="2"/>
        <v>0.30609057948297091</v>
      </c>
      <c r="K13" s="1" t="str">
        <f t="shared" si="3"/>
        <v>Normal</v>
      </c>
    </row>
    <row r="14" spans="1:11" x14ac:dyDescent="0.35">
      <c r="A14" s="1" t="s">
        <v>43</v>
      </c>
      <c r="B14" s="1">
        <v>32.299999999999997</v>
      </c>
      <c r="C14" s="1">
        <v>32.200000000000003</v>
      </c>
      <c r="D14" s="1">
        <v>32.5</v>
      </c>
      <c r="E14" s="4">
        <f t="shared" si="0"/>
        <v>32.333333333333336</v>
      </c>
      <c r="F14" s="7">
        <f t="shared" si="4"/>
        <v>0.15275252316519375</v>
      </c>
      <c r="G14" s="7">
        <f t="shared" si="5"/>
        <v>30.983333333333327</v>
      </c>
      <c r="H14" s="7">
        <f t="shared" si="6"/>
        <v>1.0605728710535722</v>
      </c>
      <c r="I14" s="7">
        <f t="shared" si="1"/>
        <v>1.3500000000000085</v>
      </c>
      <c r="J14" s="7">
        <f t="shared" si="2"/>
        <v>1.272896975630651</v>
      </c>
      <c r="K14" s="1" t="str">
        <f t="shared" si="3"/>
        <v>Fresh</v>
      </c>
    </row>
    <row r="15" spans="1:11" x14ac:dyDescent="0.35">
      <c r="A15" s="1" t="s">
        <v>44</v>
      </c>
      <c r="B15" s="1">
        <v>33.1</v>
      </c>
      <c r="C15" s="1">
        <v>32.9</v>
      </c>
      <c r="D15" s="1">
        <v>32.5</v>
      </c>
      <c r="E15" s="4">
        <f t="shared" si="0"/>
        <v>32.833333333333336</v>
      </c>
      <c r="F15" s="7">
        <f t="shared" si="4"/>
        <v>0.30550504633038977</v>
      </c>
      <c r="G15" s="7">
        <f t="shared" si="5"/>
        <v>31.174999999999997</v>
      </c>
      <c r="H15" s="7">
        <f t="shared" si="6"/>
        <v>1.2529594596025102</v>
      </c>
      <c r="I15" s="7">
        <f t="shared" si="1"/>
        <v>1.6583333333333385</v>
      </c>
      <c r="J15" s="7">
        <f t="shared" si="2"/>
        <v>1.3235331124435816</v>
      </c>
      <c r="K15" s="1" t="str">
        <f t="shared" si="3"/>
        <v>Fresh</v>
      </c>
    </row>
    <row r="16" spans="1:11" x14ac:dyDescent="0.35">
      <c r="A16" s="1" t="s">
        <v>45</v>
      </c>
      <c r="B16" s="1">
        <v>31.3</v>
      </c>
      <c r="C16" s="1">
        <v>31.2</v>
      </c>
      <c r="D16" s="1">
        <v>31.4</v>
      </c>
      <c r="E16" s="4">
        <f t="shared" si="0"/>
        <v>31.3</v>
      </c>
      <c r="F16" s="7">
        <f t="shared" si="4"/>
        <v>9.9999999999999645E-2</v>
      </c>
      <c r="G16" s="7">
        <f t="shared" si="5"/>
        <v>32.033333333333331</v>
      </c>
      <c r="H16" s="7">
        <f t="shared" si="6"/>
        <v>0.67385018666917185</v>
      </c>
      <c r="I16" s="7">
        <f t="shared" si="1"/>
        <v>-0.73333333333333073</v>
      </c>
      <c r="J16" s="7">
        <f t="shared" si="2"/>
        <v>-1.0882735478017493</v>
      </c>
      <c r="K16" s="1" t="str">
        <f t="shared" si="3"/>
        <v>Watch</v>
      </c>
    </row>
    <row r="17" spans="1:11" x14ac:dyDescent="0.35">
      <c r="A17" s="1" t="s">
        <v>46</v>
      </c>
      <c r="B17" s="1">
        <v>32.4</v>
      </c>
      <c r="C17" s="1">
        <v>31.8</v>
      </c>
      <c r="D17" s="1">
        <v>31.9</v>
      </c>
      <c r="E17" s="4">
        <f t="shared" si="0"/>
        <v>32.033333333333331</v>
      </c>
      <c r="F17" s="7">
        <f t="shared" si="4"/>
        <v>0.32145502536643106</v>
      </c>
      <c r="G17" s="7">
        <f t="shared" si="5"/>
        <v>31.958333333333332</v>
      </c>
      <c r="H17" s="7">
        <f t="shared" si="6"/>
        <v>0.7504936646906113</v>
      </c>
      <c r="I17" s="7">
        <f t="shared" si="1"/>
        <v>7.4999999999999289E-2</v>
      </c>
      <c r="J17" s="7">
        <f t="shared" si="2"/>
        <v>9.9934221338054616E-2</v>
      </c>
      <c r="K17" s="1" t="str">
        <f t="shared" si="3"/>
        <v>Normal</v>
      </c>
    </row>
  </sheetData>
  <conditionalFormatting sqref="K2:K17">
    <cfRule type="expression" dxfId="3" priority="1">
      <formula>ISNUMBER(SEARCH("Very Fresh",K2))</formula>
    </cfRule>
    <cfRule type="expression" dxfId="2" priority="2">
      <formula>ISNUMBER(SEARCH("Fresh",K2))</formula>
    </cfRule>
    <cfRule type="expression" dxfId="1" priority="3">
      <formula>ISNUMBER(SEARCH("Watch",K2))</formula>
    </cfRule>
    <cfRule type="expression" dxfId="0" priority="4">
      <formula>ISNUMBER(SEARCH("Drop",K2))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756E-0693-41B9-A1AE-3077FC02F5C6}">
  <dimension ref="B2:P39"/>
  <sheetViews>
    <sheetView topLeftCell="A3" workbookViewId="0">
      <selection activeCell="A3" sqref="A3"/>
    </sheetView>
  </sheetViews>
  <sheetFormatPr defaultColWidth="10.90625" defaultRowHeight="14.5" x14ac:dyDescent="0.35"/>
  <sheetData>
    <row r="2" spans="2:16" x14ac:dyDescent="0.35">
      <c r="D2" s="14"/>
      <c r="F2" s="14"/>
      <c r="G2" s="14"/>
      <c r="H2" s="14"/>
      <c r="I2" s="14"/>
    </row>
    <row r="3" spans="2:16" x14ac:dyDescent="0.35">
      <c r="E3" s="14"/>
    </row>
    <row r="4" spans="2:16" x14ac:dyDescent="0.35"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2:16" ht="16" x14ac:dyDescent="0.35">
      <c r="B6" s="37" t="s">
        <v>60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5"/>
      <c r="N6" s="16"/>
    </row>
    <row r="8" spans="2:16" ht="16" x14ac:dyDescent="0.35">
      <c r="B8" s="17" t="s">
        <v>61</v>
      </c>
      <c r="C8" s="17" t="s">
        <v>62</v>
      </c>
      <c r="D8" s="17" t="s">
        <v>63</v>
      </c>
      <c r="E8" s="17" t="s">
        <v>64</v>
      </c>
      <c r="F8" s="18" t="s">
        <v>65</v>
      </c>
      <c r="G8" s="17" t="s">
        <v>66</v>
      </c>
      <c r="H8" s="17" t="s">
        <v>67</v>
      </c>
      <c r="I8" s="17" t="s">
        <v>68</v>
      </c>
      <c r="J8" s="19" t="s">
        <v>69</v>
      </c>
      <c r="K8" s="17" t="s">
        <v>70</v>
      </c>
      <c r="L8" s="17" t="s">
        <v>71</v>
      </c>
      <c r="M8" s="20" t="s">
        <v>72</v>
      </c>
      <c r="N8" s="20" t="s">
        <v>73</v>
      </c>
    </row>
    <row r="9" spans="2:16" x14ac:dyDescent="0.35">
      <c r="B9">
        <v>1</v>
      </c>
      <c r="C9">
        <v>47.7</v>
      </c>
      <c r="D9">
        <v>1.6</v>
      </c>
      <c r="E9">
        <v>5</v>
      </c>
      <c r="F9" s="21">
        <v>4.5</v>
      </c>
      <c r="G9" s="22"/>
      <c r="H9" s="22"/>
      <c r="I9" s="22"/>
      <c r="J9" s="23"/>
      <c r="K9" s="22"/>
      <c r="M9" s="24"/>
      <c r="N9" s="25"/>
    </row>
    <row r="10" spans="2:16" x14ac:dyDescent="0.35">
      <c r="B10">
        <v>2</v>
      </c>
      <c r="C10">
        <v>36</v>
      </c>
      <c r="D10">
        <v>1.63</v>
      </c>
      <c r="E10">
        <v>4.9000000000000004</v>
      </c>
      <c r="F10" s="21">
        <v>4.46</v>
      </c>
      <c r="G10" s="22"/>
      <c r="H10" s="22"/>
      <c r="I10" s="22"/>
      <c r="J10" s="23"/>
      <c r="K10" s="22"/>
      <c r="M10" s="24"/>
      <c r="N10" s="25"/>
    </row>
    <row r="11" spans="2:16" x14ac:dyDescent="0.35">
      <c r="B11">
        <v>3</v>
      </c>
      <c r="C11">
        <v>42.8</v>
      </c>
      <c r="D11">
        <v>1.72</v>
      </c>
      <c r="E11">
        <v>6.4</v>
      </c>
      <c r="F11" s="21">
        <v>4.1900000000000004</v>
      </c>
      <c r="G11" s="22"/>
      <c r="H11" s="22"/>
      <c r="I11" s="22"/>
      <c r="J11" s="23"/>
      <c r="K11" s="22"/>
      <c r="M11" s="24"/>
      <c r="N11" s="25"/>
    </row>
    <row r="12" spans="2:16" x14ac:dyDescent="0.35">
      <c r="B12">
        <v>4</v>
      </c>
      <c r="C12">
        <v>52.2</v>
      </c>
      <c r="D12">
        <v>2.5</v>
      </c>
      <c r="E12">
        <v>4.9000000000000004</v>
      </c>
      <c r="F12" s="21">
        <v>4.34</v>
      </c>
      <c r="G12" s="22"/>
      <c r="H12" s="22"/>
      <c r="I12" s="22"/>
      <c r="J12" s="23"/>
      <c r="K12" s="22"/>
      <c r="M12" s="24"/>
      <c r="N12" s="25"/>
    </row>
    <row r="13" spans="2:16" x14ac:dyDescent="0.35">
      <c r="B13">
        <v>5</v>
      </c>
      <c r="C13">
        <v>37</v>
      </c>
      <c r="D13">
        <v>2.02</v>
      </c>
      <c r="E13">
        <v>4.5999999999999996</v>
      </c>
      <c r="F13" s="21">
        <v>4.25</v>
      </c>
      <c r="G13" s="22"/>
      <c r="H13" s="22"/>
      <c r="I13" s="22"/>
      <c r="J13" s="23"/>
      <c r="K13" s="22"/>
      <c r="M13" s="24"/>
      <c r="N13" s="25"/>
    </row>
    <row r="14" spans="2:16" x14ac:dyDescent="0.35">
      <c r="B14">
        <v>6</v>
      </c>
      <c r="C14">
        <v>45.1</v>
      </c>
      <c r="D14">
        <v>1.81</v>
      </c>
      <c r="E14">
        <v>4.8</v>
      </c>
      <c r="F14" s="21">
        <v>4.16</v>
      </c>
      <c r="G14" s="22"/>
      <c r="H14" s="22"/>
      <c r="I14" s="22"/>
      <c r="J14" s="23"/>
      <c r="K14" s="22"/>
      <c r="M14" s="24"/>
      <c r="N14" s="25"/>
    </row>
    <row r="15" spans="2:16" x14ac:dyDescent="0.35">
      <c r="B15">
        <v>7</v>
      </c>
      <c r="C15">
        <v>45.2</v>
      </c>
      <c r="D15">
        <v>1.4</v>
      </c>
      <c r="E15">
        <v>5.2</v>
      </c>
      <c r="F15" s="21">
        <v>4.2</v>
      </c>
      <c r="G15" s="22"/>
      <c r="H15" s="22"/>
      <c r="I15" s="22"/>
      <c r="J15" s="23"/>
      <c r="K15" s="22"/>
      <c r="M15" s="24"/>
      <c r="N15" s="25"/>
    </row>
    <row r="16" spans="2:16" x14ac:dyDescent="0.35">
      <c r="B16">
        <v>8</v>
      </c>
      <c r="C16">
        <v>39.6</v>
      </c>
      <c r="D16">
        <v>1.59</v>
      </c>
      <c r="E16">
        <v>4.9000000000000004</v>
      </c>
      <c r="F16" s="21">
        <v>4.28</v>
      </c>
      <c r="G16" s="22"/>
      <c r="H16" s="22"/>
      <c r="I16" s="22"/>
      <c r="J16" s="23"/>
      <c r="K16" s="22"/>
      <c r="M16" s="24"/>
      <c r="N16" s="25"/>
    </row>
    <row r="17" spans="2:14" x14ac:dyDescent="0.35">
      <c r="B17">
        <v>9</v>
      </c>
      <c r="C17">
        <v>44.9</v>
      </c>
      <c r="D17">
        <v>1.94</v>
      </c>
      <c r="E17">
        <v>4.9000000000000004</v>
      </c>
      <c r="F17" s="21">
        <v>4.25</v>
      </c>
      <c r="G17" s="22"/>
      <c r="H17" s="22"/>
      <c r="I17" s="22"/>
      <c r="J17" s="23"/>
      <c r="K17" s="22"/>
      <c r="M17" s="24"/>
      <c r="N17" s="25"/>
    </row>
    <row r="18" spans="2:14" x14ac:dyDescent="0.35">
      <c r="B18">
        <v>10</v>
      </c>
      <c r="C18">
        <v>40.1</v>
      </c>
      <c r="D18">
        <v>1.67</v>
      </c>
      <c r="E18">
        <v>4.8</v>
      </c>
      <c r="F18" s="21">
        <v>4.37</v>
      </c>
      <c r="G18" s="22"/>
      <c r="H18" s="22"/>
      <c r="I18" s="22"/>
      <c r="J18" s="23"/>
      <c r="K18" s="22"/>
      <c r="M18" s="24"/>
      <c r="N18" s="25"/>
    </row>
    <row r="19" spans="2:14" x14ac:dyDescent="0.35">
      <c r="B19">
        <v>11</v>
      </c>
      <c r="C19">
        <v>45.3</v>
      </c>
      <c r="D19">
        <v>2.11</v>
      </c>
      <c r="E19">
        <v>4.7</v>
      </c>
      <c r="F19" s="21">
        <v>4.05</v>
      </c>
      <c r="G19" s="22"/>
      <c r="H19" s="22"/>
      <c r="I19" s="22"/>
      <c r="J19" s="23"/>
      <c r="K19" s="22"/>
      <c r="M19" s="24"/>
      <c r="N19" s="25"/>
    </row>
    <row r="20" spans="2:14" x14ac:dyDescent="0.35">
      <c r="B20">
        <v>12</v>
      </c>
      <c r="C20">
        <v>47.7</v>
      </c>
      <c r="D20">
        <v>1.1200000000000001</v>
      </c>
      <c r="E20">
        <v>5</v>
      </c>
      <c r="F20" s="21">
        <v>4.29</v>
      </c>
      <c r="G20" s="22"/>
      <c r="H20" s="22"/>
      <c r="I20" s="22"/>
      <c r="J20" s="23"/>
      <c r="K20" s="22"/>
      <c r="M20" s="24"/>
      <c r="N20" s="25"/>
    </row>
    <row r="21" spans="2:14" x14ac:dyDescent="0.35">
      <c r="B21">
        <v>13</v>
      </c>
      <c r="C21">
        <v>31.5</v>
      </c>
      <c r="D21">
        <v>1.32</v>
      </c>
      <c r="E21">
        <v>4.5</v>
      </c>
      <c r="F21" s="21">
        <v>4.1900000000000004</v>
      </c>
      <c r="G21" s="22"/>
      <c r="H21" s="22"/>
      <c r="I21" s="22"/>
      <c r="J21" s="23"/>
      <c r="K21" s="22"/>
      <c r="M21" s="24"/>
      <c r="N21" s="25"/>
    </row>
    <row r="22" spans="2:14" x14ac:dyDescent="0.35">
      <c r="B22">
        <v>14</v>
      </c>
      <c r="C22">
        <v>53.7</v>
      </c>
      <c r="D22">
        <v>2.56</v>
      </c>
      <c r="E22">
        <v>4.96</v>
      </c>
      <c r="F22" s="21">
        <v>4.1900000000000004</v>
      </c>
      <c r="G22" s="22"/>
      <c r="H22" s="22"/>
      <c r="I22" s="22"/>
      <c r="J22" s="23"/>
      <c r="K22" s="22"/>
      <c r="M22" s="24"/>
      <c r="N22" s="25"/>
    </row>
    <row r="23" spans="2:14" x14ac:dyDescent="0.35">
      <c r="B23">
        <v>15</v>
      </c>
      <c r="C23">
        <v>46.7</v>
      </c>
      <c r="D23">
        <v>1.62</v>
      </c>
      <c r="E23">
        <v>4.78</v>
      </c>
      <c r="F23" s="21">
        <v>4.22</v>
      </c>
      <c r="G23" s="22"/>
      <c r="H23" s="22"/>
      <c r="I23" s="22"/>
      <c r="J23" s="23"/>
      <c r="K23" s="22"/>
      <c r="M23" s="24"/>
      <c r="N23" s="25"/>
    </row>
    <row r="24" spans="2:14" x14ac:dyDescent="0.35">
      <c r="B24">
        <v>16</v>
      </c>
      <c r="C24">
        <v>43.7</v>
      </c>
      <c r="D24">
        <v>1.87</v>
      </c>
      <c r="E24">
        <v>4.8499999999999996</v>
      </c>
      <c r="F24" s="21">
        <v>4.0999999999999996</v>
      </c>
      <c r="G24" s="22"/>
      <c r="H24" s="22"/>
      <c r="I24" s="22"/>
      <c r="J24" s="23"/>
      <c r="K24" s="22"/>
      <c r="M24" s="24"/>
      <c r="N24" s="25"/>
    </row>
    <row r="25" spans="2:14" x14ac:dyDescent="0.35">
      <c r="B25">
        <v>17</v>
      </c>
      <c r="C25">
        <v>48.9</v>
      </c>
      <c r="D25">
        <v>2</v>
      </c>
      <c r="E25">
        <v>4.83</v>
      </c>
      <c r="F25" s="21">
        <v>4.07</v>
      </c>
      <c r="G25" s="22"/>
      <c r="H25" s="22"/>
      <c r="I25" s="22"/>
      <c r="J25" s="23"/>
      <c r="K25" s="22"/>
      <c r="M25" s="24"/>
      <c r="N25" s="25"/>
    </row>
    <row r="26" spans="2:14" x14ac:dyDescent="0.35">
      <c r="B26">
        <v>18</v>
      </c>
      <c r="C26">
        <v>44.8</v>
      </c>
      <c r="D26">
        <v>1.34</v>
      </c>
      <c r="E26">
        <v>4.8499999999999996</v>
      </c>
      <c r="F26" s="21">
        <v>4.12</v>
      </c>
      <c r="G26" s="22"/>
      <c r="H26" s="22"/>
      <c r="I26" s="22"/>
      <c r="J26" s="23"/>
      <c r="K26" s="22"/>
      <c r="M26" s="24"/>
      <c r="N26" s="25"/>
    </row>
    <row r="27" spans="2:14" x14ac:dyDescent="0.35">
      <c r="B27">
        <v>19</v>
      </c>
      <c r="C27">
        <v>52</v>
      </c>
      <c r="D27">
        <v>2.48</v>
      </c>
      <c r="E27">
        <v>4.55</v>
      </c>
      <c r="F27" s="21">
        <v>4.1900000000000004</v>
      </c>
      <c r="G27" s="22"/>
      <c r="H27" s="22"/>
      <c r="I27" s="22"/>
      <c r="J27" s="23"/>
      <c r="K27" s="22"/>
      <c r="M27" s="24"/>
      <c r="N27" s="25"/>
    </row>
    <row r="28" spans="2:14" x14ac:dyDescent="0.35">
      <c r="B28">
        <v>20</v>
      </c>
      <c r="C28">
        <v>28.7</v>
      </c>
      <c r="D28">
        <v>1.4</v>
      </c>
      <c r="E28">
        <v>5.28</v>
      </c>
      <c r="F28" s="21">
        <v>4.41</v>
      </c>
      <c r="G28" s="22"/>
      <c r="H28" s="22"/>
      <c r="I28" s="22"/>
      <c r="J28" s="23"/>
      <c r="K28" s="22"/>
      <c r="M28" s="24"/>
      <c r="N28" s="25"/>
    </row>
    <row r="29" spans="2:14" x14ac:dyDescent="0.35">
      <c r="B29">
        <v>21</v>
      </c>
      <c r="C29">
        <v>31.9</v>
      </c>
      <c r="D29">
        <v>1.58</v>
      </c>
      <c r="E29">
        <v>5.33</v>
      </c>
      <c r="F29" s="21">
        <v>4.58</v>
      </c>
      <c r="G29" s="22"/>
      <c r="H29" s="22"/>
      <c r="I29" s="22"/>
      <c r="J29" s="23"/>
      <c r="K29" s="22"/>
      <c r="M29" s="24"/>
      <c r="N29" s="25"/>
    </row>
    <row r="30" spans="2:14" x14ac:dyDescent="0.35">
      <c r="B30">
        <v>22</v>
      </c>
      <c r="C30">
        <v>31</v>
      </c>
      <c r="D30">
        <v>1.33</v>
      </c>
      <c r="E30">
        <v>5.58</v>
      </c>
      <c r="F30" s="21">
        <v>4.4000000000000004</v>
      </c>
      <c r="G30" s="22"/>
      <c r="H30" s="22"/>
      <c r="I30" s="22"/>
      <c r="J30" s="23"/>
      <c r="K30" s="22"/>
      <c r="M30" s="24"/>
      <c r="N30" s="25"/>
    </row>
    <row r="31" spans="2:14" x14ac:dyDescent="0.35">
      <c r="B31">
        <v>23</v>
      </c>
      <c r="C31">
        <v>35.700000000000003</v>
      </c>
      <c r="D31">
        <v>1.83</v>
      </c>
      <c r="E31">
        <v>5.17</v>
      </c>
      <c r="F31" s="21">
        <v>4.1100000000000003</v>
      </c>
      <c r="G31" s="22"/>
      <c r="H31" s="22"/>
      <c r="I31" s="22"/>
      <c r="J31" s="23"/>
      <c r="K31" s="22"/>
      <c r="M31" s="24"/>
      <c r="N31" s="25"/>
    </row>
    <row r="32" spans="2:14" x14ac:dyDescent="0.35">
      <c r="B32">
        <v>24</v>
      </c>
      <c r="C32" s="10">
        <v>36.1</v>
      </c>
      <c r="D32" s="10">
        <v>1.06</v>
      </c>
      <c r="E32" s="10">
        <v>5.21</v>
      </c>
      <c r="F32" s="26">
        <v>4.3499999999999996</v>
      </c>
      <c r="G32" s="27"/>
      <c r="H32" s="28"/>
      <c r="I32" s="28"/>
      <c r="J32" s="29"/>
      <c r="K32" s="27"/>
      <c r="L32" s="10"/>
      <c r="M32" s="30"/>
      <c r="N32" s="31"/>
    </row>
    <row r="33" spans="2:13" ht="16" x14ac:dyDescent="0.35">
      <c r="B33" s="32" t="s">
        <v>52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 ht="16" x14ac:dyDescent="0.35">
      <c r="B34" s="34" t="s">
        <v>19</v>
      </c>
      <c r="C34" s="33"/>
      <c r="D34" s="33"/>
      <c r="E34" s="33"/>
      <c r="F34" s="33"/>
      <c r="G34" s="34"/>
      <c r="H34" s="34"/>
      <c r="I34" s="34"/>
      <c r="J34" s="34"/>
      <c r="K34" s="35"/>
      <c r="L34" s="34"/>
      <c r="M34" s="34"/>
    </row>
    <row r="36" spans="2:13" x14ac:dyDescent="0.35">
      <c r="B36" s="36"/>
    </row>
    <row r="39" spans="2:13" x14ac:dyDescent="0.35">
      <c r="F39" t="s">
        <v>74</v>
      </c>
    </row>
  </sheetData>
  <mergeCells count="1">
    <mergeCell ref="B6:L6"/>
  </mergeCells>
  <conditionalFormatting sqref="L9:M32">
    <cfRule type="iconSet" priority="3">
      <iconSet reverse="1">
        <cfvo type="percent" val="0"/>
        <cfvo type="percent" val="33"/>
        <cfvo type="percent" val="67"/>
      </iconSet>
    </cfRule>
  </conditionalFormatting>
  <conditionalFormatting sqref="M9:M32">
    <cfRule type="iconSet" priority="1">
      <iconSet>
        <cfvo type="percent" val="0"/>
        <cfvo type="percent" val="33"/>
        <cfvo type="percent" val="67"/>
      </iconSet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04D6-CC50-43EE-B747-D1DB532266BB}">
  <dimension ref="B2:P39"/>
  <sheetViews>
    <sheetView workbookViewId="0">
      <selection activeCell="C8" sqref="C8"/>
    </sheetView>
  </sheetViews>
  <sheetFormatPr defaultColWidth="10.90625" defaultRowHeight="14.5" x14ac:dyDescent="0.35"/>
  <sheetData>
    <row r="2" spans="2:16" x14ac:dyDescent="0.35">
      <c r="B2" t="s">
        <v>56</v>
      </c>
      <c r="D2" s="14" t="s">
        <v>57</v>
      </c>
      <c r="F2" s="14"/>
      <c r="G2" s="14"/>
      <c r="H2" s="14"/>
      <c r="I2" s="14"/>
    </row>
    <row r="3" spans="2:16" x14ac:dyDescent="0.35">
      <c r="E3" s="14"/>
    </row>
    <row r="4" spans="2:16" x14ac:dyDescent="0.35">
      <c r="B4" t="s">
        <v>58</v>
      </c>
      <c r="D4" s="14" t="s">
        <v>59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2:16" ht="16" x14ac:dyDescent="0.35">
      <c r="B6" s="37" t="s">
        <v>60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5"/>
      <c r="N6" s="16"/>
    </row>
    <row r="8" spans="2:16" ht="16" x14ac:dyDescent="0.35">
      <c r="B8" s="17" t="s">
        <v>61</v>
      </c>
      <c r="C8" s="17" t="s">
        <v>62</v>
      </c>
      <c r="D8" s="17" t="s">
        <v>63</v>
      </c>
      <c r="E8" s="17" t="s">
        <v>64</v>
      </c>
      <c r="F8" s="18" t="s">
        <v>65</v>
      </c>
      <c r="G8" s="17" t="s">
        <v>66</v>
      </c>
      <c r="H8" s="17" t="s">
        <v>67</v>
      </c>
      <c r="I8" s="17" t="s">
        <v>68</v>
      </c>
      <c r="J8" s="19" t="s">
        <v>69</v>
      </c>
      <c r="K8" s="17" t="s">
        <v>70</v>
      </c>
      <c r="L8" s="17" t="s">
        <v>71</v>
      </c>
      <c r="M8" s="20" t="s">
        <v>72</v>
      </c>
      <c r="N8" s="20" t="s">
        <v>73</v>
      </c>
    </row>
    <row r="9" spans="2:16" x14ac:dyDescent="0.35">
      <c r="B9">
        <v>1</v>
      </c>
      <c r="C9">
        <v>47.7</v>
      </c>
      <c r="D9">
        <v>1.6</v>
      </c>
      <c r="E9">
        <v>5</v>
      </c>
      <c r="F9" s="21">
        <v>4.5</v>
      </c>
      <c r="G9" s="22">
        <f>(C9-C$33)/C$34</f>
        <v>0.79365816755301943</v>
      </c>
      <c r="H9" s="22">
        <f t="shared" ref="H9:H32" si="0">(D9-D$33)/D$34</f>
        <v>-0.31654729591125114</v>
      </c>
      <c r="I9" s="22">
        <f>(E9-E$33)/E$34*-1</f>
        <v>-1.0616007744365782E-3</v>
      </c>
      <c r="J9" s="23">
        <f>(F9-F$33)/F$34*-1</f>
        <v>-1.7014693038148649</v>
      </c>
      <c r="K9" s="22">
        <f>AVERAGE(G9:J9)</f>
        <v>-0.30635500823688333</v>
      </c>
      <c r="L9">
        <f>RANK(K9,K$9:K$32)</f>
        <v>18</v>
      </c>
      <c r="M9" s="24">
        <f>PERCENTRANK(K$9:K$32,K9)</f>
        <v>0.26</v>
      </c>
      <c r="N9" s="25">
        <f>K9*10+50</f>
        <v>46.936449917631165</v>
      </c>
    </row>
    <row r="10" spans="2:16" x14ac:dyDescent="0.35">
      <c r="B10">
        <v>2</v>
      </c>
      <c r="C10">
        <v>36</v>
      </c>
      <c r="D10">
        <v>1.63</v>
      </c>
      <c r="E10">
        <v>4.9000000000000004</v>
      </c>
      <c r="F10" s="21">
        <v>4.46</v>
      </c>
      <c r="G10" s="22">
        <f t="shared" ref="G10:G32" si="1">(C10-C$33)/C$34</f>
        <v>-0.83901006284176582</v>
      </c>
      <c r="H10" s="22">
        <f t="shared" si="0"/>
        <v>-0.24302663363509006</v>
      </c>
      <c r="I10" s="22">
        <f t="shared" ref="I10:J32" si="2">(E10-E$33)/E$34*-1</f>
        <v>0.25372258508948681</v>
      </c>
      <c r="J10" s="23">
        <f t="shared" si="2"/>
        <v>-1.4164063838039977</v>
      </c>
      <c r="K10" s="22">
        <f t="shared" ref="K10:K32" si="3">AVERAGE(G10:J10)</f>
        <v>-0.56118012379784177</v>
      </c>
      <c r="L10">
        <f t="shared" ref="L10:L32" si="4">RANK(K10,K$9:K$32)</f>
        <v>19</v>
      </c>
      <c r="M10" s="24">
        <f t="shared" ref="M10:M32" si="5">PERCENTRANK(K$9:K$32,K10)</f>
        <v>0.217</v>
      </c>
      <c r="N10" s="25">
        <f t="shared" ref="N10:N32" si="6">K10*10+50</f>
        <v>44.388198762021581</v>
      </c>
    </row>
    <row r="11" spans="2:16" x14ac:dyDescent="0.35">
      <c r="B11">
        <v>3</v>
      </c>
      <c r="C11">
        <v>42.8</v>
      </c>
      <c r="D11">
        <v>1.72</v>
      </c>
      <c r="E11">
        <v>6.4</v>
      </c>
      <c r="F11" s="21">
        <v>4.1900000000000004</v>
      </c>
      <c r="G11" s="22">
        <f t="shared" si="1"/>
        <v>0.10989113089195489</v>
      </c>
      <c r="H11" s="22">
        <f t="shared" si="0"/>
        <v>-2.2464646806605169E-2</v>
      </c>
      <c r="I11" s="22">
        <f t="shared" si="2"/>
        <v>-3.5680402028693776</v>
      </c>
      <c r="J11" s="23">
        <f t="shared" si="2"/>
        <v>0.50776832626935053</v>
      </c>
      <c r="K11" s="22">
        <f t="shared" si="3"/>
        <v>-0.74321134812866929</v>
      </c>
      <c r="L11">
        <f t="shared" si="4"/>
        <v>20</v>
      </c>
      <c r="M11" s="24">
        <f t="shared" si="5"/>
        <v>0.17299999999999999</v>
      </c>
      <c r="N11" s="25">
        <f t="shared" si="6"/>
        <v>42.567886518713308</v>
      </c>
    </row>
    <row r="12" spans="2:16" x14ac:dyDescent="0.35">
      <c r="B12">
        <v>4</v>
      </c>
      <c r="C12">
        <v>52.2</v>
      </c>
      <c r="D12">
        <v>2.5</v>
      </c>
      <c r="E12">
        <v>4.9000000000000004</v>
      </c>
      <c r="F12" s="21">
        <v>4.34</v>
      </c>
      <c r="G12" s="22">
        <f t="shared" si="1"/>
        <v>1.421607486935629</v>
      </c>
      <c r="H12" s="22">
        <f t="shared" si="0"/>
        <v>1.8890725723735955</v>
      </c>
      <c r="I12" s="22">
        <f t="shared" si="2"/>
        <v>0.25372258508948681</v>
      </c>
      <c r="J12" s="23">
        <f t="shared" si="2"/>
        <v>-0.56121762377139639</v>
      </c>
      <c r="K12" s="22">
        <f t="shared" si="3"/>
        <v>0.7507962551568288</v>
      </c>
      <c r="L12">
        <f t="shared" si="4"/>
        <v>5</v>
      </c>
      <c r="M12" s="24">
        <f t="shared" si="5"/>
        <v>0.82599999999999996</v>
      </c>
      <c r="N12" s="25">
        <f t="shared" si="6"/>
        <v>57.507962551568291</v>
      </c>
    </row>
    <row r="13" spans="2:16" x14ac:dyDescent="0.35">
      <c r="B13">
        <v>5</v>
      </c>
      <c r="C13">
        <v>37</v>
      </c>
      <c r="D13">
        <v>2.02</v>
      </c>
      <c r="E13">
        <v>4.5999999999999996</v>
      </c>
      <c r="F13" s="21">
        <v>4.25</v>
      </c>
      <c r="G13" s="22">
        <f t="shared" si="1"/>
        <v>-0.69946576964563045</v>
      </c>
      <c r="H13" s="22">
        <f t="shared" si="0"/>
        <v>0.71274197595501054</v>
      </c>
      <c r="I13" s="22">
        <f t="shared" si="2"/>
        <v>1.0180751426812615</v>
      </c>
      <c r="J13" s="23">
        <f t="shared" si="2"/>
        <v>8.0173946253053019E-2</v>
      </c>
      <c r="K13" s="22">
        <f t="shared" si="3"/>
        <v>0.27788132381092367</v>
      </c>
      <c r="L13">
        <f t="shared" si="4"/>
        <v>10</v>
      </c>
      <c r="M13" s="24">
        <f t="shared" si="5"/>
        <v>0.60799999999999998</v>
      </c>
      <c r="N13" s="25">
        <f t="shared" si="6"/>
        <v>52.778813238109237</v>
      </c>
    </row>
    <row r="14" spans="2:16" x14ac:dyDescent="0.35">
      <c r="B14">
        <v>6</v>
      </c>
      <c r="C14">
        <v>45.1</v>
      </c>
      <c r="D14">
        <v>1.81</v>
      </c>
      <c r="E14">
        <v>4.8</v>
      </c>
      <c r="F14" s="21">
        <v>4.16</v>
      </c>
      <c r="G14" s="22">
        <f t="shared" si="1"/>
        <v>0.43084300524306707</v>
      </c>
      <c r="H14" s="22">
        <f t="shared" si="0"/>
        <v>0.19809734002187973</v>
      </c>
      <c r="I14" s="22">
        <f t="shared" si="2"/>
        <v>0.50850677095341246</v>
      </c>
      <c r="J14" s="23">
        <f t="shared" si="2"/>
        <v>0.72156551627750243</v>
      </c>
      <c r="K14" s="22">
        <f t="shared" si="3"/>
        <v>0.46475315812396545</v>
      </c>
      <c r="L14">
        <f t="shared" si="4"/>
        <v>7</v>
      </c>
      <c r="M14" s="24">
        <f t="shared" si="5"/>
        <v>0.73899999999999999</v>
      </c>
      <c r="N14" s="25">
        <f t="shared" si="6"/>
        <v>54.647531581239654</v>
      </c>
    </row>
    <row r="15" spans="2:16" x14ac:dyDescent="0.35">
      <c r="B15">
        <v>7</v>
      </c>
      <c r="C15">
        <v>45.2</v>
      </c>
      <c r="D15">
        <v>1.4</v>
      </c>
      <c r="E15">
        <v>5.2</v>
      </c>
      <c r="F15" s="21">
        <v>4.2</v>
      </c>
      <c r="G15" s="22">
        <f t="shared" si="1"/>
        <v>0.44479743456268078</v>
      </c>
      <c r="H15" s="22">
        <f t="shared" si="0"/>
        <v>-0.80668504441899536</v>
      </c>
      <c r="I15" s="22">
        <f t="shared" si="2"/>
        <v>-0.51062997250228559</v>
      </c>
      <c r="J15" s="23">
        <f t="shared" si="2"/>
        <v>0.43650259626663535</v>
      </c>
      <c r="K15" s="22">
        <f t="shared" si="3"/>
        <v>-0.10900374652299122</v>
      </c>
      <c r="L15">
        <f t="shared" si="4"/>
        <v>13</v>
      </c>
      <c r="M15" s="24">
        <f t="shared" si="5"/>
        <v>0.47799999999999998</v>
      </c>
      <c r="N15" s="25">
        <f t="shared" si="6"/>
        <v>48.909962534770088</v>
      </c>
    </row>
    <row r="16" spans="2:16" x14ac:dyDescent="0.35">
      <c r="B16">
        <v>8</v>
      </c>
      <c r="C16">
        <v>39.6</v>
      </c>
      <c r="D16">
        <v>1.59</v>
      </c>
      <c r="E16">
        <v>4.9000000000000004</v>
      </c>
      <c r="F16" s="21">
        <v>4.28</v>
      </c>
      <c r="G16" s="22">
        <f t="shared" si="1"/>
        <v>-0.33665060733567798</v>
      </c>
      <c r="H16" s="22">
        <f t="shared" si="0"/>
        <v>-0.34105418333663834</v>
      </c>
      <c r="I16" s="22">
        <f t="shared" si="2"/>
        <v>0.25372258508948681</v>
      </c>
      <c r="J16" s="23">
        <f t="shared" si="2"/>
        <v>-0.1336232437550989</v>
      </c>
      <c r="K16" s="22">
        <f t="shared" si="3"/>
        <v>-0.13940136233448211</v>
      </c>
      <c r="L16">
        <f t="shared" si="4"/>
        <v>14</v>
      </c>
      <c r="M16" s="24">
        <f t="shared" si="5"/>
        <v>0.434</v>
      </c>
      <c r="N16" s="25">
        <f t="shared" si="6"/>
        <v>48.605986376655181</v>
      </c>
    </row>
    <row r="17" spans="2:14" x14ac:dyDescent="0.35">
      <c r="B17">
        <v>9</v>
      </c>
      <c r="C17">
        <v>44.9</v>
      </c>
      <c r="D17">
        <v>1.94</v>
      </c>
      <c r="E17">
        <v>4.9000000000000004</v>
      </c>
      <c r="F17" s="21">
        <v>4.25</v>
      </c>
      <c r="G17" s="22">
        <f t="shared" si="1"/>
        <v>0.40293414660383958</v>
      </c>
      <c r="H17" s="22">
        <f t="shared" si="0"/>
        <v>0.51668687655191292</v>
      </c>
      <c r="I17" s="22">
        <f t="shared" si="2"/>
        <v>0.25372258508948681</v>
      </c>
      <c r="J17" s="23">
        <f t="shared" si="2"/>
        <v>8.0173946253053019E-2</v>
      </c>
      <c r="K17" s="22">
        <f t="shared" si="3"/>
        <v>0.3133793886245731</v>
      </c>
      <c r="L17">
        <f t="shared" si="4"/>
        <v>8</v>
      </c>
      <c r="M17" s="24">
        <f t="shared" si="5"/>
        <v>0.69499999999999995</v>
      </c>
      <c r="N17" s="25">
        <f t="shared" si="6"/>
        <v>53.133793886245734</v>
      </c>
    </row>
    <row r="18" spans="2:14" x14ac:dyDescent="0.35">
      <c r="B18">
        <v>10</v>
      </c>
      <c r="C18">
        <v>40.1</v>
      </c>
      <c r="D18">
        <v>1.67</v>
      </c>
      <c r="E18">
        <v>4.8</v>
      </c>
      <c r="F18" s="21">
        <v>4.37</v>
      </c>
      <c r="G18" s="22">
        <f t="shared" si="1"/>
        <v>-0.26687846073761029</v>
      </c>
      <c r="H18" s="22">
        <f t="shared" si="0"/>
        <v>-0.14499908393354122</v>
      </c>
      <c r="I18" s="22">
        <f t="shared" si="2"/>
        <v>0.50850677095341246</v>
      </c>
      <c r="J18" s="23">
        <f t="shared" si="2"/>
        <v>-0.77501481377954839</v>
      </c>
      <c r="K18" s="22">
        <f t="shared" si="3"/>
        <v>-0.16959639687432188</v>
      </c>
      <c r="L18">
        <f t="shared" si="4"/>
        <v>15</v>
      </c>
      <c r="M18" s="24">
        <f t="shared" si="5"/>
        <v>0.39100000000000001</v>
      </c>
      <c r="N18" s="25">
        <f t="shared" si="6"/>
        <v>48.304036031256778</v>
      </c>
    </row>
    <row r="19" spans="2:14" x14ac:dyDescent="0.35">
      <c r="B19">
        <v>11</v>
      </c>
      <c r="C19">
        <v>45.3</v>
      </c>
      <c r="D19">
        <v>2.11</v>
      </c>
      <c r="E19">
        <v>4.7</v>
      </c>
      <c r="F19" s="21">
        <v>4.05</v>
      </c>
      <c r="G19" s="22">
        <f t="shared" si="1"/>
        <v>0.45875186388229355</v>
      </c>
      <c r="H19" s="22">
        <f t="shared" si="0"/>
        <v>0.93330396278349492</v>
      </c>
      <c r="I19" s="22">
        <f t="shared" si="2"/>
        <v>0.76329095681733583</v>
      </c>
      <c r="J19" s="23">
        <f t="shared" si="2"/>
        <v>1.5054885463073886</v>
      </c>
      <c r="K19" s="22">
        <f t="shared" si="3"/>
        <v>0.91520883244762818</v>
      </c>
      <c r="L19">
        <f t="shared" si="4"/>
        <v>3</v>
      </c>
      <c r="M19" s="24">
        <f t="shared" si="5"/>
        <v>0.91300000000000003</v>
      </c>
      <c r="N19" s="25">
        <f t="shared" si="6"/>
        <v>59.152088324476281</v>
      </c>
    </row>
    <row r="20" spans="2:14" x14ac:dyDescent="0.35">
      <c r="B20">
        <v>12</v>
      </c>
      <c r="C20">
        <v>47.7</v>
      </c>
      <c r="D20">
        <v>1.1200000000000001</v>
      </c>
      <c r="E20">
        <v>5</v>
      </c>
      <c r="F20" s="21">
        <v>4.29</v>
      </c>
      <c r="G20" s="22">
        <f t="shared" si="1"/>
        <v>0.79365816755301943</v>
      </c>
      <c r="H20" s="22">
        <f t="shared" si="0"/>
        <v>-1.4928778923298363</v>
      </c>
      <c r="I20" s="22">
        <f t="shared" si="2"/>
        <v>-1.0616007744365782E-3</v>
      </c>
      <c r="J20" s="23">
        <f t="shared" si="2"/>
        <v>-0.20488897375781412</v>
      </c>
      <c r="K20" s="22">
        <f t="shared" si="3"/>
        <v>-0.22629257482726689</v>
      </c>
      <c r="L20">
        <f t="shared" si="4"/>
        <v>17</v>
      </c>
      <c r="M20" s="24">
        <f t="shared" si="5"/>
        <v>0.30399999999999999</v>
      </c>
      <c r="N20" s="25">
        <f t="shared" si="6"/>
        <v>47.737074251727329</v>
      </c>
    </row>
    <row r="21" spans="2:14" x14ac:dyDescent="0.35">
      <c r="B21">
        <v>13</v>
      </c>
      <c r="C21">
        <v>31.5</v>
      </c>
      <c r="D21">
        <v>1.32</v>
      </c>
      <c r="E21">
        <v>4.5</v>
      </c>
      <c r="F21" s="21">
        <v>4.1900000000000004</v>
      </c>
      <c r="G21" s="22">
        <f t="shared" si="1"/>
        <v>-1.4669593822243754</v>
      </c>
      <c r="H21" s="22">
        <f t="shared" si="0"/>
        <v>-1.0027401438220924</v>
      </c>
      <c r="I21" s="22">
        <f t="shared" si="2"/>
        <v>1.2728593285451848</v>
      </c>
      <c r="J21" s="23">
        <f t="shared" si="2"/>
        <v>0.50776832626935053</v>
      </c>
      <c r="K21" s="22">
        <f t="shared" si="3"/>
        <v>-0.17226796780798317</v>
      </c>
      <c r="L21">
        <f t="shared" si="4"/>
        <v>16</v>
      </c>
      <c r="M21" s="24">
        <f t="shared" si="5"/>
        <v>0.34699999999999998</v>
      </c>
      <c r="N21" s="25">
        <f t="shared" si="6"/>
        <v>48.277320321920172</v>
      </c>
    </row>
    <row r="22" spans="2:14" x14ac:dyDescent="0.35">
      <c r="B22">
        <v>14</v>
      </c>
      <c r="C22">
        <v>53.7</v>
      </c>
      <c r="D22">
        <v>2.56</v>
      </c>
      <c r="E22">
        <v>4.96</v>
      </c>
      <c r="F22" s="21">
        <v>4.1900000000000004</v>
      </c>
      <c r="G22" s="22">
        <f t="shared" si="1"/>
        <v>1.6309239267298323</v>
      </c>
      <c r="H22" s="22">
        <f t="shared" si="0"/>
        <v>2.0361138969259187</v>
      </c>
      <c r="I22" s="22">
        <f t="shared" si="2"/>
        <v>0.10085207357113322</v>
      </c>
      <c r="J22" s="23">
        <f t="shared" si="2"/>
        <v>0.50776832626935053</v>
      </c>
      <c r="K22" s="22">
        <f t="shared" si="3"/>
        <v>1.0689145558740587</v>
      </c>
      <c r="L22">
        <f t="shared" si="4"/>
        <v>2</v>
      </c>
      <c r="M22" s="24">
        <f t="shared" si="5"/>
        <v>0.95599999999999996</v>
      </c>
      <c r="N22" s="25">
        <f t="shared" si="6"/>
        <v>60.689145558740591</v>
      </c>
    </row>
    <row r="23" spans="2:14" x14ac:dyDescent="0.35">
      <c r="B23">
        <v>15</v>
      </c>
      <c r="C23">
        <v>46.7</v>
      </c>
      <c r="D23">
        <v>1.62</v>
      </c>
      <c r="E23">
        <v>4.78</v>
      </c>
      <c r="F23" s="21">
        <v>4.22</v>
      </c>
      <c r="G23" s="22">
        <f t="shared" si="1"/>
        <v>0.65411387435688395</v>
      </c>
      <c r="H23" s="22">
        <f t="shared" si="0"/>
        <v>-0.26753352106047673</v>
      </c>
      <c r="I23" s="22">
        <f t="shared" si="2"/>
        <v>0.55946360812619622</v>
      </c>
      <c r="J23" s="23">
        <f t="shared" si="2"/>
        <v>0.29397113626120497</v>
      </c>
      <c r="K23" s="22">
        <f t="shared" si="3"/>
        <v>0.31000377442095212</v>
      </c>
      <c r="L23">
        <f t="shared" si="4"/>
        <v>9</v>
      </c>
      <c r="M23" s="24">
        <f t="shared" si="5"/>
        <v>0.65200000000000002</v>
      </c>
      <c r="N23" s="25">
        <f t="shared" si="6"/>
        <v>53.100037744209523</v>
      </c>
    </row>
    <row r="24" spans="2:14" x14ac:dyDescent="0.35">
      <c r="B24">
        <v>16</v>
      </c>
      <c r="C24">
        <v>43.7</v>
      </c>
      <c r="D24">
        <v>1.87</v>
      </c>
      <c r="E24">
        <v>4.8499999999999996</v>
      </c>
      <c r="F24" s="21">
        <v>4.0999999999999996</v>
      </c>
      <c r="G24" s="22">
        <f t="shared" si="1"/>
        <v>0.23548099476847761</v>
      </c>
      <c r="H24" s="22">
        <f t="shared" si="0"/>
        <v>0.345138664574203</v>
      </c>
      <c r="I24" s="22">
        <f t="shared" si="2"/>
        <v>0.38111467802145077</v>
      </c>
      <c r="J24" s="23">
        <f t="shared" si="2"/>
        <v>1.1491598962938063</v>
      </c>
      <c r="K24" s="22">
        <f t="shared" si="3"/>
        <v>0.52772355841448437</v>
      </c>
      <c r="L24">
        <f t="shared" si="4"/>
        <v>6</v>
      </c>
      <c r="M24" s="24">
        <f t="shared" si="5"/>
        <v>0.78200000000000003</v>
      </c>
      <c r="N24" s="25">
        <f t="shared" si="6"/>
        <v>55.277235584144847</v>
      </c>
    </row>
    <row r="25" spans="2:14" x14ac:dyDescent="0.35">
      <c r="B25">
        <v>17</v>
      </c>
      <c r="C25">
        <v>48.9</v>
      </c>
      <c r="D25">
        <v>2</v>
      </c>
      <c r="E25">
        <v>4.83</v>
      </c>
      <c r="F25" s="21">
        <v>4.07</v>
      </c>
      <c r="G25" s="22">
        <f t="shared" si="1"/>
        <v>0.96111131938838146</v>
      </c>
      <c r="H25" s="22">
        <f t="shared" si="0"/>
        <v>0.66372820110423614</v>
      </c>
      <c r="I25" s="22">
        <f t="shared" si="2"/>
        <v>0.43207151519423453</v>
      </c>
      <c r="J25" s="23">
        <f t="shared" si="2"/>
        <v>1.362957086301952</v>
      </c>
      <c r="K25" s="22">
        <f t="shared" si="3"/>
        <v>0.85496703049720102</v>
      </c>
      <c r="L25">
        <f t="shared" si="4"/>
        <v>4</v>
      </c>
      <c r="M25" s="24">
        <f t="shared" si="5"/>
        <v>0.86899999999999999</v>
      </c>
      <c r="N25" s="25">
        <f t="shared" si="6"/>
        <v>58.549670304972011</v>
      </c>
    </row>
    <row r="26" spans="2:14" x14ac:dyDescent="0.35">
      <c r="B26">
        <v>18</v>
      </c>
      <c r="C26">
        <v>44.8</v>
      </c>
      <c r="D26">
        <v>1.34</v>
      </c>
      <c r="E26">
        <v>4.8499999999999996</v>
      </c>
      <c r="F26" s="21">
        <v>4.12</v>
      </c>
      <c r="G26" s="22">
        <f t="shared" si="1"/>
        <v>0.38897971728422581</v>
      </c>
      <c r="H26" s="22">
        <f t="shared" si="0"/>
        <v>-0.95372636897131802</v>
      </c>
      <c r="I26" s="22">
        <f t="shared" si="2"/>
        <v>0.38111467802145077</v>
      </c>
      <c r="J26" s="23">
        <f t="shared" si="2"/>
        <v>1.0066284362883695</v>
      </c>
      <c r="K26" s="22">
        <f t="shared" si="3"/>
        <v>0.20574911565568199</v>
      </c>
      <c r="L26">
        <f t="shared" si="4"/>
        <v>11</v>
      </c>
      <c r="M26" s="24">
        <f t="shared" si="5"/>
        <v>0.56499999999999995</v>
      </c>
      <c r="N26" s="25">
        <f t="shared" si="6"/>
        <v>52.057491156556821</v>
      </c>
    </row>
    <row r="27" spans="2:14" x14ac:dyDescent="0.35">
      <c r="B27">
        <v>19</v>
      </c>
      <c r="C27">
        <v>52</v>
      </c>
      <c r="D27">
        <v>2.48</v>
      </c>
      <c r="E27">
        <v>4.55</v>
      </c>
      <c r="F27" s="21">
        <v>4.1900000000000004</v>
      </c>
      <c r="G27" s="22">
        <f t="shared" si="1"/>
        <v>1.3936986282964015</v>
      </c>
      <c r="H27" s="22">
        <f t="shared" si="0"/>
        <v>1.8400587975228211</v>
      </c>
      <c r="I27" s="22">
        <f t="shared" si="2"/>
        <v>1.1454672356132232</v>
      </c>
      <c r="J27" s="23">
        <f t="shared" si="2"/>
        <v>0.50776832626935053</v>
      </c>
      <c r="K27" s="22">
        <f t="shared" si="3"/>
        <v>1.221748246925449</v>
      </c>
      <c r="L27">
        <f t="shared" si="4"/>
        <v>1</v>
      </c>
      <c r="M27" s="24">
        <f t="shared" si="5"/>
        <v>1</v>
      </c>
      <c r="N27" s="25">
        <f t="shared" si="6"/>
        <v>62.217482469254492</v>
      </c>
    </row>
    <row r="28" spans="2:14" x14ac:dyDescent="0.35">
      <c r="B28">
        <v>20</v>
      </c>
      <c r="C28">
        <v>28.7</v>
      </c>
      <c r="D28">
        <v>1.4</v>
      </c>
      <c r="E28">
        <v>5.28</v>
      </c>
      <c r="F28" s="21">
        <v>4.41</v>
      </c>
      <c r="G28" s="22">
        <f t="shared" si="1"/>
        <v>-1.857683403173555</v>
      </c>
      <c r="H28" s="22">
        <f t="shared" si="0"/>
        <v>-0.80668504441899536</v>
      </c>
      <c r="I28" s="22">
        <f t="shared" si="2"/>
        <v>-0.7144573211934252</v>
      </c>
      <c r="J28" s="23">
        <f t="shared" si="2"/>
        <v>-1.0600777337904155</v>
      </c>
      <c r="K28" s="22">
        <f t="shared" si="3"/>
        <v>-1.1097258756440977</v>
      </c>
      <c r="L28">
        <f t="shared" si="4"/>
        <v>22</v>
      </c>
      <c r="M28" s="24">
        <f t="shared" si="5"/>
        <v>8.5999999999999993E-2</v>
      </c>
      <c r="N28" s="25">
        <f t="shared" si="6"/>
        <v>38.902741243559021</v>
      </c>
    </row>
    <row r="29" spans="2:14" x14ac:dyDescent="0.35">
      <c r="B29">
        <v>21</v>
      </c>
      <c r="C29">
        <v>31.9</v>
      </c>
      <c r="D29">
        <v>1.58</v>
      </c>
      <c r="E29">
        <v>5.33</v>
      </c>
      <c r="F29" s="21">
        <v>4.58</v>
      </c>
      <c r="G29" s="22">
        <f t="shared" si="1"/>
        <v>-1.4111416649459214</v>
      </c>
      <c r="H29" s="22">
        <f t="shared" si="0"/>
        <v>-0.36556107076202554</v>
      </c>
      <c r="I29" s="22">
        <f t="shared" si="2"/>
        <v>-0.84184941412538694</v>
      </c>
      <c r="J29" s="23">
        <f t="shared" si="2"/>
        <v>-2.2715951438365991</v>
      </c>
      <c r="K29" s="22">
        <f t="shared" si="3"/>
        <v>-1.2225368234174834</v>
      </c>
      <c r="L29">
        <f t="shared" si="4"/>
        <v>23</v>
      </c>
      <c r="M29" s="24">
        <f t="shared" si="5"/>
        <v>4.2999999999999997E-2</v>
      </c>
      <c r="N29" s="25">
        <f t="shared" si="6"/>
        <v>37.774631765825163</v>
      </c>
    </row>
    <row r="30" spans="2:14" x14ac:dyDescent="0.35">
      <c r="B30">
        <v>22</v>
      </c>
      <c r="C30">
        <v>31</v>
      </c>
      <c r="D30">
        <v>1.33</v>
      </c>
      <c r="E30">
        <v>5.58</v>
      </c>
      <c r="F30" s="21">
        <v>4.4000000000000004</v>
      </c>
      <c r="G30" s="22">
        <f t="shared" si="1"/>
        <v>-1.5367315288224432</v>
      </c>
      <c r="H30" s="22">
        <f t="shared" si="0"/>
        <v>-0.97823325639670533</v>
      </c>
      <c r="I30" s="22">
        <f t="shared" si="2"/>
        <v>-1.4788098787851975</v>
      </c>
      <c r="J30" s="23">
        <f t="shared" si="2"/>
        <v>-0.98881200378770029</v>
      </c>
      <c r="K30" s="22">
        <f t="shared" si="3"/>
        <v>-1.2456466669480115</v>
      </c>
      <c r="L30">
        <f t="shared" si="4"/>
        <v>24</v>
      </c>
      <c r="M30" s="24">
        <f t="shared" si="5"/>
        <v>0</v>
      </c>
      <c r="N30" s="25">
        <f t="shared" si="6"/>
        <v>37.543533330519885</v>
      </c>
    </row>
    <row r="31" spans="2:14" x14ac:dyDescent="0.35">
      <c r="B31">
        <v>23</v>
      </c>
      <c r="C31">
        <v>35.700000000000003</v>
      </c>
      <c r="D31">
        <v>1.83</v>
      </c>
      <c r="E31">
        <v>5.17</v>
      </c>
      <c r="F31" s="21">
        <v>4.1100000000000003</v>
      </c>
      <c r="G31" s="22">
        <f t="shared" si="1"/>
        <v>-0.88087335080060614</v>
      </c>
      <c r="H31" s="22">
        <f t="shared" si="0"/>
        <v>0.24711111487265414</v>
      </c>
      <c r="I31" s="22">
        <f t="shared" si="2"/>
        <v>-0.43419471674310767</v>
      </c>
      <c r="J31" s="23">
        <f t="shared" si="2"/>
        <v>1.0778941662910848</v>
      </c>
      <c r="K31" s="22">
        <f t="shared" si="3"/>
        <v>2.4843034050062718E-3</v>
      </c>
      <c r="L31">
        <f t="shared" si="4"/>
        <v>12</v>
      </c>
      <c r="M31" s="24">
        <f t="shared" si="5"/>
        <v>0.52100000000000002</v>
      </c>
      <c r="N31" s="25">
        <f t="shared" si="6"/>
        <v>50.024843034050065</v>
      </c>
    </row>
    <row r="32" spans="2:14" x14ac:dyDescent="0.35">
      <c r="B32">
        <v>24</v>
      </c>
      <c r="C32" s="10">
        <v>36.1</v>
      </c>
      <c r="D32" s="10">
        <v>1.06</v>
      </c>
      <c r="E32" s="10">
        <v>5.21</v>
      </c>
      <c r="F32" s="26">
        <v>4.3499999999999996</v>
      </c>
      <c r="G32" s="27">
        <f t="shared" si="1"/>
        <v>-0.82505563352215217</v>
      </c>
      <c r="H32" s="28">
        <f t="shared" si="0"/>
        <v>-1.6399192168821595</v>
      </c>
      <c r="I32" s="28">
        <f t="shared" si="2"/>
        <v>-0.53610839108867747</v>
      </c>
      <c r="J32" s="29">
        <f t="shared" si="2"/>
        <v>-0.63248335377411158</v>
      </c>
      <c r="K32" s="27">
        <f t="shared" si="3"/>
        <v>-0.90839164881677514</v>
      </c>
      <c r="L32" s="10">
        <f t="shared" si="4"/>
        <v>21</v>
      </c>
      <c r="M32" s="30">
        <f t="shared" si="5"/>
        <v>0.13</v>
      </c>
      <c r="N32" s="31">
        <f t="shared" si="6"/>
        <v>40.916083511832248</v>
      </c>
    </row>
    <row r="33" spans="2:13" ht="16" x14ac:dyDescent="0.35">
      <c r="B33" s="32" t="s">
        <v>52</v>
      </c>
      <c r="C33" s="33">
        <f>AVERAGE(C9:C32)</f>
        <v>42.01250000000001</v>
      </c>
      <c r="D33" s="33">
        <f t="shared" ref="D33:K33" si="7">AVERAGE(D9:D32)</f>
        <v>1.7291666666666667</v>
      </c>
      <c r="E33" s="33">
        <f t="shared" si="7"/>
        <v>4.9995833333333319</v>
      </c>
      <c r="F33" s="33">
        <f t="shared" si="7"/>
        <v>4.2612499999999995</v>
      </c>
      <c r="G33" s="33">
        <f t="shared" si="7"/>
        <v>-1.3230157710116448E-15</v>
      </c>
      <c r="H33" s="33">
        <f t="shared" si="7"/>
        <v>-1.7578531223231644E-16</v>
      </c>
      <c r="I33" s="33">
        <f t="shared" si="7"/>
        <v>-3.7192471324942744E-15</v>
      </c>
      <c r="J33" s="33">
        <f t="shared" si="7"/>
        <v>-3.9412917374193057E-15</v>
      </c>
      <c r="K33" s="33">
        <f t="shared" si="7"/>
        <v>-2.2805831297508425E-15</v>
      </c>
      <c r="L33" s="33"/>
      <c r="M33" s="33"/>
    </row>
    <row r="34" spans="2:13" ht="16" x14ac:dyDescent="0.35">
      <c r="B34" s="34" t="s">
        <v>19</v>
      </c>
      <c r="C34" s="33">
        <f>STDEV(C9:C32)</f>
        <v>7.1661834181528103</v>
      </c>
      <c r="D34" s="33">
        <f t="shared" ref="D34:F34" si="8">STDEV(D9:D32)</f>
        <v>0.4080485549397348</v>
      </c>
      <c r="E34" s="33">
        <f t="shared" si="8"/>
        <v>0.39248903797117229</v>
      </c>
      <c r="F34" s="33">
        <f t="shared" si="8"/>
        <v>0.14031989849284909</v>
      </c>
      <c r="G34" s="34"/>
      <c r="H34" s="34"/>
      <c r="I34" s="34"/>
      <c r="J34" s="34"/>
      <c r="K34" s="35"/>
      <c r="L34" s="34"/>
      <c r="M34" s="34"/>
    </row>
    <row r="36" spans="2:13" x14ac:dyDescent="0.35">
      <c r="B36" s="36"/>
    </row>
    <row r="39" spans="2:13" x14ac:dyDescent="0.35">
      <c r="F39" t="s">
        <v>74</v>
      </c>
    </row>
  </sheetData>
  <mergeCells count="1">
    <mergeCell ref="B6:L6"/>
  </mergeCells>
  <conditionalFormatting sqref="L9:M32">
    <cfRule type="iconSet" priority="3">
      <iconSet reverse="1">
        <cfvo type="percent" val="0"/>
        <cfvo type="percent" val="33"/>
        <cfvo type="percent" val="67"/>
      </iconSet>
    </cfRule>
  </conditionalFormatting>
  <conditionalFormatting sqref="M9:M32">
    <cfRule type="iconSet" priority="1">
      <iconSet>
        <cfvo type="percent" val="0"/>
        <cfvo type="percent" val="33"/>
        <cfvo type="percent" val="67"/>
      </iconSet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D2" r:id="rId1" xr:uid="{A7BD94A4-0B74-4F62-A1D0-A6B1910ADDCA}"/>
    <hyperlink ref="D4" r:id="rId2" xr:uid="{03BBF8C5-5433-4197-BD19-3EFDB43A7B7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CV</vt:lpstr>
      <vt:lpstr>CV_Answers</vt:lpstr>
      <vt:lpstr>Performance_Prev_Base</vt:lpstr>
      <vt:lpstr>Performance_Answers</vt:lpstr>
      <vt:lpstr>Readiness</vt:lpstr>
      <vt:lpstr>Readiness_Answers</vt:lpstr>
      <vt:lpstr>TSA</vt:lpstr>
      <vt:lpstr>TSA_answers</vt:lpstr>
    </vt:vector>
  </TitlesOfParts>
  <Company>Middlesex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Turner</dc:creator>
  <cp:lastModifiedBy>Anthony Turner</cp:lastModifiedBy>
  <dcterms:created xsi:type="dcterms:W3CDTF">2026-02-20T12:19:11Z</dcterms:created>
  <dcterms:modified xsi:type="dcterms:W3CDTF">2026-03-10T16:40:52Z</dcterms:modified>
</cp:coreProperties>
</file>