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vemdxac-my.sharepoint.com/personal/a_n_turner_mdx_ac_uk/Documents/My lectures/Luca Italy/Testing in RTP and HPS/Morandini/"/>
    </mc:Choice>
  </mc:AlternateContent>
  <xr:revisionPtr revIDLastSave="0" documentId="8_{02562E4D-3761-4543-9E4B-74B4F4F883C0}" xr6:coauthVersionLast="47" xr6:coauthVersionMax="47" xr10:uidLastSave="{00000000-0000-0000-0000-000000000000}"/>
  <bookViews>
    <workbookView xWindow="-28920" yWindow="45" windowWidth="29040" windowHeight="15720" xr2:uid="{4EB6CF92-5BE3-4B8E-BA42-AE21F3FBB6AB}"/>
  </bookViews>
  <sheets>
    <sheet name="CV" sheetId="5" r:id="rId1"/>
    <sheet name="CV_Answers" sheetId="6" r:id="rId2"/>
    <sheet name="Performance_Prev_Base" sheetId="1" r:id="rId3"/>
    <sheet name="Performance_Answers" sheetId="2" r:id="rId4"/>
    <sheet name="Readiness" sheetId="3" r:id="rId5"/>
    <sheet name="Readiness_Answers" sheetId="4" r:id="rId6"/>
  </sheets>
  <externalReferences>
    <externalReference r:id="rId7"/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6" l="1"/>
  <c r="C29" i="6"/>
  <c r="B29" i="6"/>
  <c r="H28" i="6"/>
  <c r="G28" i="6"/>
  <c r="F28" i="6"/>
  <c r="E28" i="6"/>
  <c r="H27" i="6"/>
  <c r="G27" i="6"/>
  <c r="F27" i="6"/>
  <c r="E27" i="6"/>
  <c r="H26" i="6"/>
  <c r="G26" i="6"/>
  <c r="F26" i="6"/>
  <c r="E26" i="6"/>
  <c r="H25" i="6"/>
  <c r="G25" i="6"/>
  <c r="F25" i="6"/>
  <c r="E25" i="6"/>
  <c r="H24" i="6"/>
  <c r="G24" i="6"/>
  <c r="F24" i="6"/>
  <c r="E24" i="6"/>
  <c r="H23" i="6"/>
  <c r="G23" i="6"/>
  <c r="F23" i="6"/>
  <c r="E23" i="6"/>
  <c r="H22" i="6"/>
  <c r="G22" i="6"/>
  <c r="F22" i="6"/>
  <c r="E22" i="6"/>
  <c r="H21" i="6"/>
  <c r="G21" i="6"/>
  <c r="F21" i="6"/>
  <c r="E21" i="6"/>
  <c r="H20" i="6"/>
  <c r="G20" i="6"/>
  <c r="F20" i="6"/>
  <c r="E20" i="6"/>
  <c r="H19" i="6"/>
  <c r="G19" i="6"/>
  <c r="F19" i="6"/>
  <c r="E19" i="6"/>
  <c r="H18" i="6"/>
  <c r="G18" i="6"/>
  <c r="F18" i="6"/>
  <c r="E18" i="6"/>
  <c r="H17" i="6"/>
  <c r="G17" i="6"/>
  <c r="F17" i="6"/>
  <c r="E17" i="6"/>
  <c r="H16" i="6"/>
  <c r="G16" i="6"/>
  <c r="F16" i="6"/>
  <c r="E16" i="6"/>
  <c r="H15" i="6"/>
  <c r="G15" i="6"/>
  <c r="F15" i="6"/>
  <c r="E15" i="6"/>
  <c r="H14" i="6"/>
  <c r="G14" i="6"/>
  <c r="F14" i="6"/>
  <c r="E14" i="6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H29" i="6" s="1"/>
  <c r="G5" i="6"/>
  <c r="F5" i="6"/>
  <c r="E5" i="6"/>
  <c r="E29" i="6" l="1"/>
  <c r="F29" i="6"/>
  <c r="G29" i="6"/>
  <c r="F17" i="4" l="1"/>
  <c r="E17" i="4"/>
  <c r="F16" i="4"/>
  <c r="E16" i="4"/>
  <c r="F15" i="4"/>
  <c r="E15" i="4"/>
  <c r="F14" i="4"/>
  <c r="E14" i="4"/>
  <c r="F13" i="4"/>
  <c r="E13" i="4"/>
  <c r="H17" i="4" s="1"/>
  <c r="F12" i="4"/>
  <c r="E12" i="4"/>
  <c r="H16" i="4" s="1"/>
  <c r="F11" i="4"/>
  <c r="E11" i="4"/>
  <c r="H15" i="4" s="1"/>
  <c r="F10" i="4"/>
  <c r="E10" i="4"/>
  <c r="H14" i="4" s="1"/>
  <c r="F9" i="4"/>
  <c r="E9" i="4"/>
  <c r="G13" i="4" s="1"/>
  <c r="I13" i="4" s="1"/>
  <c r="H8" i="4"/>
  <c r="F8" i="4"/>
  <c r="E8" i="4"/>
  <c r="G12" i="4" s="1"/>
  <c r="I12" i="4" s="1"/>
  <c r="F7" i="4"/>
  <c r="E7" i="4"/>
  <c r="H10" i="4" s="1"/>
  <c r="J10" i="4" s="1"/>
  <c r="K10" i="4" s="1"/>
  <c r="F6" i="4"/>
  <c r="E6" i="4"/>
  <c r="G10" i="4" s="1"/>
  <c r="I10" i="4" s="1"/>
  <c r="K5" i="4"/>
  <c r="J5" i="4"/>
  <c r="I5" i="4"/>
  <c r="F5" i="4"/>
  <c r="E5" i="4"/>
  <c r="H9" i="4" s="1"/>
  <c r="J4" i="4"/>
  <c r="K4" i="4" s="1"/>
  <c r="I4" i="4"/>
  <c r="F4" i="4"/>
  <c r="E4" i="4"/>
  <c r="G8" i="4" s="1"/>
  <c r="I8" i="4" s="1"/>
  <c r="J3" i="4"/>
  <c r="K3" i="4" s="1"/>
  <c r="I3" i="4"/>
  <c r="F3" i="4"/>
  <c r="E3" i="4"/>
  <c r="H6" i="4" s="1"/>
  <c r="J2" i="4"/>
  <c r="K2" i="4" s="1"/>
  <c r="I2" i="4"/>
  <c r="F2" i="4"/>
  <c r="E2" i="4"/>
  <c r="J8" i="4" l="1"/>
  <c r="K8" i="4" s="1"/>
  <c r="J6" i="4"/>
  <c r="K6" i="4" s="1"/>
  <c r="H13" i="4"/>
  <c r="J13" i="4" s="1"/>
  <c r="K13" i="4" s="1"/>
  <c r="G7" i="4"/>
  <c r="I7" i="4" s="1"/>
  <c r="G6" i="4"/>
  <c r="I6" i="4" s="1"/>
  <c r="G11" i="4"/>
  <c r="I11" i="4" s="1"/>
  <c r="H12" i="4"/>
  <c r="J12" i="4" s="1"/>
  <c r="K12" i="4" s="1"/>
  <c r="H7" i="4"/>
  <c r="H11" i="4"/>
  <c r="J11" i="4" s="1"/>
  <c r="K11" i="4" s="1"/>
  <c r="G17" i="4"/>
  <c r="I17" i="4" s="1"/>
  <c r="J17" i="4" s="1"/>
  <c r="K17" i="4" s="1"/>
  <c r="G9" i="4"/>
  <c r="I9" i="4" s="1"/>
  <c r="J9" i="4" s="1"/>
  <c r="K9" i="4" s="1"/>
  <c r="G16" i="4"/>
  <c r="I16" i="4" s="1"/>
  <c r="J16" i="4" s="1"/>
  <c r="K16" i="4" s="1"/>
  <c r="G15" i="4"/>
  <c r="I15" i="4" s="1"/>
  <c r="J15" i="4" s="1"/>
  <c r="K15" i="4" s="1"/>
  <c r="G14" i="4"/>
  <c r="I14" i="4" s="1"/>
  <c r="J14" i="4" s="1"/>
  <c r="K14" i="4" s="1"/>
  <c r="G13" i="2"/>
  <c r="F13" i="2"/>
  <c r="J13" i="2" s="1"/>
  <c r="G12" i="2"/>
  <c r="K13" i="2" s="1"/>
  <c r="F12" i="2"/>
  <c r="G11" i="2"/>
  <c r="I12" i="2" s="1"/>
  <c r="F11" i="2"/>
  <c r="H12" i="2" s="1"/>
  <c r="J10" i="2"/>
  <c r="L10" i="2" s="1"/>
  <c r="M10" i="2" s="1"/>
  <c r="G10" i="2"/>
  <c r="K11" i="2" s="1"/>
  <c r="F10" i="2"/>
  <c r="H11" i="2" s="1"/>
  <c r="G9" i="2"/>
  <c r="K10" i="2" s="1"/>
  <c r="F9" i="2"/>
  <c r="J9" i="2" s="1"/>
  <c r="O8" i="2"/>
  <c r="Q8" i="2" s="1"/>
  <c r="G8" i="2"/>
  <c r="I9" i="2" s="1"/>
  <c r="F8" i="2"/>
  <c r="G7" i="2"/>
  <c r="K8" i="2" s="1"/>
  <c r="F7" i="2"/>
  <c r="H8" i="2" s="1"/>
  <c r="K6" i="2"/>
  <c r="J6" i="2"/>
  <c r="L6" i="2" s="1"/>
  <c r="M6" i="2" s="1"/>
  <c r="G6" i="2"/>
  <c r="K7" i="2" s="1"/>
  <c r="F6" i="2"/>
  <c r="H7" i="2" s="1"/>
  <c r="G5" i="2"/>
  <c r="I6" i="2" s="1"/>
  <c r="F5" i="2"/>
  <c r="J5" i="2" s="1"/>
  <c r="O4" i="2"/>
  <c r="Q4" i="2" s="1"/>
  <c r="G4" i="2"/>
  <c r="K5" i="2" s="1"/>
  <c r="F4" i="2"/>
  <c r="O3" i="2"/>
  <c r="Q3" i="2" s="1"/>
  <c r="I3" i="2"/>
  <c r="G3" i="2"/>
  <c r="I4" i="2" s="1"/>
  <c r="F3" i="2"/>
  <c r="H4" i="2" s="1"/>
  <c r="O2" i="2"/>
  <c r="Q2" i="2" s="1"/>
  <c r="M2" i="2"/>
  <c r="G2" i="2"/>
  <c r="O11" i="2" s="1"/>
  <c r="Q11" i="2" s="1"/>
  <c r="F2" i="2"/>
  <c r="N11" i="2" s="1"/>
  <c r="J7" i="4" l="1"/>
  <c r="K7" i="4" s="1"/>
  <c r="L5" i="2"/>
  <c r="M5" i="2" s="1"/>
  <c r="L13" i="2"/>
  <c r="M13" i="2" s="1"/>
  <c r="P4" i="2"/>
  <c r="R4" i="2" s="1"/>
  <c r="S4" i="2" s="1"/>
  <c r="O7" i="2"/>
  <c r="Q7" i="2" s="1"/>
  <c r="I8" i="2"/>
  <c r="K9" i="2"/>
  <c r="L9" i="2" s="1"/>
  <c r="M9" i="2" s="1"/>
  <c r="N2" i="2"/>
  <c r="H3" i="2"/>
  <c r="P3" i="2"/>
  <c r="R3" i="2" s="1"/>
  <c r="S3" i="2" s="1"/>
  <c r="J4" i="2"/>
  <c r="N6" i="2"/>
  <c r="P6" i="2" s="1"/>
  <c r="P7" i="2"/>
  <c r="R7" i="2" s="1"/>
  <c r="S7" i="2" s="1"/>
  <c r="J8" i="2"/>
  <c r="L8" i="2" s="1"/>
  <c r="M8" i="2" s="1"/>
  <c r="N10" i="2"/>
  <c r="P10" i="2" s="1"/>
  <c r="P11" i="2"/>
  <c r="R11" i="2" s="1"/>
  <c r="S11" i="2" s="1"/>
  <c r="J12" i="2"/>
  <c r="O10" i="2"/>
  <c r="Q10" i="2" s="1"/>
  <c r="I11" i="2"/>
  <c r="K12" i="2"/>
  <c r="K4" i="2"/>
  <c r="O6" i="2"/>
  <c r="Q6" i="2" s="1"/>
  <c r="I7" i="2"/>
  <c r="P2" i="2"/>
  <c r="R2" i="2" s="1"/>
  <c r="S2" i="2" s="1"/>
  <c r="J3" i="2"/>
  <c r="N5" i="2"/>
  <c r="P5" i="2" s="1"/>
  <c r="R5" i="2" s="1"/>
  <c r="S5" i="2" s="1"/>
  <c r="H6" i="2"/>
  <c r="J7" i="2"/>
  <c r="L7" i="2" s="1"/>
  <c r="M7" i="2" s="1"/>
  <c r="N9" i="2"/>
  <c r="P9" i="2" s="1"/>
  <c r="H10" i="2"/>
  <c r="J11" i="2"/>
  <c r="L11" i="2" s="1"/>
  <c r="M11" i="2" s="1"/>
  <c r="N13" i="2"/>
  <c r="K3" i="2"/>
  <c r="O5" i="2"/>
  <c r="Q5" i="2" s="1"/>
  <c r="O13" i="2"/>
  <c r="Q13" i="2" s="1"/>
  <c r="I5" i="2"/>
  <c r="O9" i="2"/>
  <c r="Q9" i="2" s="1"/>
  <c r="I10" i="2"/>
  <c r="N4" i="2"/>
  <c r="H5" i="2"/>
  <c r="N8" i="2"/>
  <c r="P8" i="2" s="1"/>
  <c r="R8" i="2" s="1"/>
  <c r="S8" i="2" s="1"/>
  <c r="H9" i="2"/>
  <c r="N12" i="2"/>
  <c r="P12" i="2" s="1"/>
  <c r="R12" i="2" s="1"/>
  <c r="S12" i="2" s="1"/>
  <c r="H13" i="2"/>
  <c r="P13" i="2"/>
  <c r="R13" i="2" s="1"/>
  <c r="S13" i="2" s="1"/>
  <c r="O12" i="2"/>
  <c r="Q12" i="2" s="1"/>
  <c r="I13" i="2"/>
  <c r="N3" i="2"/>
  <c r="N7" i="2"/>
  <c r="L4" i="2" l="1"/>
  <c r="M4" i="2" s="1"/>
  <c r="R9" i="2"/>
  <c r="S9" i="2" s="1"/>
  <c r="L3" i="2"/>
  <c r="M3" i="2" s="1"/>
  <c r="L12" i="2"/>
  <c r="M12" i="2" s="1"/>
  <c r="R6" i="2"/>
  <c r="S6" i="2" s="1"/>
  <c r="R10" i="2"/>
  <c r="S10" i="2" s="1"/>
</calcChain>
</file>

<file path=xl/sharedStrings.xml><?xml version="1.0" encoding="utf-8"?>
<sst xmlns="http://schemas.openxmlformats.org/spreadsheetml/2006/main" count="134" uniqueCount="65">
  <si>
    <t>Date</t>
  </si>
  <si>
    <t>Athlete_A</t>
  </si>
  <si>
    <t>Trial_1</t>
  </si>
  <si>
    <t>Trial_2</t>
  </si>
  <si>
    <t>Trial_3</t>
  </si>
  <si>
    <t>2024-01-15</t>
  </si>
  <si>
    <t>Athlete A</t>
  </si>
  <si>
    <t>2024-04-15</t>
  </si>
  <si>
    <t>2024-07-15</t>
  </si>
  <si>
    <t>2024-10-15</t>
  </si>
  <si>
    <t>2025-01-15</t>
  </si>
  <si>
    <t>2025-04-15</t>
  </si>
  <si>
    <t>2025-07-15</t>
  </si>
  <si>
    <t>2025-10-15</t>
  </si>
  <si>
    <t>2026-01-15</t>
  </si>
  <si>
    <t>2026-04-15</t>
  </si>
  <si>
    <t>2026-07-15</t>
  </si>
  <si>
    <t>2026-10-15</t>
  </si>
  <si>
    <t>Best</t>
  </si>
  <si>
    <t>SD</t>
  </si>
  <si>
    <t>Prev_Best</t>
  </si>
  <si>
    <t>Prev_SD</t>
  </si>
  <si>
    <t>Curr_vs_Prev</t>
  </si>
  <si>
    <t>Combined SD</t>
  </si>
  <si>
    <t>z_score</t>
  </si>
  <si>
    <t>Status_Prev</t>
  </si>
  <si>
    <t>Base_Best</t>
  </si>
  <si>
    <t>Base_SD</t>
  </si>
  <si>
    <t>Curr_vs_Base</t>
  </si>
  <si>
    <t>Combined_SD_Base</t>
  </si>
  <si>
    <t>z_score_Base</t>
  </si>
  <si>
    <t>Status_Base</t>
  </si>
  <si>
    <t>Trial1_cm</t>
  </si>
  <si>
    <t>Trial2_cm</t>
  </si>
  <si>
    <t>Trial3_cm</t>
  </si>
  <si>
    <t>2025-01-06</t>
  </si>
  <si>
    <t>2025-01-13</t>
  </si>
  <si>
    <t>2025-01-20</t>
  </si>
  <si>
    <t>2025-01-27</t>
  </si>
  <si>
    <t>2025-02-03</t>
  </si>
  <si>
    <t>2025-02-10</t>
  </si>
  <si>
    <t>2025-02-17</t>
  </si>
  <si>
    <t>2025-02-24</t>
  </si>
  <si>
    <t>2025-03-03</t>
  </si>
  <si>
    <t>2025-03-10</t>
  </si>
  <si>
    <t>2025-03-17</t>
  </si>
  <si>
    <t>2025-03-24</t>
  </si>
  <si>
    <t>2025-03-31</t>
  </si>
  <si>
    <t>2025-04-07</t>
  </si>
  <si>
    <t>2025-04-14</t>
  </si>
  <si>
    <t>2025-04-21</t>
  </si>
  <si>
    <t>Median_cm</t>
  </si>
  <si>
    <t>SD_trials_cm</t>
  </si>
  <si>
    <t>Rolling_Base_cm (last 4)</t>
  </si>
  <si>
    <t>Typical_SD (median of last 4)</t>
  </si>
  <si>
    <t>Curr_vs_Baseline_cm</t>
  </si>
  <si>
    <t>z_readiness</t>
  </si>
  <si>
    <t>Status</t>
  </si>
  <si>
    <t>CMJ_1</t>
  </si>
  <si>
    <t>CMJ_2</t>
  </si>
  <si>
    <t>CMJ_3</t>
  </si>
  <si>
    <t>Mean</t>
  </si>
  <si>
    <t>CV %</t>
  </si>
  <si>
    <t>CMJ best</t>
  </si>
  <si>
    <t>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</si>
</sst>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Calibri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center"/>
    </xf>
  </cellXfs>
  <cellStyles count="1">
    <cellStyle name="Normal" xfId="0" builtinId="0"/>
  </cellStyles>
  <dxfs count="39">
    <dxf>
      <fill>
        <patternFill patternType="solid">
          <fgColor rgb="FFFFC7CE"/>
        </patternFill>
      </fill>
    </dxf>
    <dxf>
      <fill>
        <patternFill patternType="solid">
          <fgColor rgb="FFFFEB9C"/>
        </patternFill>
      </fill>
    </dxf>
    <dxf>
      <fill>
        <patternFill patternType="solid">
          <fgColor rgb="FFC6EFCE"/>
        </patternFill>
      </fill>
    </dxf>
    <dxf>
      <fill>
        <patternFill patternType="solid">
          <fgColor rgb="FFC6EFCE"/>
        </patternFill>
      </fill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numFmt numFmtId="2" formatCode="0.00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numFmt numFmtId="19" formatCode="d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</dxf>
    <dxf>
      <alignment horizont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Best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[1]Performance_Data!$G$2:$G$13</c:f>
                <c:numCache>
                  <c:formatCode>General</c:formatCode>
                  <c:ptCount val="12"/>
                  <c:pt idx="0">
                    <c:v>0.30550504633038827</c:v>
                  </c:pt>
                  <c:pt idx="1">
                    <c:v>0.35118845842842605</c:v>
                  </c:pt>
                  <c:pt idx="2">
                    <c:v>0.41633319989322704</c:v>
                  </c:pt>
                  <c:pt idx="3">
                    <c:v>0.45092497528228875</c:v>
                  </c:pt>
                  <c:pt idx="4">
                    <c:v>0.45825756949558277</c:v>
                  </c:pt>
                  <c:pt idx="5">
                    <c:v>0.50332229568471676</c:v>
                  </c:pt>
                  <c:pt idx="6">
                    <c:v>0.30550504633038977</c:v>
                  </c:pt>
                  <c:pt idx="7">
                    <c:v>0.40000000000000213</c:v>
                  </c:pt>
                  <c:pt idx="8">
                    <c:v>0.56862407030773288</c:v>
                  </c:pt>
                  <c:pt idx="9">
                    <c:v>0.60000000000000142</c:v>
                  </c:pt>
                  <c:pt idx="10">
                    <c:v>0.45092497528228875</c:v>
                  </c:pt>
                  <c:pt idx="11">
                    <c:v>0.59999999999999787</c:v>
                  </c:pt>
                </c:numCache>
              </c:numRef>
            </c:plus>
            <c:minus>
              <c:numRef>
                <c:f>[1]Performance_Data!$G$2:$G$13</c:f>
                <c:numCache>
                  <c:formatCode>General</c:formatCode>
                  <c:ptCount val="12"/>
                  <c:pt idx="0">
                    <c:v>0.30550504633038827</c:v>
                  </c:pt>
                  <c:pt idx="1">
                    <c:v>0.35118845842842605</c:v>
                  </c:pt>
                  <c:pt idx="2">
                    <c:v>0.41633319989322704</c:v>
                  </c:pt>
                  <c:pt idx="3">
                    <c:v>0.45092497528228875</c:v>
                  </c:pt>
                  <c:pt idx="4">
                    <c:v>0.45825756949558277</c:v>
                  </c:pt>
                  <c:pt idx="5">
                    <c:v>0.50332229568471676</c:v>
                  </c:pt>
                  <c:pt idx="6">
                    <c:v>0.30550504633038977</c:v>
                  </c:pt>
                  <c:pt idx="7">
                    <c:v>0.40000000000000213</c:v>
                  </c:pt>
                  <c:pt idx="8">
                    <c:v>0.56862407030773288</c:v>
                  </c:pt>
                  <c:pt idx="9">
                    <c:v>0.60000000000000142</c:v>
                  </c:pt>
                  <c:pt idx="10">
                    <c:v>0.45092497528228875</c:v>
                  </c:pt>
                  <c:pt idx="11">
                    <c:v>0.59999999999999787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[1]Performance_Data!$A$2:$A$13</c:f>
              <c:strCache>
                <c:ptCount val="12"/>
                <c:pt idx="0">
                  <c:v>2024-01-15</c:v>
                </c:pt>
                <c:pt idx="1">
                  <c:v>2024-04-15</c:v>
                </c:pt>
                <c:pt idx="2">
                  <c:v>2024-07-15</c:v>
                </c:pt>
                <c:pt idx="3">
                  <c:v>2024-10-15</c:v>
                </c:pt>
                <c:pt idx="4">
                  <c:v>2025-01-15</c:v>
                </c:pt>
                <c:pt idx="5">
                  <c:v>2025-04-15</c:v>
                </c:pt>
                <c:pt idx="6">
                  <c:v>2025-07-15</c:v>
                </c:pt>
                <c:pt idx="7">
                  <c:v>2025-10-15</c:v>
                </c:pt>
                <c:pt idx="8">
                  <c:v>2026-01-15</c:v>
                </c:pt>
                <c:pt idx="9">
                  <c:v>2026-04-15</c:v>
                </c:pt>
                <c:pt idx="10">
                  <c:v>2026-07-15</c:v>
                </c:pt>
                <c:pt idx="11">
                  <c:v>2026-10-15</c:v>
                </c:pt>
              </c:strCache>
            </c:strRef>
          </c:cat>
          <c:val>
            <c:numRef>
              <c:f>[1]Performance_Data!$F$2:$F$13</c:f>
              <c:numCache>
                <c:formatCode>General</c:formatCode>
                <c:ptCount val="12"/>
                <c:pt idx="0">
                  <c:v>29.2</c:v>
                </c:pt>
                <c:pt idx="1">
                  <c:v>30.1</c:v>
                </c:pt>
                <c:pt idx="2">
                  <c:v>31</c:v>
                </c:pt>
                <c:pt idx="3">
                  <c:v>31.9</c:v>
                </c:pt>
                <c:pt idx="4">
                  <c:v>33.1</c:v>
                </c:pt>
                <c:pt idx="5">
                  <c:v>34</c:v>
                </c:pt>
                <c:pt idx="6">
                  <c:v>32.200000000000003</c:v>
                </c:pt>
                <c:pt idx="7">
                  <c:v>34.6</c:v>
                </c:pt>
                <c:pt idx="8">
                  <c:v>36.1</c:v>
                </c:pt>
                <c:pt idx="9">
                  <c:v>37.200000000000003</c:v>
                </c:pt>
                <c:pt idx="10">
                  <c:v>38</c:v>
                </c:pt>
                <c:pt idx="11">
                  <c:v>39.4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B9-4724-89B3-6B5E94740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421887"/>
        <c:axId val="1725641119"/>
      </c:lineChart>
      <c:catAx>
        <c:axId val="1316421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5641119"/>
        <c:crosses val="autoZero"/>
        <c:auto val="1"/>
        <c:lblAlgn val="ctr"/>
        <c:lblOffset val="100"/>
        <c:noMultiLvlLbl val="1"/>
      </c:catAx>
      <c:valAx>
        <c:axId val="1725641119"/>
        <c:scaling>
          <c:orientation val="minMax"/>
          <c:min val="2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6421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[2]Weekly_Readiness!$E$1</c:f>
              <c:strCache>
                <c:ptCount val="1"/>
                <c:pt idx="0">
                  <c:v>Median_cm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[2]Weekly_Readiness!$A$2:$A$17</c:f>
              <c:strCache>
                <c:ptCount val="16"/>
                <c:pt idx="0">
                  <c:v>2025-01-06</c:v>
                </c:pt>
                <c:pt idx="1">
                  <c:v>2025-01-13</c:v>
                </c:pt>
                <c:pt idx="2">
                  <c:v>2025-01-20</c:v>
                </c:pt>
                <c:pt idx="3">
                  <c:v>2025-01-27</c:v>
                </c:pt>
                <c:pt idx="4">
                  <c:v>2025-02-03</c:v>
                </c:pt>
                <c:pt idx="5">
                  <c:v>2025-02-10</c:v>
                </c:pt>
                <c:pt idx="6">
                  <c:v>2025-02-17</c:v>
                </c:pt>
                <c:pt idx="7">
                  <c:v>2025-02-24</c:v>
                </c:pt>
                <c:pt idx="8">
                  <c:v>2025-03-03</c:v>
                </c:pt>
                <c:pt idx="9">
                  <c:v>2025-03-10</c:v>
                </c:pt>
                <c:pt idx="10">
                  <c:v>2025-03-17</c:v>
                </c:pt>
                <c:pt idx="11">
                  <c:v>2025-03-24</c:v>
                </c:pt>
                <c:pt idx="12">
                  <c:v>2025-03-31</c:v>
                </c:pt>
                <c:pt idx="13">
                  <c:v>2025-04-07</c:v>
                </c:pt>
                <c:pt idx="14">
                  <c:v>2025-04-14</c:v>
                </c:pt>
                <c:pt idx="15">
                  <c:v>2025-04-21</c:v>
                </c:pt>
              </c:strCache>
            </c:strRef>
          </c:cat>
          <c:val>
            <c:numRef>
              <c:f>[2]Weekly_Readiness!$E$2:$E$17</c:f>
              <c:numCache>
                <c:formatCode>General</c:formatCode>
                <c:ptCount val="16"/>
                <c:pt idx="0">
                  <c:v>31.7</c:v>
                </c:pt>
                <c:pt idx="1">
                  <c:v>32.299999999999997</c:v>
                </c:pt>
                <c:pt idx="2">
                  <c:v>32.6</c:v>
                </c:pt>
                <c:pt idx="3">
                  <c:v>32.5</c:v>
                </c:pt>
                <c:pt idx="4">
                  <c:v>31.8</c:v>
                </c:pt>
                <c:pt idx="5">
                  <c:v>31.7</c:v>
                </c:pt>
                <c:pt idx="6">
                  <c:v>32</c:v>
                </c:pt>
                <c:pt idx="7">
                  <c:v>31.7</c:v>
                </c:pt>
                <c:pt idx="8">
                  <c:v>31.5</c:v>
                </c:pt>
                <c:pt idx="9">
                  <c:v>29.4</c:v>
                </c:pt>
                <c:pt idx="10">
                  <c:v>31.6</c:v>
                </c:pt>
                <c:pt idx="11">
                  <c:v>31.4</c:v>
                </c:pt>
                <c:pt idx="12">
                  <c:v>32.299999999999997</c:v>
                </c:pt>
                <c:pt idx="13">
                  <c:v>32.9</c:v>
                </c:pt>
                <c:pt idx="14">
                  <c:v>31.3</c:v>
                </c:pt>
                <c:pt idx="15">
                  <c:v>31.9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D9-484B-A961-D0E1F170A119}"/>
            </c:ext>
          </c:extLst>
        </c:ser>
        <c:ser>
          <c:idx val="1"/>
          <c:order val="1"/>
          <c:tx>
            <c:strRef>
              <c:f>[2]Weekly_Readiness!$G$1</c:f>
              <c:strCache>
                <c:ptCount val="1"/>
                <c:pt idx="0">
                  <c:v>Rolling_Base_cm (last 4)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[2]Weekly_Readiness!$A$2:$A$17</c:f>
              <c:strCache>
                <c:ptCount val="16"/>
                <c:pt idx="0">
                  <c:v>2025-01-06</c:v>
                </c:pt>
                <c:pt idx="1">
                  <c:v>2025-01-13</c:v>
                </c:pt>
                <c:pt idx="2">
                  <c:v>2025-01-20</c:v>
                </c:pt>
                <c:pt idx="3">
                  <c:v>2025-01-27</c:v>
                </c:pt>
                <c:pt idx="4">
                  <c:v>2025-02-03</c:v>
                </c:pt>
                <c:pt idx="5">
                  <c:v>2025-02-10</c:v>
                </c:pt>
                <c:pt idx="6">
                  <c:v>2025-02-17</c:v>
                </c:pt>
                <c:pt idx="7">
                  <c:v>2025-02-24</c:v>
                </c:pt>
                <c:pt idx="8">
                  <c:v>2025-03-03</c:v>
                </c:pt>
                <c:pt idx="9">
                  <c:v>2025-03-10</c:v>
                </c:pt>
                <c:pt idx="10">
                  <c:v>2025-03-17</c:v>
                </c:pt>
                <c:pt idx="11">
                  <c:v>2025-03-24</c:v>
                </c:pt>
                <c:pt idx="12">
                  <c:v>2025-03-31</c:v>
                </c:pt>
                <c:pt idx="13">
                  <c:v>2025-04-07</c:v>
                </c:pt>
                <c:pt idx="14">
                  <c:v>2025-04-14</c:v>
                </c:pt>
                <c:pt idx="15">
                  <c:v>2025-04-21</c:v>
                </c:pt>
              </c:strCache>
            </c:strRef>
          </c:cat>
          <c:val>
            <c:numRef>
              <c:f>[2]Weekly_Readiness!$G$2:$G$17</c:f>
              <c:numCache>
                <c:formatCode>General</c:formatCode>
                <c:ptCount val="16"/>
                <c:pt idx="4">
                  <c:v>32.4</c:v>
                </c:pt>
                <c:pt idx="5">
                  <c:v>32.4</c:v>
                </c:pt>
                <c:pt idx="6">
                  <c:v>32.15</c:v>
                </c:pt>
                <c:pt idx="7">
                  <c:v>31.9</c:v>
                </c:pt>
                <c:pt idx="8">
                  <c:v>31.75</c:v>
                </c:pt>
                <c:pt idx="9">
                  <c:v>31.7</c:v>
                </c:pt>
                <c:pt idx="10">
                  <c:v>31.6</c:v>
                </c:pt>
                <c:pt idx="11">
                  <c:v>31.55</c:v>
                </c:pt>
                <c:pt idx="12">
                  <c:v>31.45</c:v>
                </c:pt>
                <c:pt idx="13">
                  <c:v>31.5</c:v>
                </c:pt>
                <c:pt idx="14">
                  <c:v>31.95</c:v>
                </c:pt>
                <c:pt idx="15">
                  <c:v>31.849999999999998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D9-484B-A961-D0E1F170A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5416815"/>
        <c:axId val="1545417775"/>
      </c:lineChart>
      <c:catAx>
        <c:axId val="154541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5417775"/>
        <c:crosses val="autoZero"/>
        <c:auto val="1"/>
        <c:lblAlgn val="ctr"/>
        <c:lblOffset val="100"/>
        <c:noMultiLvlLbl val="0"/>
      </c:catAx>
      <c:valAx>
        <c:axId val="1545417775"/>
        <c:scaling>
          <c:orientation val="minMax"/>
          <c:min val="2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541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7936</xdr:colOff>
      <xdr:row>15</xdr:row>
      <xdr:rowOff>1587</xdr:rowOff>
    </xdr:from>
    <xdr:to>
      <xdr:col>9</xdr:col>
      <xdr:colOff>1190624</xdr:colOff>
      <xdr:row>36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1D2B96-F11A-48FC-BEB7-D3EB032236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19</xdr:row>
      <xdr:rowOff>19056</xdr:rowOff>
    </xdr:from>
    <xdr:to>
      <xdr:col>8</xdr:col>
      <xdr:colOff>1428750</xdr:colOff>
      <xdr:row>40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58CFB40-012E-404C-9628-0F1A1E50CF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vemdxac-my.sharepoint.com/personal/a_n_turner_mdx_ac_uk/Documents/My%20lectures/Luca%20Italy/Testing%20in%20RTP%20and%20HPS/Morandini/Paper/Performance_Capability_Prev_Base.xlsx" TargetMode="External"/><Relationship Id="rId1" Type="http://schemas.openxmlformats.org/officeDocument/2006/relationships/externalLinkPath" Target="Paper/Performance_Capability_Prev_Bas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vemdxac-my.sharepoint.com/personal/a_n_turner_mdx_ac_uk/Documents/My%20lectures/Luca%20Italy/Testing%20in%20RTP%20and%20HPS/Morandini/Paper/Performance_Readiness_Stability.xlsx" TargetMode="External"/><Relationship Id="rId1" Type="http://schemas.openxmlformats.org/officeDocument/2006/relationships/externalLinkPath" Target="Paper/Performance_Readiness_Stabilit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erformance_Data"/>
    </sheetNames>
    <sheetDataSet>
      <sheetData sheetId="0">
        <row r="2">
          <cell r="A2" t="str">
            <v>2024-01-15</v>
          </cell>
          <cell r="F2">
            <v>29.2</v>
          </cell>
          <cell r="G2">
            <v>0.30550504633038827</v>
          </cell>
        </row>
        <row r="3">
          <cell r="A3" t="str">
            <v>2024-04-15</v>
          </cell>
          <cell r="F3">
            <v>30.1</v>
          </cell>
          <cell r="G3">
            <v>0.35118845842842605</v>
          </cell>
        </row>
        <row r="4">
          <cell r="A4" t="str">
            <v>2024-07-15</v>
          </cell>
          <cell r="F4">
            <v>31</v>
          </cell>
          <cell r="G4">
            <v>0.41633319989322704</v>
          </cell>
        </row>
        <row r="5">
          <cell r="A5" t="str">
            <v>2024-10-15</v>
          </cell>
          <cell r="F5">
            <v>31.9</v>
          </cell>
          <cell r="G5">
            <v>0.45092497528228875</v>
          </cell>
        </row>
        <row r="6">
          <cell r="A6" t="str">
            <v>2025-01-15</v>
          </cell>
          <cell r="F6">
            <v>33.1</v>
          </cell>
          <cell r="G6">
            <v>0.45825756949558277</v>
          </cell>
        </row>
        <row r="7">
          <cell r="A7" t="str">
            <v>2025-04-15</v>
          </cell>
          <cell r="F7">
            <v>34</v>
          </cell>
          <cell r="G7">
            <v>0.50332229568471676</v>
          </cell>
        </row>
        <row r="8">
          <cell r="A8" t="str">
            <v>2025-07-15</v>
          </cell>
          <cell r="F8">
            <v>32.200000000000003</v>
          </cell>
          <cell r="G8">
            <v>0.30550504633038977</v>
          </cell>
        </row>
        <row r="9">
          <cell r="A9" t="str">
            <v>2025-10-15</v>
          </cell>
          <cell r="F9">
            <v>34.6</v>
          </cell>
          <cell r="G9">
            <v>0.40000000000000213</v>
          </cell>
        </row>
        <row r="10">
          <cell r="A10" t="str">
            <v>2026-01-15</v>
          </cell>
          <cell r="F10">
            <v>36.1</v>
          </cell>
          <cell r="G10">
            <v>0.56862407030773288</v>
          </cell>
        </row>
        <row r="11">
          <cell r="A11" t="str">
            <v>2026-04-15</v>
          </cell>
          <cell r="F11">
            <v>37.200000000000003</v>
          </cell>
          <cell r="G11">
            <v>0.60000000000000142</v>
          </cell>
        </row>
        <row r="12">
          <cell r="A12" t="str">
            <v>2026-07-15</v>
          </cell>
          <cell r="F12">
            <v>38</v>
          </cell>
          <cell r="G12">
            <v>0.45092497528228875</v>
          </cell>
        </row>
        <row r="13">
          <cell r="A13" t="str">
            <v>2026-10-15</v>
          </cell>
          <cell r="F13">
            <v>39.4</v>
          </cell>
          <cell r="G13">
            <v>0.59999999999999787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eekly_Readiness"/>
    </sheetNames>
    <sheetDataSet>
      <sheetData sheetId="0">
        <row r="1">
          <cell r="E1" t="str">
            <v>Median_cm</v>
          </cell>
          <cell r="G1" t="str">
            <v>Rolling_Base_cm (last 4)</v>
          </cell>
        </row>
        <row r="2">
          <cell r="A2" t="str">
            <v>2025-01-06</v>
          </cell>
          <cell r="E2">
            <v>31.7</v>
          </cell>
        </row>
        <row r="3">
          <cell r="A3" t="str">
            <v>2025-01-13</v>
          </cell>
          <cell r="E3">
            <v>32.299999999999997</v>
          </cell>
        </row>
        <row r="4">
          <cell r="A4" t="str">
            <v>2025-01-20</v>
          </cell>
          <cell r="E4">
            <v>32.6</v>
          </cell>
        </row>
        <row r="5">
          <cell r="A5" t="str">
            <v>2025-01-27</v>
          </cell>
          <cell r="E5">
            <v>32.5</v>
          </cell>
        </row>
        <row r="6">
          <cell r="A6" t="str">
            <v>2025-02-03</v>
          </cell>
          <cell r="E6">
            <v>31.8</v>
          </cell>
          <cell r="G6">
            <v>32.4</v>
          </cell>
        </row>
        <row r="7">
          <cell r="A7" t="str">
            <v>2025-02-10</v>
          </cell>
          <cell r="E7">
            <v>31.7</v>
          </cell>
          <cell r="G7">
            <v>32.4</v>
          </cell>
        </row>
        <row r="8">
          <cell r="A8" t="str">
            <v>2025-02-17</v>
          </cell>
          <cell r="E8">
            <v>32</v>
          </cell>
          <cell r="G8">
            <v>32.15</v>
          </cell>
        </row>
        <row r="9">
          <cell r="A9" t="str">
            <v>2025-02-24</v>
          </cell>
          <cell r="E9">
            <v>31.7</v>
          </cell>
          <cell r="G9">
            <v>31.9</v>
          </cell>
        </row>
        <row r="10">
          <cell r="A10" t="str">
            <v>2025-03-03</v>
          </cell>
          <cell r="E10">
            <v>31.5</v>
          </cell>
          <cell r="G10">
            <v>31.75</v>
          </cell>
        </row>
        <row r="11">
          <cell r="A11" t="str">
            <v>2025-03-10</v>
          </cell>
          <cell r="E11">
            <v>29.4</v>
          </cell>
          <cell r="G11">
            <v>31.7</v>
          </cell>
        </row>
        <row r="12">
          <cell r="A12" t="str">
            <v>2025-03-17</v>
          </cell>
          <cell r="E12">
            <v>31.6</v>
          </cell>
          <cell r="G12">
            <v>31.6</v>
          </cell>
        </row>
        <row r="13">
          <cell r="A13" t="str">
            <v>2025-03-24</v>
          </cell>
          <cell r="E13">
            <v>31.4</v>
          </cell>
          <cell r="G13">
            <v>31.55</v>
          </cell>
        </row>
        <row r="14">
          <cell r="A14" t="str">
            <v>2025-03-31</v>
          </cell>
          <cell r="E14">
            <v>32.299999999999997</v>
          </cell>
          <cell r="G14">
            <v>31.45</v>
          </cell>
        </row>
        <row r="15">
          <cell r="A15" t="str">
            <v>2025-04-07</v>
          </cell>
          <cell r="E15">
            <v>32.9</v>
          </cell>
          <cell r="G15">
            <v>31.5</v>
          </cell>
        </row>
        <row r="16">
          <cell r="A16" t="str">
            <v>2025-04-14</v>
          </cell>
          <cell r="E16">
            <v>31.3</v>
          </cell>
          <cell r="G16">
            <v>31.95</v>
          </cell>
        </row>
        <row r="17">
          <cell r="A17" t="str">
            <v>2025-04-21</v>
          </cell>
          <cell r="E17">
            <v>31.9</v>
          </cell>
          <cell r="G17">
            <v>31.849999999999998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A54453-6EF3-42B6-9FC4-2AB953D7DAEA}" name="PerfData" displayName="PerfData" ref="A1:S13" totalsRowShown="0" headerRowDxfId="38" dataDxfId="37">
  <autoFilter ref="A1:S13" xr:uid="{8CA54453-6EF3-42B6-9FC4-2AB953D7DAEA}"/>
  <tableColumns count="19">
    <tableColumn id="1" xr3:uid="{C69C73B2-94B2-4D2D-81BD-9AB426F94BD8}" name="Date" dataDxfId="36"/>
    <tableColumn id="2" xr3:uid="{CD65AD66-2955-469A-92A8-613009310EBB}" name="Athlete_A" dataDxfId="35"/>
    <tableColumn id="3" xr3:uid="{69EC690A-F7EA-4DAD-9D37-BB202111E5AB}" name="Trial_1" dataDxfId="34"/>
    <tableColumn id="4" xr3:uid="{5D08E4AE-399D-44A4-8F9F-5E1FFB904148}" name="Trial_2" dataDxfId="33"/>
    <tableColumn id="5" xr3:uid="{8EAA49A8-183A-4E27-97C4-4BB18AB9D1C7}" name="Trial_3" dataDxfId="32"/>
    <tableColumn id="6" xr3:uid="{56ACAFB9-CEBF-448D-BBE0-B548182CD8FA}" name="Best" dataDxfId="31">
      <calculatedColumnFormula>MAX(C2:E2)</calculatedColumnFormula>
    </tableColumn>
    <tableColumn id="7" xr3:uid="{45878E87-564F-4206-88D8-BBCE4D1358BE}" name="SD" dataDxfId="30">
      <calculatedColumnFormula>_xlfn.STDEV.S(C2:E2)</calculatedColumnFormula>
    </tableColumn>
    <tableColumn id="8" xr3:uid="{52719FDB-0A67-4363-9757-7BC08FDE6FE9}" name="Prev_Best" dataDxfId="29">
      <calculatedColumnFormula>F1</calculatedColumnFormula>
    </tableColumn>
    <tableColumn id="9" xr3:uid="{630BA245-ADE0-41EB-82E0-90FB2FC72619}" name="Prev_SD" dataDxfId="28">
      <calculatedColumnFormula>G1</calculatedColumnFormula>
    </tableColumn>
    <tableColumn id="10" xr3:uid="{F07C9243-1EDA-432F-AFF6-92A6208CFD46}" name="Curr_vs_Prev" dataDxfId="27">
      <calculatedColumnFormula>F2-F1</calculatedColumnFormula>
    </tableColumn>
    <tableColumn id="11" xr3:uid="{8788373F-D53C-46EB-83F8-F3DB4404B720}" name="Combined SD" dataDxfId="26">
      <calculatedColumnFormula>SQRT(G1^2+G2^2)</calculatedColumnFormula>
    </tableColumn>
    <tableColumn id="12" xr3:uid="{803FFF3C-F315-44D9-AD10-0C592A1F65C9}" name="z_score" dataDxfId="25">
      <calculatedColumnFormula>J2/K2</calculatedColumnFormula>
    </tableColumn>
    <tableColumn id="13" xr3:uid="{ACD8FBF2-3C57-487F-8963-1189CBFD3BBB}" name="Status_Prev" dataDxfId="24">
      <calculatedColumnFormula>IF(L2="","No previous",IF(L2&gt;=2,"Very likely Better",IF(L2&gt;=1,"Likely Better",IF(L2&lt;=-2,"Very Likely Drop",IF(L2&lt;=-1,"Likely Drop",IF(AND(L2&gt;-1,L2&lt;1),"Stable",""))))))</calculatedColumnFormula>
    </tableColumn>
    <tableColumn id="14" xr3:uid="{F4EF1A03-1F30-45A0-9940-8C4D366BCFE9}" name="Base_Best" dataDxfId="23">
      <calculatedColumnFormula>F$2</calculatedColumnFormula>
    </tableColumn>
    <tableColumn id="15" xr3:uid="{5DC16A5A-24B4-424A-816F-E7376DAB448C}" name="Base_SD" dataDxfId="22">
      <calculatedColumnFormula>G$2</calculatedColumnFormula>
    </tableColumn>
    <tableColumn id="16" xr3:uid="{45FB0630-8D48-444F-B634-D6B3E6F96C5A}" name="Curr_vs_Base" dataDxfId="21">
      <calculatedColumnFormula>PerfData[[#This Row],[Best]]-PerfData[[#This Row],[Base_Best]]</calculatedColumnFormula>
    </tableColumn>
    <tableColumn id="17" xr3:uid="{6CE3E583-511F-4784-9023-8D34C99C49A3}" name="Combined_SD_Base" dataDxfId="20">
      <calculatedColumnFormula>SQRT(PerfData[[#This Row],[Base_SD]]^2+PerfData[[#This Row],[SD]]^2)</calculatedColumnFormula>
    </tableColumn>
    <tableColumn id="18" xr3:uid="{FAC8BE1A-48F6-447F-93DE-EEDB88D43D39}" name="z_score_Base" dataDxfId="19">
      <calculatedColumnFormula>PerfData[[#This Row],[Curr_vs_Base]]/PerfData[[#This Row],[Combined_SD_Base]]</calculatedColumnFormula>
    </tableColumn>
    <tableColumn id="19" xr3:uid="{B6B2045E-11B6-4C32-B677-52F83F008618}" name="Status_Base" dataDxfId="18">
      <calculatedColumnFormula>IF(R2="","No previous",IF(R2&gt;=2,"Very likely Better",IF(R2&gt;=1,"Likely Better",IF(R2&lt;=-2,"Very Likely Drop",IF(R2&lt;=-1,"Likely Drop",IF(AND(R2&gt;-1,R2&lt;1),"Stable",""))))))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66BCBD3-A491-4AA8-972F-D6EA931EA5DB}" name="ReadinessTable" displayName="ReadinessTable" ref="A1:K17" headerRowDxfId="17" dataDxfId="16" totalsRowDxfId="15">
  <autoFilter ref="A1:K17" xr:uid="{466BCBD3-A491-4AA8-972F-D6EA931EA5DB}"/>
  <tableColumns count="11">
    <tableColumn id="1" xr3:uid="{0B7B10BE-020B-404F-8860-BCAC0711DAF3}" name="Date" dataDxfId="14"/>
    <tableColumn id="2" xr3:uid="{9105442A-9FF6-40A1-8AB5-193DEA2BEC12}" name="Trial1_cm" dataDxfId="13"/>
    <tableColumn id="3" xr3:uid="{283832B8-9791-4F50-A8DB-AB67B9A10BB7}" name="Trial2_cm" dataDxfId="12"/>
    <tableColumn id="4" xr3:uid="{83D43BF0-52FF-4BBA-9C2B-B064EAD6A2C7}" name="Trial3_cm" dataDxfId="11"/>
    <tableColumn id="5" xr3:uid="{8BE56926-4150-4C77-9778-72E1074E52F3}" name="Median_cm" dataDxfId="10">
      <calculatedColumnFormula>MEDIAN(B2:D2)</calculatedColumnFormula>
    </tableColumn>
    <tableColumn id="6" xr3:uid="{8FE16C85-7D80-4813-AE90-1D6C209D8FCA}" name="SD_trials_cm" dataDxfId="9">
      <calculatedColumnFormula>_xlfn.STDEV.S(B2:D2)</calculatedColumnFormula>
    </tableColumn>
    <tableColumn id="7" xr3:uid="{61D358CB-CC20-4E07-A305-26A13BC98806}" name="Rolling_Base_cm (last 4)" dataDxfId="8"/>
    <tableColumn id="8" xr3:uid="{B75E379B-0A44-4D59-9B47-59F6577FEDD6}" name="Typical_SD (median of last 4)" dataDxfId="7"/>
    <tableColumn id="9" xr3:uid="{8B7006A8-6CC8-4620-9037-8B7ADF7A62BC}" name="Curr_vs_Baseline_cm" dataDxfId="6">
      <calculatedColumnFormula>IF(G2="","",E2-G2)</calculatedColumnFormula>
    </tableColumn>
    <tableColumn id="10" xr3:uid="{535AF093-0274-415E-AC3B-944C0B622D9E}" name="z_readiness" dataDxfId="5"/>
    <tableColumn id="11" xr3:uid="{7CD11508-532B-4D19-BDEA-86D2B82F9F0F}" name="Status" dataDxfId="4">
      <calculatedColumnFormula>IF(J2="","Insufficient history",IF(J2&lt;=-2,"Meaningful Drop",IF(J2&lt;=-1,"Watch",IF(J2&gt;=2,"Very Fresh",IF(J2&gt;=1,"Fresh","Normal")))))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0D4A7-96BE-4F72-999E-08D7948C6D35}">
  <dimension ref="B4:H28"/>
  <sheetViews>
    <sheetView tabSelected="1" workbookViewId="0"/>
  </sheetViews>
  <sheetFormatPr defaultRowHeight="14.5" x14ac:dyDescent="0.35"/>
  <sheetData>
    <row r="4" spans="2:8" x14ac:dyDescent="0.35">
      <c r="B4" s="8" t="s">
        <v>58</v>
      </c>
      <c r="C4" s="8" t="s">
        <v>59</v>
      </c>
      <c r="D4" s="8" t="s">
        <v>60</v>
      </c>
      <c r="E4" s="8" t="s">
        <v>19</v>
      </c>
      <c r="F4" s="8" t="s">
        <v>61</v>
      </c>
      <c r="G4" s="8" t="s">
        <v>62</v>
      </c>
      <c r="H4" s="8" t="s">
        <v>63</v>
      </c>
    </row>
    <row r="5" spans="2:8" x14ac:dyDescent="0.35">
      <c r="B5" s="1">
        <v>38.1</v>
      </c>
      <c r="C5" s="1">
        <v>43.6</v>
      </c>
      <c r="D5" s="1">
        <v>47.7</v>
      </c>
    </row>
    <row r="6" spans="2:8" x14ac:dyDescent="0.35">
      <c r="B6" s="1">
        <v>34.1</v>
      </c>
      <c r="C6" s="1">
        <v>35.700000000000003</v>
      </c>
      <c r="D6" s="1">
        <v>36</v>
      </c>
    </row>
    <row r="7" spans="2:8" x14ac:dyDescent="0.35">
      <c r="B7" s="1">
        <v>42.8</v>
      </c>
      <c r="C7" s="1">
        <v>42.2</v>
      </c>
      <c r="D7" s="1">
        <v>41.9</v>
      </c>
    </row>
    <row r="8" spans="2:8" x14ac:dyDescent="0.35">
      <c r="B8" s="1">
        <v>50.4</v>
      </c>
      <c r="C8" s="1">
        <v>52.2</v>
      </c>
      <c r="D8" s="1">
        <v>52.2</v>
      </c>
    </row>
    <row r="9" spans="2:8" x14ac:dyDescent="0.35">
      <c r="B9" s="1">
        <v>37</v>
      </c>
      <c r="C9" s="1">
        <v>36.1</v>
      </c>
      <c r="D9" s="1">
        <v>36.9</v>
      </c>
    </row>
    <row r="10" spans="2:8" x14ac:dyDescent="0.35">
      <c r="B10" s="1">
        <v>42.1</v>
      </c>
      <c r="C10" s="1">
        <v>40.700000000000003</v>
      </c>
      <c r="D10" s="1">
        <v>45.1</v>
      </c>
    </row>
    <row r="11" spans="2:8" x14ac:dyDescent="0.35">
      <c r="B11" s="1">
        <v>44.5</v>
      </c>
      <c r="C11" s="1">
        <v>42.3</v>
      </c>
      <c r="D11" s="1">
        <v>45.2</v>
      </c>
    </row>
    <row r="12" spans="2:8" x14ac:dyDescent="0.35">
      <c r="B12" s="1">
        <v>37.9</v>
      </c>
      <c r="C12" s="1">
        <v>33.299999999999997</v>
      </c>
      <c r="D12" s="1">
        <v>39.6</v>
      </c>
    </row>
    <row r="13" spans="2:8" x14ac:dyDescent="0.35">
      <c r="B13" s="1">
        <v>43.6</v>
      </c>
      <c r="C13" s="1">
        <v>44.9</v>
      </c>
      <c r="D13" s="1">
        <v>37.4</v>
      </c>
    </row>
    <row r="14" spans="2:8" x14ac:dyDescent="0.35">
      <c r="B14" s="1">
        <v>35.4</v>
      </c>
      <c r="C14" s="1">
        <v>40.1</v>
      </c>
      <c r="D14" s="1">
        <v>39.5</v>
      </c>
    </row>
    <row r="15" spans="2:8" x14ac:dyDescent="0.35">
      <c r="B15" s="1">
        <v>45.3</v>
      </c>
      <c r="C15" s="1">
        <v>44.4</v>
      </c>
      <c r="D15" s="1">
        <v>43.9</v>
      </c>
    </row>
    <row r="16" spans="2:8" x14ac:dyDescent="0.35">
      <c r="B16" s="1">
        <v>46.6</v>
      </c>
      <c r="C16" s="1">
        <v>47.7</v>
      </c>
      <c r="D16" s="1">
        <v>47.7</v>
      </c>
    </row>
    <row r="17" spans="2:8" x14ac:dyDescent="0.35">
      <c r="B17" s="1">
        <v>30.2</v>
      </c>
      <c r="C17" s="1">
        <v>31</v>
      </c>
      <c r="D17" s="1">
        <v>31.5</v>
      </c>
    </row>
    <row r="18" spans="2:8" x14ac:dyDescent="0.35">
      <c r="B18" s="1">
        <v>50.8</v>
      </c>
      <c r="C18" s="1">
        <v>51.2</v>
      </c>
      <c r="D18" s="1">
        <v>53.7</v>
      </c>
    </row>
    <row r="19" spans="2:8" x14ac:dyDescent="0.35">
      <c r="B19" s="1">
        <v>41</v>
      </c>
      <c r="C19" s="1">
        <v>46.7</v>
      </c>
      <c r="D19" s="1">
        <v>36.4</v>
      </c>
    </row>
    <row r="20" spans="2:8" x14ac:dyDescent="0.35">
      <c r="B20" s="1">
        <v>43.7</v>
      </c>
      <c r="C20" s="1">
        <v>40.4</v>
      </c>
      <c r="D20" s="1">
        <v>43</v>
      </c>
    </row>
    <row r="21" spans="2:8" x14ac:dyDescent="0.35">
      <c r="B21" s="1">
        <v>43.6</v>
      </c>
      <c r="C21" s="1">
        <v>44.1</v>
      </c>
      <c r="D21" s="1">
        <v>48.9</v>
      </c>
    </row>
    <row r="22" spans="2:8" x14ac:dyDescent="0.35">
      <c r="B22" s="1">
        <v>43.6</v>
      </c>
      <c r="C22" s="1">
        <v>44.8</v>
      </c>
      <c r="D22" s="1">
        <v>43.5</v>
      </c>
    </row>
    <row r="23" spans="2:8" x14ac:dyDescent="0.35">
      <c r="B23" s="1">
        <v>51.6</v>
      </c>
      <c r="C23" s="1">
        <v>50.4</v>
      </c>
      <c r="D23" s="1">
        <v>53.6</v>
      </c>
    </row>
    <row r="24" spans="2:8" x14ac:dyDescent="0.35">
      <c r="B24" s="1">
        <v>27.8</v>
      </c>
      <c r="C24" s="1">
        <v>28.5</v>
      </c>
      <c r="D24" s="1">
        <v>28.7</v>
      </c>
    </row>
    <row r="25" spans="2:8" x14ac:dyDescent="0.35">
      <c r="B25" s="1">
        <v>29</v>
      </c>
      <c r="C25" s="1">
        <v>28.3</v>
      </c>
      <c r="D25" s="1">
        <v>30.9</v>
      </c>
    </row>
    <row r="26" spans="2:8" x14ac:dyDescent="0.35">
      <c r="B26" s="1">
        <v>29</v>
      </c>
      <c r="C26" s="1">
        <v>27.7</v>
      </c>
      <c r="D26" s="1">
        <v>26.3</v>
      </c>
    </row>
    <row r="27" spans="2:8" x14ac:dyDescent="0.35">
      <c r="B27" s="1">
        <v>30.3</v>
      </c>
      <c r="C27" s="1">
        <v>35.700000000000003</v>
      </c>
      <c r="D27" s="1">
        <v>34.200000000000003</v>
      </c>
    </row>
    <row r="28" spans="2:8" x14ac:dyDescent="0.35">
      <c r="B28" s="9">
        <v>34.9</v>
      </c>
      <c r="C28" s="9">
        <v>36.1</v>
      </c>
      <c r="D28" s="9">
        <v>35.4</v>
      </c>
      <c r="E28" s="10"/>
      <c r="F28" s="10"/>
      <c r="G28" s="10"/>
      <c r="H28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1A5F9-A05A-4AF7-9F6F-D8B04ACF12B3}">
  <dimension ref="A4:H29"/>
  <sheetViews>
    <sheetView workbookViewId="0"/>
  </sheetViews>
  <sheetFormatPr defaultRowHeight="14.5" x14ac:dyDescent="0.35"/>
  <sheetData>
    <row r="4" spans="2:8" x14ac:dyDescent="0.35">
      <c r="B4" s="8" t="s">
        <v>58</v>
      </c>
      <c r="C4" s="8" t="s">
        <v>59</v>
      </c>
      <c r="D4" s="8" t="s">
        <v>60</v>
      </c>
      <c r="E4" s="8" t="s">
        <v>19</v>
      </c>
      <c r="F4" s="8" t="s">
        <v>61</v>
      </c>
      <c r="G4" s="8" t="s">
        <v>62</v>
      </c>
      <c r="H4" s="8" t="s">
        <v>63</v>
      </c>
    </row>
    <row r="5" spans="2:8" x14ac:dyDescent="0.35">
      <c r="B5" s="1">
        <v>38.1</v>
      </c>
      <c r="C5" s="1">
        <v>43.6</v>
      </c>
      <c r="D5" s="1">
        <v>47.7</v>
      </c>
      <c r="E5" s="4">
        <f>_xlfn.STDEV.S(B5:D5)</f>
        <v>4.8169838419215543</v>
      </c>
      <c r="F5" s="4">
        <f>AVERAGE(B5:D5)</f>
        <v>43.133333333333333</v>
      </c>
      <c r="G5" s="4">
        <f>_xlfn.STDEV.S(B5:D5)/AVERAGE(B5:D5)*100</f>
        <v>11.167659602600203</v>
      </c>
      <c r="H5" s="4">
        <f>MAX(B5:D5)</f>
        <v>47.7</v>
      </c>
    </row>
    <row r="6" spans="2:8" x14ac:dyDescent="0.35">
      <c r="B6" s="1">
        <v>34.1</v>
      </c>
      <c r="C6" s="1">
        <v>35.700000000000003</v>
      </c>
      <c r="D6" s="1">
        <v>36</v>
      </c>
      <c r="E6" s="4">
        <f t="shared" ref="E6:E28" si="0">_xlfn.STDEV.S(B6:D6)</f>
        <v>1.0214368964029708</v>
      </c>
      <c r="F6" s="4">
        <f t="shared" ref="F6:F28" si="1">AVERAGE(B6:D6)</f>
        <v>35.266666666666673</v>
      </c>
      <c r="G6" s="4">
        <f t="shared" ref="G6:G28" si="2">_xlfn.STDEV.S(B6:D6)/AVERAGE(B6:D6)*100</f>
        <v>2.896323902843962</v>
      </c>
      <c r="H6" s="4">
        <f t="shared" ref="H6:H28" si="3">MAX(B6:D6)</f>
        <v>36</v>
      </c>
    </row>
    <row r="7" spans="2:8" x14ac:dyDescent="0.35">
      <c r="B7" s="1">
        <v>42.8</v>
      </c>
      <c r="C7" s="1">
        <v>42.2</v>
      </c>
      <c r="D7" s="1">
        <v>41.9</v>
      </c>
      <c r="E7" s="4">
        <f t="shared" si="0"/>
        <v>0.45825756949558277</v>
      </c>
      <c r="F7" s="4">
        <f t="shared" si="1"/>
        <v>42.300000000000004</v>
      </c>
      <c r="G7" s="4">
        <f t="shared" si="2"/>
        <v>1.0833512281219451</v>
      </c>
      <c r="H7" s="4">
        <f t="shared" si="3"/>
        <v>42.8</v>
      </c>
    </row>
    <row r="8" spans="2:8" x14ac:dyDescent="0.35">
      <c r="B8" s="1">
        <v>50.4</v>
      </c>
      <c r="C8" s="1">
        <v>52.2</v>
      </c>
      <c r="D8" s="1">
        <v>52.2</v>
      </c>
      <c r="E8" s="4">
        <f t="shared" si="0"/>
        <v>1.0392304845413289</v>
      </c>
      <c r="F8" s="4">
        <f t="shared" si="1"/>
        <v>51.6</v>
      </c>
      <c r="G8" s="4">
        <f t="shared" si="2"/>
        <v>2.01401256694056</v>
      </c>
      <c r="H8" s="4">
        <f t="shared" si="3"/>
        <v>52.2</v>
      </c>
    </row>
    <row r="9" spans="2:8" x14ac:dyDescent="0.35">
      <c r="B9" s="1">
        <v>37</v>
      </c>
      <c r="C9" s="1">
        <v>36.1</v>
      </c>
      <c r="D9" s="1">
        <v>36.9</v>
      </c>
      <c r="E9" s="4">
        <f t="shared" si="0"/>
        <v>0.49328828623162357</v>
      </c>
      <c r="F9" s="4">
        <f t="shared" si="1"/>
        <v>36.666666666666664</v>
      </c>
      <c r="G9" s="4">
        <f t="shared" si="2"/>
        <v>1.34533168972261</v>
      </c>
      <c r="H9" s="4">
        <f t="shared" si="3"/>
        <v>37</v>
      </c>
    </row>
    <row r="10" spans="2:8" x14ac:dyDescent="0.35">
      <c r="B10" s="1">
        <v>42.1</v>
      </c>
      <c r="C10" s="1">
        <v>40.700000000000003</v>
      </c>
      <c r="D10" s="1">
        <v>45.1</v>
      </c>
      <c r="E10" s="4">
        <f t="shared" si="0"/>
        <v>2.247962040011648</v>
      </c>
      <c r="F10" s="4">
        <f t="shared" si="1"/>
        <v>42.633333333333333</v>
      </c>
      <c r="G10" s="4">
        <f t="shared" si="2"/>
        <v>5.2727803909577364</v>
      </c>
      <c r="H10" s="4">
        <f t="shared" si="3"/>
        <v>45.1</v>
      </c>
    </row>
    <row r="11" spans="2:8" x14ac:dyDescent="0.35">
      <c r="B11" s="1">
        <v>44.5</v>
      </c>
      <c r="C11" s="1">
        <v>42.3</v>
      </c>
      <c r="D11" s="1">
        <v>45.2</v>
      </c>
      <c r="E11" s="4">
        <f t="shared" si="0"/>
        <v>1.5132745950421582</v>
      </c>
      <c r="F11" s="4">
        <f t="shared" si="1"/>
        <v>44</v>
      </c>
      <c r="G11" s="4">
        <f t="shared" si="2"/>
        <v>3.4392604432776324</v>
      </c>
      <c r="H11" s="4">
        <f t="shared" si="3"/>
        <v>45.2</v>
      </c>
    </row>
    <row r="12" spans="2:8" x14ac:dyDescent="0.35">
      <c r="B12" s="1">
        <v>37.9</v>
      </c>
      <c r="C12" s="1">
        <v>33.299999999999997</v>
      </c>
      <c r="D12" s="1">
        <v>39.6</v>
      </c>
      <c r="E12" s="4">
        <f t="shared" si="0"/>
        <v>3.2593455375785712</v>
      </c>
      <c r="F12" s="4">
        <f t="shared" si="1"/>
        <v>36.93333333333333</v>
      </c>
      <c r="G12" s="4">
        <f t="shared" si="2"/>
        <v>8.8249427912777207</v>
      </c>
      <c r="H12" s="4">
        <f t="shared" si="3"/>
        <v>39.6</v>
      </c>
    </row>
    <row r="13" spans="2:8" x14ac:dyDescent="0.35">
      <c r="B13" s="1">
        <v>43.6</v>
      </c>
      <c r="C13" s="1">
        <v>44.9</v>
      </c>
      <c r="D13" s="1">
        <v>37.4</v>
      </c>
      <c r="E13" s="4">
        <f t="shared" si="0"/>
        <v>4.0079088479322156</v>
      </c>
      <c r="F13" s="4">
        <f t="shared" si="1"/>
        <v>41.966666666666669</v>
      </c>
      <c r="G13" s="4">
        <f t="shared" si="2"/>
        <v>9.5502196535318866</v>
      </c>
      <c r="H13" s="4">
        <f t="shared" si="3"/>
        <v>44.9</v>
      </c>
    </row>
    <row r="14" spans="2:8" x14ac:dyDescent="0.35">
      <c r="B14" s="1">
        <v>35.4</v>
      </c>
      <c r="C14" s="1">
        <v>40.1</v>
      </c>
      <c r="D14" s="1">
        <v>39.5</v>
      </c>
      <c r="E14" s="4">
        <f t="shared" si="0"/>
        <v>2.5579940057266239</v>
      </c>
      <c r="F14" s="4">
        <f t="shared" si="1"/>
        <v>38.333333333333336</v>
      </c>
      <c r="G14" s="4">
        <f t="shared" si="2"/>
        <v>6.6730278410259745</v>
      </c>
      <c r="H14" s="4">
        <f t="shared" si="3"/>
        <v>40.1</v>
      </c>
    </row>
    <row r="15" spans="2:8" x14ac:dyDescent="0.35">
      <c r="B15" s="1">
        <v>45.3</v>
      </c>
      <c r="C15" s="1">
        <v>44.4</v>
      </c>
      <c r="D15" s="1">
        <v>43.9</v>
      </c>
      <c r="E15" s="4">
        <f t="shared" si="0"/>
        <v>0.70945988845975805</v>
      </c>
      <c r="F15" s="4">
        <f t="shared" si="1"/>
        <v>44.533333333333331</v>
      </c>
      <c r="G15" s="4">
        <f t="shared" si="2"/>
        <v>1.5930985519305945</v>
      </c>
      <c r="H15" s="4">
        <f t="shared" si="3"/>
        <v>45.3</v>
      </c>
    </row>
    <row r="16" spans="2:8" x14ac:dyDescent="0.35">
      <c r="B16" s="1">
        <v>46.6</v>
      </c>
      <c r="C16" s="1">
        <v>47.7</v>
      </c>
      <c r="D16" s="1">
        <v>47.7</v>
      </c>
      <c r="E16" s="4">
        <f t="shared" si="0"/>
        <v>0.63508529610858921</v>
      </c>
      <c r="F16" s="4">
        <f t="shared" si="1"/>
        <v>47.333333333333336</v>
      </c>
      <c r="G16" s="4">
        <f t="shared" si="2"/>
        <v>1.3417294988209629</v>
      </c>
      <c r="H16" s="4">
        <f t="shared" si="3"/>
        <v>47.7</v>
      </c>
    </row>
    <row r="17" spans="1:8" x14ac:dyDescent="0.35">
      <c r="B17" s="1">
        <v>30.2</v>
      </c>
      <c r="C17" s="1">
        <v>31</v>
      </c>
      <c r="D17" s="1">
        <v>31.5</v>
      </c>
      <c r="E17" s="4">
        <f t="shared" si="0"/>
        <v>0.65574385243020039</v>
      </c>
      <c r="F17" s="4">
        <f t="shared" si="1"/>
        <v>30.900000000000002</v>
      </c>
      <c r="G17" s="4">
        <f t="shared" si="2"/>
        <v>2.1221483897417488</v>
      </c>
      <c r="H17" s="4">
        <f t="shared" si="3"/>
        <v>31.5</v>
      </c>
    </row>
    <row r="18" spans="1:8" x14ac:dyDescent="0.35">
      <c r="B18" s="1">
        <v>50.8</v>
      </c>
      <c r="C18" s="1">
        <v>51.2</v>
      </c>
      <c r="D18" s="1">
        <v>53.7</v>
      </c>
      <c r="E18" s="4">
        <f t="shared" si="0"/>
        <v>1.5716233645501729</v>
      </c>
      <c r="F18" s="4">
        <f t="shared" si="1"/>
        <v>51.9</v>
      </c>
      <c r="G18" s="4">
        <f t="shared" si="2"/>
        <v>3.0281760395957091</v>
      </c>
      <c r="H18" s="4">
        <f t="shared" si="3"/>
        <v>53.7</v>
      </c>
    </row>
    <row r="19" spans="1:8" x14ac:dyDescent="0.35">
      <c r="B19" s="1">
        <v>41</v>
      </c>
      <c r="C19" s="1">
        <v>46.7</v>
      </c>
      <c r="D19" s="1">
        <v>36.4</v>
      </c>
      <c r="E19" s="4">
        <f t="shared" si="0"/>
        <v>5.1597803570824068</v>
      </c>
      <c r="F19" s="4">
        <f t="shared" si="1"/>
        <v>41.366666666666667</v>
      </c>
      <c r="G19" s="4">
        <f t="shared" si="2"/>
        <v>12.473280476428059</v>
      </c>
      <c r="H19" s="4">
        <f t="shared" si="3"/>
        <v>46.7</v>
      </c>
    </row>
    <row r="20" spans="1:8" x14ac:dyDescent="0.35">
      <c r="B20" s="1">
        <v>43.7</v>
      </c>
      <c r="C20" s="1">
        <v>40.4</v>
      </c>
      <c r="D20" s="1">
        <v>43</v>
      </c>
      <c r="E20" s="4">
        <f t="shared" si="0"/>
        <v>1.7387735140993321</v>
      </c>
      <c r="F20" s="4">
        <f t="shared" si="1"/>
        <v>42.366666666666667</v>
      </c>
      <c r="G20" s="4">
        <f t="shared" si="2"/>
        <v>4.104107429030682</v>
      </c>
      <c r="H20" s="4">
        <f t="shared" si="3"/>
        <v>43.7</v>
      </c>
    </row>
    <row r="21" spans="1:8" x14ac:dyDescent="0.35">
      <c r="B21" s="1">
        <v>43.6</v>
      </c>
      <c r="C21" s="1">
        <v>44.1</v>
      </c>
      <c r="D21" s="1">
        <v>48.9</v>
      </c>
      <c r="E21" s="4">
        <f t="shared" si="0"/>
        <v>2.9263173671584775</v>
      </c>
      <c r="F21" s="4">
        <f t="shared" si="1"/>
        <v>45.533333333333331</v>
      </c>
      <c r="G21" s="4">
        <f t="shared" si="2"/>
        <v>6.4267584930274024</v>
      </c>
      <c r="H21" s="4">
        <f t="shared" si="3"/>
        <v>48.9</v>
      </c>
    </row>
    <row r="22" spans="1:8" x14ac:dyDescent="0.35">
      <c r="B22" s="1">
        <v>43.6</v>
      </c>
      <c r="C22" s="1">
        <v>44.8</v>
      </c>
      <c r="D22" s="1">
        <v>43.5</v>
      </c>
      <c r="E22" s="4">
        <f t="shared" si="0"/>
        <v>0.72341781380702153</v>
      </c>
      <c r="F22" s="4">
        <f t="shared" si="1"/>
        <v>43.966666666666669</v>
      </c>
      <c r="G22" s="4">
        <f t="shared" si="2"/>
        <v>1.645377893420064</v>
      </c>
      <c r="H22" s="4">
        <f t="shared" si="3"/>
        <v>44.8</v>
      </c>
    </row>
    <row r="23" spans="1:8" x14ac:dyDescent="0.35">
      <c r="B23" s="1">
        <v>51.6</v>
      </c>
      <c r="C23" s="1">
        <v>50.4</v>
      </c>
      <c r="D23" s="1">
        <v>53.6</v>
      </c>
      <c r="E23" s="4">
        <f t="shared" si="0"/>
        <v>1.6165807537309536</v>
      </c>
      <c r="F23" s="4">
        <f t="shared" si="1"/>
        <v>51.866666666666667</v>
      </c>
      <c r="G23" s="4">
        <f t="shared" si="2"/>
        <v>3.1168009390699618</v>
      </c>
      <c r="H23" s="4">
        <f t="shared" si="3"/>
        <v>53.6</v>
      </c>
    </row>
    <row r="24" spans="1:8" x14ac:dyDescent="0.35">
      <c r="B24" s="1">
        <v>27.8</v>
      </c>
      <c r="C24" s="1">
        <v>28.5</v>
      </c>
      <c r="D24" s="1">
        <v>28.7</v>
      </c>
      <c r="E24" s="4">
        <f t="shared" si="0"/>
        <v>0.47258156262526019</v>
      </c>
      <c r="F24" s="4">
        <f t="shared" si="1"/>
        <v>28.333333333333332</v>
      </c>
      <c r="G24" s="4">
        <f t="shared" si="2"/>
        <v>1.6679349269126831</v>
      </c>
      <c r="H24" s="4">
        <f t="shared" si="3"/>
        <v>28.7</v>
      </c>
    </row>
    <row r="25" spans="1:8" x14ac:dyDescent="0.35">
      <c r="B25" s="1">
        <v>29</v>
      </c>
      <c r="C25" s="1">
        <v>28.3</v>
      </c>
      <c r="D25" s="1">
        <v>30.9</v>
      </c>
      <c r="E25" s="4">
        <f t="shared" si="0"/>
        <v>1.34536240470737</v>
      </c>
      <c r="F25" s="4">
        <f t="shared" si="1"/>
        <v>29.399999999999995</v>
      </c>
      <c r="G25" s="4">
        <f t="shared" si="2"/>
        <v>4.5760626010454768</v>
      </c>
      <c r="H25" s="4">
        <f t="shared" si="3"/>
        <v>30.9</v>
      </c>
    </row>
    <row r="26" spans="1:8" x14ac:dyDescent="0.35">
      <c r="B26" s="1">
        <v>29</v>
      </c>
      <c r="C26" s="1">
        <v>27.7</v>
      </c>
      <c r="D26" s="1">
        <v>26.3</v>
      </c>
      <c r="E26" s="4">
        <f t="shared" si="0"/>
        <v>1.3503086067019392</v>
      </c>
      <c r="F26" s="4">
        <f t="shared" si="1"/>
        <v>27.666666666666668</v>
      </c>
      <c r="G26" s="4">
        <f t="shared" si="2"/>
        <v>4.8806335181997795</v>
      </c>
      <c r="H26" s="4">
        <f t="shared" si="3"/>
        <v>29</v>
      </c>
    </row>
    <row r="27" spans="1:8" x14ac:dyDescent="0.35">
      <c r="B27" s="1">
        <v>30.3</v>
      </c>
      <c r="C27" s="1">
        <v>35.700000000000003</v>
      </c>
      <c r="D27" s="1">
        <v>34.200000000000003</v>
      </c>
      <c r="E27" s="4">
        <f t="shared" si="0"/>
        <v>2.7874719729532722</v>
      </c>
      <c r="F27" s="4">
        <f t="shared" si="1"/>
        <v>33.4</v>
      </c>
      <c r="G27" s="4">
        <f t="shared" si="2"/>
        <v>8.3457244699199773</v>
      </c>
      <c r="H27" s="4">
        <f t="shared" si="3"/>
        <v>35.700000000000003</v>
      </c>
    </row>
    <row r="28" spans="1:8" x14ac:dyDescent="0.35">
      <c r="B28" s="9">
        <v>34.9</v>
      </c>
      <c r="C28" s="9">
        <v>36.1</v>
      </c>
      <c r="D28" s="9">
        <v>35.4</v>
      </c>
      <c r="E28" s="11">
        <f t="shared" si="0"/>
        <v>0.6027713773341723</v>
      </c>
      <c r="F28" s="11">
        <f t="shared" si="1"/>
        <v>35.466666666666669</v>
      </c>
      <c r="G28" s="11">
        <f t="shared" si="2"/>
        <v>1.6995433571452228</v>
      </c>
      <c r="H28" s="11">
        <f t="shared" si="3"/>
        <v>36.1</v>
      </c>
    </row>
    <row r="29" spans="1:8" x14ac:dyDescent="0.35">
      <c r="A29" s="12" t="s">
        <v>64</v>
      </c>
      <c r="B29" s="13">
        <f>AVERAGE(B5:B28)</f>
        <v>39.720833333333331</v>
      </c>
      <c r="C29" s="13">
        <f t="shared" ref="C29:H29" si="4">AVERAGE(C5:C28)</f>
        <v>40.337500000000006</v>
      </c>
      <c r="D29" s="13">
        <f t="shared" si="4"/>
        <v>40.800000000000004</v>
      </c>
      <c r="E29" s="13">
        <f t="shared" si="4"/>
        <v>1.8212900098597169</v>
      </c>
      <c r="F29" s="13">
        <f t="shared" si="4"/>
        <v>40.286111111111111</v>
      </c>
      <c r="G29" s="13">
        <f t="shared" si="4"/>
        <v>4.5536786122745223</v>
      </c>
      <c r="H29" s="13">
        <f t="shared" si="4"/>
        <v>41.954166666666673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A9F41-024F-417F-B12E-D9BD6E476A82}">
  <dimension ref="A1:E13"/>
  <sheetViews>
    <sheetView workbookViewId="0">
      <selection activeCell="A14" sqref="A14"/>
    </sheetView>
  </sheetViews>
  <sheetFormatPr defaultRowHeight="14.5" x14ac:dyDescent="0.35"/>
  <cols>
    <col min="1" max="1" width="10.08984375" bestFit="1" customWidth="1"/>
  </cols>
  <sheetData>
    <row r="1" spans="1: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5">
      <c r="A2" s="1" t="s">
        <v>5</v>
      </c>
      <c r="B2" s="1" t="s">
        <v>6</v>
      </c>
      <c r="C2" s="1">
        <v>28.6</v>
      </c>
      <c r="D2" s="1">
        <v>29.2</v>
      </c>
      <c r="E2" s="1">
        <v>29</v>
      </c>
    </row>
    <row r="3" spans="1:5" x14ac:dyDescent="0.35">
      <c r="A3" s="1" t="s">
        <v>7</v>
      </c>
      <c r="B3" s="1" t="s">
        <v>6</v>
      </c>
      <c r="C3" s="1">
        <v>29.4</v>
      </c>
      <c r="D3" s="1">
        <v>30.1</v>
      </c>
      <c r="E3" s="1">
        <v>29.8</v>
      </c>
    </row>
    <row r="4" spans="1:5" x14ac:dyDescent="0.35">
      <c r="A4" s="1" t="s">
        <v>8</v>
      </c>
      <c r="B4" s="1" t="s">
        <v>6</v>
      </c>
      <c r="C4" s="1">
        <v>30.2</v>
      </c>
      <c r="D4" s="1">
        <v>30.8</v>
      </c>
      <c r="E4" s="1">
        <v>31</v>
      </c>
    </row>
    <row r="5" spans="1:5" x14ac:dyDescent="0.35">
      <c r="A5" s="1" t="s">
        <v>9</v>
      </c>
      <c r="B5" s="1" t="s">
        <v>6</v>
      </c>
      <c r="C5" s="1">
        <v>31</v>
      </c>
      <c r="D5" s="1">
        <v>31.4</v>
      </c>
      <c r="E5" s="1">
        <v>31.9</v>
      </c>
    </row>
    <row r="6" spans="1:5" x14ac:dyDescent="0.35">
      <c r="A6" s="1" t="s">
        <v>10</v>
      </c>
      <c r="B6" s="1" t="s">
        <v>6</v>
      </c>
      <c r="C6" s="1">
        <v>32.200000000000003</v>
      </c>
      <c r="D6" s="1">
        <v>32.799999999999997</v>
      </c>
      <c r="E6" s="1">
        <v>33.1</v>
      </c>
    </row>
    <row r="7" spans="1:5" x14ac:dyDescent="0.35">
      <c r="A7" s="1" t="s">
        <v>11</v>
      </c>
      <c r="B7" s="1" t="s">
        <v>6</v>
      </c>
      <c r="C7" s="1">
        <v>33</v>
      </c>
      <c r="D7" s="1">
        <v>33.6</v>
      </c>
      <c r="E7" s="1">
        <v>34</v>
      </c>
    </row>
    <row r="8" spans="1:5" x14ac:dyDescent="0.35">
      <c r="A8" s="1" t="s">
        <v>12</v>
      </c>
      <c r="B8" s="1" t="s">
        <v>6</v>
      </c>
      <c r="C8" s="1">
        <v>31.6</v>
      </c>
      <c r="D8" s="1">
        <v>32.200000000000003</v>
      </c>
      <c r="E8" s="1">
        <v>32</v>
      </c>
    </row>
    <row r="9" spans="1:5" x14ac:dyDescent="0.35">
      <c r="A9" s="1" t="s">
        <v>13</v>
      </c>
      <c r="B9" s="1" t="s">
        <v>6</v>
      </c>
      <c r="C9" s="1">
        <v>33.799999999999997</v>
      </c>
      <c r="D9" s="1">
        <v>34.6</v>
      </c>
      <c r="E9" s="1">
        <v>34.200000000000003</v>
      </c>
    </row>
    <row r="10" spans="1:5" x14ac:dyDescent="0.35">
      <c r="A10" s="1" t="s">
        <v>14</v>
      </c>
      <c r="B10" s="1" t="s">
        <v>6</v>
      </c>
      <c r="C10" s="1">
        <v>35</v>
      </c>
      <c r="D10" s="1">
        <v>35.799999999999997</v>
      </c>
      <c r="E10" s="1">
        <v>36.1</v>
      </c>
    </row>
    <row r="11" spans="1:5" x14ac:dyDescent="0.35">
      <c r="A11" s="1" t="s">
        <v>15</v>
      </c>
      <c r="B11" s="1" t="s">
        <v>6</v>
      </c>
      <c r="C11" s="1">
        <v>36</v>
      </c>
      <c r="D11" s="1">
        <v>36.6</v>
      </c>
      <c r="E11" s="1">
        <v>37.200000000000003</v>
      </c>
    </row>
    <row r="12" spans="1:5" x14ac:dyDescent="0.35">
      <c r="A12" s="1" t="s">
        <v>16</v>
      </c>
      <c r="B12" s="1" t="s">
        <v>6</v>
      </c>
      <c r="C12" s="1">
        <v>37.1</v>
      </c>
      <c r="D12" s="1">
        <v>37.6</v>
      </c>
      <c r="E12" s="1">
        <v>38</v>
      </c>
    </row>
    <row r="13" spans="1:5" x14ac:dyDescent="0.35">
      <c r="A13" s="1" t="s">
        <v>17</v>
      </c>
      <c r="B13" s="1" t="s">
        <v>6</v>
      </c>
      <c r="C13" s="1">
        <v>38.200000000000003</v>
      </c>
      <c r="D13" s="1">
        <v>38.799999999999997</v>
      </c>
      <c r="E13" s="1">
        <v>39.4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3BF21-714D-498A-9C76-A7A72A640D5A}">
  <dimension ref="A1:S13"/>
  <sheetViews>
    <sheetView workbookViewId="0">
      <selection activeCell="A14" sqref="A14"/>
    </sheetView>
  </sheetViews>
  <sheetFormatPr defaultRowHeight="14.5" x14ac:dyDescent="0.35"/>
  <cols>
    <col min="1" max="1" width="11.1796875" style="2" bestFit="1" customWidth="1"/>
    <col min="2" max="2" width="14.08984375" style="1" customWidth="1"/>
    <col min="3" max="3" width="11.08984375" style="1" customWidth="1"/>
    <col min="4" max="4" width="11.1796875" style="1" customWidth="1"/>
    <col min="5" max="5" width="11.453125" style="1" customWidth="1"/>
    <col min="6" max="6" width="10.453125" style="1" customWidth="1"/>
    <col min="7" max="7" width="8.7265625" style="1"/>
    <col min="8" max="8" width="14" style="1" customWidth="1"/>
    <col min="9" max="9" width="12.36328125" style="1" customWidth="1"/>
    <col min="10" max="10" width="17.08984375" style="1" customWidth="1"/>
    <col min="11" max="11" width="16.90625" style="1" customWidth="1"/>
    <col min="12" max="12" width="12.453125" style="1" customWidth="1"/>
    <col min="13" max="13" width="16.36328125" style="1" customWidth="1"/>
    <col min="14" max="14" width="14.26953125" style="1" customWidth="1"/>
    <col min="15" max="15" width="13.453125" style="1" customWidth="1"/>
    <col min="16" max="16" width="16.1796875" style="1" bestFit="1" customWidth="1"/>
    <col min="17" max="17" width="21.81640625" style="1" customWidth="1"/>
    <col min="18" max="19" width="17.26953125" style="1" customWidth="1"/>
    <col min="20" max="16384" width="8.7265625" style="1"/>
  </cols>
  <sheetData>
    <row r="1" spans="1:19" x14ac:dyDescent="0.35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18</v>
      </c>
      <c r="G1" s="1" t="s">
        <v>19</v>
      </c>
      <c r="H1" s="1" t="s">
        <v>20</v>
      </c>
      <c r="I1" s="1" t="s">
        <v>21</v>
      </c>
      <c r="J1" s="1" t="s">
        <v>22</v>
      </c>
      <c r="K1" s="1" t="s">
        <v>23</v>
      </c>
      <c r="L1" s="1" t="s">
        <v>24</v>
      </c>
      <c r="M1" s="1" t="s">
        <v>25</v>
      </c>
      <c r="N1" s="1" t="s">
        <v>26</v>
      </c>
      <c r="O1" s="1" t="s">
        <v>27</v>
      </c>
      <c r="P1" s="1" t="s">
        <v>28</v>
      </c>
      <c r="Q1" s="1" t="s">
        <v>29</v>
      </c>
      <c r="R1" s="1" t="s">
        <v>30</v>
      </c>
      <c r="S1" s="1" t="s">
        <v>31</v>
      </c>
    </row>
    <row r="2" spans="1:19" x14ac:dyDescent="0.35">
      <c r="A2" s="3" t="s">
        <v>5</v>
      </c>
      <c r="B2" s="1" t="s">
        <v>6</v>
      </c>
      <c r="C2" s="3">
        <v>28.6</v>
      </c>
      <c r="D2" s="3">
        <v>29.2</v>
      </c>
      <c r="E2" s="3">
        <v>29</v>
      </c>
      <c r="F2" s="1">
        <f>MAX(C2:E2)</f>
        <v>29.2</v>
      </c>
      <c r="G2" s="4">
        <f>_xlfn.STDEV.S(C2:E2)</f>
        <v>0.30550504633038827</v>
      </c>
      <c r="M2" s="1" t="str">
        <f>IF(L2="","No previous",IF(L2&gt;=2,"Very likely Better",IF(L2&gt;=1,"Likely Better",IF(L2&lt;=-2,"Very Likely Drop",IF(L2&lt;=-1,"Likely Drop",IF(AND(L2&gt;-1,L2&lt;1),"Stable",""))))))</f>
        <v>No previous</v>
      </c>
      <c r="N2" s="4">
        <f t="shared" ref="N2:O13" si="0">F$2</f>
        <v>29.2</v>
      </c>
      <c r="O2" s="4">
        <f t="shared" si="0"/>
        <v>0.30550504633038827</v>
      </c>
      <c r="P2" s="4">
        <f>PerfData[[#This Row],[Best]]-PerfData[[#This Row],[Base_Best]]</f>
        <v>0</v>
      </c>
      <c r="Q2" s="4">
        <f>SQRT(PerfData[[#This Row],[Base_SD]]^2+PerfData[[#This Row],[SD]]^2)</f>
        <v>0.43204937989385583</v>
      </c>
      <c r="R2" s="4">
        <f>PerfData[[#This Row],[Curr_vs_Base]]/PerfData[[#This Row],[Combined_SD_Base]]</f>
        <v>0</v>
      </c>
      <c r="S2" s="4" t="str">
        <f t="shared" ref="S2:S13" si="1">IF(R2="","No previous",IF(R2&gt;=2,"Very likely Better",IF(R2&gt;=1,"Likely Better",IF(R2&lt;=-2,"Very Likely Drop",IF(R2&lt;=-1,"Likely Drop",IF(AND(R2&gt;-1,R2&lt;1),"Stable",""))))))</f>
        <v>Stable</v>
      </c>
    </row>
    <row r="3" spans="1:19" x14ac:dyDescent="0.35">
      <c r="A3" s="3" t="s">
        <v>7</v>
      </c>
      <c r="B3" s="1" t="s">
        <v>6</v>
      </c>
      <c r="C3" s="3">
        <v>29.4</v>
      </c>
      <c r="D3" s="3">
        <v>30.1</v>
      </c>
      <c r="E3" s="3">
        <v>29.8</v>
      </c>
      <c r="F3" s="1">
        <f t="shared" ref="F3:F8" si="2">MAX(C3:E3)</f>
        <v>30.1</v>
      </c>
      <c r="G3" s="4">
        <f t="shared" ref="G3:G8" si="3">_xlfn.STDEV.S(C3:E3)</f>
        <v>0.35118845842842605</v>
      </c>
      <c r="H3" s="4">
        <f>F2</f>
        <v>29.2</v>
      </c>
      <c r="I3" s="4">
        <f>G2</f>
        <v>0.30550504633038827</v>
      </c>
      <c r="J3" s="4">
        <f>F3-F2</f>
        <v>0.90000000000000213</v>
      </c>
      <c r="K3" s="4">
        <f>SQRT(G2^2+G3^2)</f>
        <v>0.46547466812563176</v>
      </c>
      <c r="L3" s="4">
        <f>J3/K3</f>
        <v>1.9335101599064717</v>
      </c>
      <c r="M3" s="1" t="str">
        <f t="shared" ref="M3:M13" si="4">IF(L3="","No previous",IF(L3&gt;=2,"Very likely Better",IF(L3&gt;=1,"Likely Better",IF(L3&lt;=-2,"Very Likely Drop",IF(L3&lt;=-1,"Likely Drop",IF(AND(L3&gt;-1,L3&lt;1),"Stable",""))))))</f>
        <v>Likely Better</v>
      </c>
      <c r="N3" s="4">
        <f t="shared" si="0"/>
        <v>29.2</v>
      </c>
      <c r="O3" s="4">
        <f t="shared" si="0"/>
        <v>0.30550504633038827</v>
      </c>
      <c r="P3" s="4">
        <f>PerfData[[#This Row],[Best]]-PerfData[[#This Row],[Base_Best]]</f>
        <v>0.90000000000000213</v>
      </c>
      <c r="Q3" s="4">
        <f>SQRT(PerfData[[#This Row],[Base_SD]]^2+PerfData[[#This Row],[SD]]^2)</f>
        <v>0.46547466812563176</v>
      </c>
      <c r="R3" s="4">
        <f>PerfData[[#This Row],[Curr_vs_Base]]/PerfData[[#This Row],[Combined_SD_Base]]</f>
        <v>1.9335101599064717</v>
      </c>
      <c r="S3" s="4" t="str">
        <f t="shared" si="1"/>
        <v>Likely Better</v>
      </c>
    </row>
    <row r="4" spans="1:19" x14ac:dyDescent="0.35">
      <c r="A4" s="3" t="s">
        <v>8</v>
      </c>
      <c r="B4" s="1" t="s">
        <v>6</v>
      </c>
      <c r="C4" s="3">
        <v>30.2</v>
      </c>
      <c r="D4" s="3">
        <v>30.8</v>
      </c>
      <c r="E4" s="3">
        <v>31</v>
      </c>
      <c r="F4" s="1">
        <f t="shared" si="2"/>
        <v>31</v>
      </c>
      <c r="G4" s="4">
        <f t="shared" si="3"/>
        <v>0.41633319989322704</v>
      </c>
      <c r="H4" s="4">
        <f t="shared" ref="H4:I8" si="5">F3</f>
        <v>30.1</v>
      </c>
      <c r="I4" s="4">
        <f t="shared" si="5"/>
        <v>0.35118845842842605</v>
      </c>
      <c r="J4" s="4">
        <f t="shared" ref="J4:J8" si="6">F4-F3</f>
        <v>0.89999999999999858</v>
      </c>
      <c r="K4" s="4">
        <f t="shared" ref="K4:K8" si="7">SQRT(G3^2+G4^2)</f>
        <v>0.54467115461227433</v>
      </c>
      <c r="L4" s="4">
        <f t="shared" ref="L4:L8" si="8">J4/K4</f>
        <v>1.6523731656776759</v>
      </c>
      <c r="M4" s="1" t="str">
        <f t="shared" si="4"/>
        <v>Likely Better</v>
      </c>
      <c r="N4" s="4">
        <f t="shared" si="0"/>
        <v>29.2</v>
      </c>
      <c r="O4" s="4">
        <f t="shared" si="0"/>
        <v>0.30550504633038827</v>
      </c>
      <c r="P4" s="4">
        <f>PerfData[[#This Row],[Best]]-PerfData[[#This Row],[Base_Best]]</f>
        <v>1.8000000000000007</v>
      </c>
      <c r="Q4" s="4">
        <f>SQRT(PerfData[[#This Row],[Base_SD]]^2+PerfData[[#This Row],[SD]]^2)</f>
        <v>0.51639777949432197</v>
      </c>
      <c r="R4" s="4">
        <f>PerfData[[#This Row],[Curr_vs_Base]]/PerfData[[#This Row],[Combined_SD_Base]]</f>
        <v>3.4856850115866784</v>
      </c>
      <c r="S4" s="4" t="str">
        <f t="shared" si="1"/>
        <v>Very likely Better</v>
      </c>
    </row>
    <row r="5" spans="1:19" x14ac:dyDescent="0.35">
      <c r="A5" s="3" t="s">
        <v>9</v>
      </c>
      <c r="B5" s="1" t="s">
        <v>6</v>
      </c>
      <c r="C5" s="3">
        <v>31</v>
      </c>
      <c r="D5" s="3">
        <v>31.4</v>
      </c>
      <c r="E5" s="3">
        <v>31.9</v>
      </c>
      <c r="F5" s="1">
        <f t="shared" si="2"/>
        <v>31.9</v>
      </c>
      <c r="G5" s="4">
        <f t="shared" si="3"/>
        <v>0.45092497528228875</v>
      </c>
      <c r="H5" s="4">
        <f t="shared" si="5"/>
        <v>31</v>
      </c>
      <c r="I5" s="4">
        <f t="shared" si="5"/>
        <v>0.41633319989322704</v>
      </c>
      <c r="J5" s="4">
        <f t="shared" si="6"/>
        <v>0.89999999999999858</v>
      </c>
      <c r="K5" s="4">
        <f t="shared" si="7"/>
        <v>0.61373175465073215</v>
      </c>
      <c r="L5" s="4">
        <f t="shared" si="8"/>
        <v>1.4664387058026327</v>
      </c>
      <c r="M5" s="1" t="str">
        <f t="shared" si="4"/>
        <v>Likely Better</v>
      </c>
      <c r="N5" s="4">
        <f t="shared" si="0"/>
        <v>29.2</v>
      </c>
      <c r="O5" s="4">
        <f t="shared" si="0"/>
        <v>0.30550504633038827</v>
      </c>
      <c r="P5" s="4">
        <f>PerfData[[#This Row],[Best]]-PerfData[[#This Row],[Base_Best]]</f>
        <v>2.6999999999999993</v>
      </c>
      <c r="Q5" s="4">
        <f>SQRT(PerfData[[#This Row],[Base_SD]]^2+PerfData[[#This Row],[SD]]^2)</f>
        <v>0.54467115461227189</v>
      </c>
      <c r="R5" s="4">
        <f>PerfData[[#This Row],[Curr_vs_Base]]/PerfData[[#This Row],[Combined_SD_Base]]</f>
        <v>4.9571194970330561</v>
      </c>
      <c r="S5" s="4" t="str">
        <f t="shared" si="1"/>
        <v>Very likely Better</v>
      </c>
    </row>
    <row r="6" spans="1:19" x14ac:dyDescent="0.35">
      <c r="A6" s="3" t="s">
        <v>10</v>
      </c>
      <c r="B6" s="1" t="s">
        <v>6</v>
      </c>
      <c r="C6" s="3">
        <v>32.200000000000003</v>
      </c>
      <c r="D6" s="3">
        <v>32.799999999999997</v>
      </c>
      <c r="E6" s="3">
        <v>33.1</v>
      </c>
      <c r="F6" s="1">
        <f t="shared" si="2"/>
        <v>33.1</v>
      </c>
      <c r="G6" s="4">
        <f t="shared" si="3"/>
        <v>0.45825756949558277</v>
      </c>
      <c r="H6" s="4">
        <f t="shared" si="5"/>
        <v>31.9</v>
      </c>
      <c r="I6" s="4">
        <f t="shared" si="5"/>
        <v>0.45092497528228875</v>
      </c>
      <c r="J6" s="4">
        <f t="shared" si="6"/>
        <v>1.2000000000000028</v>
      </c>
      <c r="K6" s="4">
        <f t="shared" si="7"/>
        <v>0.64291005073286234</v>
      </c>
      <c r="L6" s="4">
        <f t="shared" si="8"/>
        <v>1.8665130505147738</v>
      </c>
      <c r="M6" s="1" t="str">
        <f t="shared" si="4"/>
        <v>Likely Better</v>
      </c>
      <c r="N6" s="4">
        <f t="shared" si="0"/>
        <v>29.2</v>
      </c>
      <c r="O6" s="4">
        <f t="shared" si="0"/>
        <v>0.30550504633038827</v>
      </c>
      <c r="P6" s="4">
        <f>PerfData[[#This Row],[Best]]-PerfData[[#This Row],[Base_Best]]</f>
        <v>3.9000000000000021</v>
      </c>
      <c r="Q6" s="4">
        <f>SQRT(PerfData[[#This Row],[Base_SD]]^2+PerfData[[#This Row],[SD]]^2)</f>
        <v>0.55075705472860859</v>
      </c>
      <c r="R6" s="4">
        <f>PerfData[[#This Row],[Curr_vs_Base]]/PerfData[[#This Row],[Combined_SD_Base]]</f>
        <v>7.0811621322250131</v>
      </c>
      <c r="S6" s="4" t="str">
        <f t="shared" si="1"/>
        <v>Very likely Better</v>
      </c>
    </row>
    <row r="7" spans="1:19" x14ac:dyDescent="0.35">
      <c r="A7" s="3" t="s">
        <v>11</v>
      </c>
      <c r="B7" s="1" t="s">
        <v>6</v>
      </c>
      <c r="C7" s="3">
        <v>33</v>
      </c>
      <c r="D7" s="3">
        <v>33.6</v>
      </c>
      <c r="E7" s="3">
        <v>34</v>
      </c>
      <c r="F7" s="1">
        <f t="shared" si="2"/>
        <v>34</v>
      </c>
      <c r="G7" s="4">
        <f t="shared" si="3"/>
        <v>0.50332229568471676</v>
      </c>
      <c r="H7" s="4">
        <f t="shared" si="5"/>
        <v>33.1</v>
      </c>
      <c r="I7" s="4">
        <f t="shared" si="5"/>
        <v>0.45825756949558277</v>
      </c>
      <c r="J7" s="4">
        <f t="shared" si="6"/>
        <v>0.89999999999999858</v>
      </c>
      <c r="K7" s="4">
        <f t="shared" si="7"/>
        <v>0.68068592855540389</v>
      </c>
      <c r="L7" s="4">
        <f t="shared" si="8"/>
        <v>1.322195688560857</v>
      </c>
      <c r="M7" s="1" t="str">
        <f t="shared" si="4"/>
        <v>Likely Better</v>
      </c>
      <c r="N7" s="4">
        <f t="shared" si="0"/>
        <v>29.2</v>
      </c>
      <c r="O7" s="4">
        <f t="shared" si="0"/>
        <v>0.30550504633038827</v>
      </c>
      <c r="P7" s="4">
        <f>PerfData[[#This Row],[Best]]-PerfData[[#This Row],[Base_Best]]</f>
        <v>4.8000000000000007</v>
      </c>
      <c r="Q7" s="4">
        <f>SQRT(PerfData[[#This Row],[Base_SD]]^2+PerfData[[#This Row],[SD]]^2)</f>
        <v>0.58878405775518938</v>
      </c>
      <c r="R7" s="4">
        <f>PerfData[[#This Row],[Curr_vs_Base]]/PerfData[[#This Row],[Combined_SD_Base]]</f>
        <v>8.1523946458410954</v>
      </c>
      <c r="S7" s="4" t="str">
        <f t="shared" si="1"/>
        <v>Very likely Better</v>
      </c>
    </row>
    <row r="8" spans="1:19" x14ac:dyDescent="0.35">
      <c r="A8" s="3" t="s">
        <v>12</v>
      </c>
      <c r="B8" s="1" t="s">
        <v>6</v>
      </c>
      <c r="C8" s="3">
        <v>31.6</v>
      </c>
      <c r="D8" s="3">
        <v>32.200000000000003</v>
      </c>
      <c r="E8" s="3">
        <v>32</v>
      </c>
      <c r="F8" s="1">
        <f t="shared" si="2"/>
        <v>32.200000000000003</v>
      </c>
      <c r="G8" s="4">
        <f t="shared" si="3"/>
        <v>0.30550504633038977</v>
      </c>
      <c r="H8" s="4">
        <f t="shared" si="5"/>
        <v>34</v>
      </c>
      <c r="I8" s="4">
        <f t="shared" si="5"/>
        <v>0.50332229568471676</v>
      </c>
      <c r="J8" s="4">
        <f t="shared" si="6"/>
        <v>-1.7999999999999972</v>
      </c>
      <c r="K8" s="4">
        <f t="shared" si="7"/>
        <v>0.58878405775519016</v>
      </c>
      <c r="L8" s="4">
        <f t="shared" si="8"/>
        <v>-3.0571479921904019</v>
      </c>
      <c r="M8" s="1" t="str">
        <f t="shared" si="4"/>
        <v>Very Likely Drop</v>
      </c>
      <c r="N8" s="4">
        <f t="shared" si="0"/>
        <v>29.2</v>
      </c>
      <c r="O8" s="4">
        <f t="shared" si="0"/>
        <v>0.30550504633038827</v>
      </c>
      <c r="P8" s="4">
        <f>PerfData[[#This Row],[Best]]-PerfData[[#This Row],[Base_Best]]</f>
        <v>3.0000000000000036</v>
      </c>
      <c r="Q8" s="4">
        <f>SQRT(PerfData[[#This Row],[Base_SD]]^2+PerfData[[#This Row],[SD]]^2)</f>
        <v>0.43204937989385689</v>
      </c>
      <c r="R8" s="4">
        <f>PerfData[[#This Row],[Curr_vs_Base]]/PerfData[[#This Row],[Combined_SD_Base]]</f>
        <v>6.9436507482941519</v>
      </c>
      <c r="S8" s="4" t="str">
        <f t="shared" si="1"/>
        <v>Very likely Better</v>
      </c>
    </row>
    <row r="9" spans="1:19" x14ac:dyDescent="0.35">
      <c r="A9" s="3" t="s">
        <v>13</v>
      </c>
      <c r="B9" s="1" t="s">
        <v>6</v>
      </c>
      <c r="C9" s="3">
        <v>33.799999999999997</v>
      </c>
      <c r="D9" s="3">
        <v>34.6</v>
      </c>
      <c r="E9" s="3">
        <v>34.200000000000003</v>
      </c>
      <c r="F9" s="1">
        <f>MAX(C9:E9)</f>
        <v>34.6</v>
      </c>
      <c r="G9" s="4">
        <f>_xlfn.STDEV.S(C9:E9)</f>
        <v>0.40000000000000213</v>
      </c>
      <c r="H9" s="4">
        <f>F8</f>
        <v>32.200000000000003</v>
      </c>
      <c r="I9" s="4">
        <f>G8</f>
        <v>0.30550504633038977</v>
      </c>
      <c r="J9" s="4">
        <f>F9-F8</f>
        <v>2.3999999999999986</v>
      </c>
      <c r="K9" s="4">
        <f>SQRT(G8^2+G9^2)</f>
        <v>0.50332229568471865</v>
      </c>
      <c r="L9" s="4">
        <f>J9/K9</f>
        <v>4.768316485434136</v>
      </c>
      <c r="M9" s="1" t="str">
        <f t="shared" si="4"/>
        <v>Very likely Better</v>
      </c>
      <c r="N9" s="4">
        <f t="shared" si="0"/>
        <v>29.2</v>
      </c>
      <c r="O9" s="4">
        <f t="shared" si="0"/>
        <v>0.30550504633038827</v>
      </c>
      <c r="P9" s="4">
        <f>PerfData[[#This Row],[Best]]-PerfData[[#This Row],[Base_Best]]</f>
        <v>5.4000000000000021</v>
      </c>
      <c r="Q9" s="4">
        <f>SQRT(PerfData[[#This Row],[Base_SD]]^2+PerfData[[#This Row],[SD]]^2)</f>
        <v>0.50332229568471776</v>
      </c>
      <c r="R9" s="4">
        <f>PerfData[[#This Row],[Curr_vs_Base]]/PerfData[[#This Row],[Combined_SD_Base]]</f>
        <v>10.728712092226836</v>
      </c>
      <c r="S9" s="4" t="str">
        <f t="shared" si="1"/>
        <v>Very likely Better</v>
      </c>
    </row>
    <row r="10" spans="1:19" x14ac:dyDescent="0.35">
      <c r="A10" s="3" t="s">
        <v>14</v>
      </c>
      <c r="B10" s="1" t="s">
        <v>6</v>
      </c>
      <c r="C10" s="3">
        <v>35</v>
      </c>
      <c r="D10" s="3">
        <v>35.799999999999997</v>
      </c>
      <c r="E10" s="3">
        <v>36.1</v>
      </c>
      <c r="F10" s="1">
        <f t="shared" ref="F10:F13" si="9">MAX(C10:E10)</f>
        <v>36.1</v>
      </c>
      <c r="G10" s="4">
        <f t="shared" ref="G10:G13" si="10">_xlfn.STDEV.S(C10:E10)</f>
        <v>0.56862407030773288</v>
      </c>
      <c r="H10" s="4">
        <f t="shared" ref="H10:I13" si="11">F9</f>
        <v>34.6</v>
      </c>
      <c r="I10" s="4">
        <f t="shared" si="11"/>
        <v>0.40000000000000213</v>
      </c>
      <c r="J10" s="4">
        <f t="shared" ref="J10:J13" si="12">F10-F9</f>
        <v>1.5</v>
      </c>
      <c r="K10" s="4">
        <f t="shared" ref="K10:K13" si="13">SQRT(G9^2+G10^2)</f>
        <v>0.69522178715380833</v>
      </c>
      <c r="L10" s="4">
        <f t="shared" ref="L10:L13" si="14">J10/K10</f>
        <v>2.1575848566842244</v>
      </c>
      <c r="M10" s="1" t="str">
        <f t="shared" si="4"/>
        <v>Very likely Better</v>
      </c>
      <c r="N10" s="4">
        <f t="shared" si="0"/>
        <v>29.2</v>
      </c>
      <c r="O10" s="4">
        <f t="shared" si="0"/>
        <v>0.30550504633038827</v>
      </c>
      <c r="P10" s="4">
        <f>PerfData[[#This Row],[Best]]-PerfData[[#This Row],[Base_Best]]</f>
        <v>6.9000000000000021</v>
      </c>
      <c r="Q10" s="4">
        <f>SQRT(PerfData[[#This Row],[Base_SD]]^2+PerfData[[#This Row],[SD]]^2)</f>
        <v>0.64549722436790247</v>
      </c>
      <c r="R10" s="4">
        <f>PerfData[[#This Row],[Curr_vs_Base]]/PerfData[[#This Row],[Combined_SD_Base]]</f>
        <v>10.68943403553248</v>
      </c>
      <c r="S10" s="4" t="str">
        <f t="shared" si="1"/>
        <v>Very likely Better</v>
      </c>
    </row>
    <row r="11" spans="1:19" x14ac:dyDescent="0.35">
      <c r="A11" s="3" t="s">
        <v>15</v>
      </c>
      <c r="B11" s="1" t="s">
        <v>6</v>
      </c>
      <c r="C11" s="3">
        <v>36</v>
      </c>
      <c r="D11" s="3">
        <v>36.6</v>
      </c>
      <c r="E11" s="3">
        <v>37.200000000000003</v>
      </c>
      <c r="F11" s="1">
        <f t="shared" si="9"/>
        <v>37.200000000000003</v>
      </c>
      <c r="G11" s="4">
        <f t="shared" si="10"/>
        <v>0.60000000000000142</v>
      </c>
      <c r="H11" s="4">
        <f t="shared" si="11"/>
        <v>36.1</v>
      </c>
      <c r="I11" s="4">
        <f t="shared" si="11"/>
        <v>0.56862407030773288</v>
      </c>
      <c r="J11" s="4">
        <f t="shared" si="12"/>
        <v>1.1000000000000014</v>
      </c>
      <c r="K11" s="4">
        <f t="shared" si="13"/>
        <v>0.82663978450915077</v>
      </c>
      <c r="L11" s="4">
        <f t="shared" si="14"/>
        <v>1.3306884336000944</v>
      </c>
      <c r="M11" s="1" t="str">
        <f t="shared" si="4"/>
        <v>Likely Better</v>
      </c>
      <c r="N11" s="4">
        <f t="shared" si="0"/>
        <v>29.2</v>
      </c>
      <c r="O11" s="4">
        <f t="shared" si="0"/>
        <v>0.30550504633038827</v>
      </c>
      <c r="P11" s="4">
        <f>PerfData[[#This Row],[Best]]-PerfData[[#This Row],[Base_Best]]</f>
        <v>8.0000000000000036</v>
      </c>
      <c r="Q11" s="4">
        <f>SQRT(PerfData[[#This Row],[Base_SD]]^2+PerfData[[#This Row],[SD]]^2)</f>
        <v>0.67330032922413929</v>
      </c>
      <c r="R11" s="4">
        <f>PerfData[[#This Row],[Curr_vs_Base]]/PerfData[[#This Row],[Combined_SD_Base]]</f>
        <v>11.881770515720083</v>
      </c>
      <c r="S11" s="4" t="str">
        <f t="shared" si="1"/>
        <v>Very likely Better</v>
      </c>
    </row>
    <row r="12" spans="1:19" x14ac:dyDescent="0.35">
      <c r="A12" s="3" t="s">
        <v>16</v>
      </c>
      <c r="B12" s="1" t="s">
        <v>6</v>
      </c>
      <c r="C12" s="3">
        <v>37.1</v>
      </c>
      <c r="D12" s="3">
        <v>37.6</v>
      </c>
      <c r="E12" s="3">
        <v>38</v>
      </c>
      <c r="F12" s="1">
        <f t="shared" si="9"/>
        <v>38</v>
      </c>
      <c r="G12" s="4">
        <f t="shared" si="10"/>
        <v>0.45092497528228875</v>
      </c>
      <c r="H12" s="4">
        <f t="shared" si="11"/>
        <v>37.200000000000003</v>
      </c>
      <c r="I12" s="4">
        <f t="shared" si="11"/>
        <v>0.60000000000000142</v>
      </c>
      <c r="J12" s="4">
        <f t="shared" si="12"/>
        <v>0.79999999999999716</v>
      </c>
      <c r="K12" s="4">
        <f t="shared" si="13"/>
        <v>0.75055534994651429</v>
      </c>
      <c r="L12" s="4">
        <f t="shared" si="14"/>
        <v>1.0658774200423811</v>
      </c>
      <c r="M12" s="1" t="str">
        <f t="shared" si="4"/>
        <v>Likely Better</v>
      </c>
      <c r="N12" s="4">
        <f t="shared" si="0"/>
        <v>29.2</v>
      </c>
      <c r="O12" s="4">
        <f t="shared" si="0"/>
        <v>0.30550504633038827</v>
      </c>
      <c r="P12" s="4">
        <f>PerfData[[#This Row],[Best]]-PerfData[[#This Row],[Base_Best]]</f>
        <v>8.8000000000000007</v>
      </c>
      <c r="Q12" s="4">
        <f>SQRT(PerfData[[#This Row],[Base_SD]]^2+PerfData[[#This Row],[SD]]^2)</f>
        <v>0.54467115461227189</v>
      </c>
      <c r="R12" s="4">
        <f>PerfData[[#This Row],[Curr_vs_Base]]/PerfData[[#This Row],[Combined_SD_Base]]</f>
        <v>16.156537619959597</v>
      </c>
      <c r="S12" s="4" t="str">
        <f t="shared" si="1"/>
        <v>Very likely Better</v>
      </c>
    </row>
    <row r="13" spans="1:19" x14ac:dyDescent="0.35">
      <c r="A13" s="3" t="s">
        <v>17</v>
      </c>
      <c r="B13" s="1" t="s">
        <v>6</v>
      </c>
      <c r="C13" s="3">
        <v>38.200000000000003</v>
      </c>
      <c r="D13" s="3">
        <v>38.799999999999997</v>
      </c>
      <c r="E13" s="3">
        <v>39.4</v>
      </c>
      <c r="F13" s="1">
        <f t="shared" si="9"/>
        <v>39.4</v>
      </c>
      <c r="G13" s="4">
        <f t="shared" si="10"/>
        <v>0.59999999999999787</v>
      </c>
      <c r="H13" s="4">
        <f t="shared" si="11"/>
        <v>38</v>
      </c>
      <c r="I13" s="4">
        <f t="shared" si="11"/>
        <v>0.45092497528228875</v>
      </c>
      <c r="J13" s="4">
        <f t="shared" si="12"/>
        <v>1.3999999999999986</v>
      </c>
      <c r="K13" s="4">
        <f t="shared" si="13"/>
        <v>0.75055534994651141</v>
      </c>
      <c r="L13" s="4">
        <f t="shared" si="14"/>
        <v>1.8652854850741789</v>
      </c>
      <c r="M13" s="1" t="str">
        <f t="shared" si="4"/>
        <v>Likely Better</v>
      </c>
      <c r="N13" s="4">
        <f t="shared" si="0"/>
        <v>29.2</v>
      </c>
      <c r="O13" s="4">
        <f t="shared" si="0"/>
        <v>0.30550504633038827</v>
      </c>
      <c r="P13" s="4">
        <f>PerfData[[#This Row],[Best]]-PerfData[[#This Row],[Base_Best]]</f>
        <v>10.199999999999999</v>
      </c>
      <c r="Q13" s="4">
        <f>SQRT(PerfData[[#This Row],[Base_SD]]^2+PerfData[[#This Row],[SD]]^2)</f>
        <v>0.67330032922413618</v>
      </c>
      <c r="R13" s="4">
        <f>PerfData[[#This Row],[Curr_vs_Base]]/PerfData[[#This Row],[Combined_SD_Base]]</f>
        <v>15.149257407543169</v>
      </c>
      <c r="S13" s="4" t="str">
        <f t="shared" si="1"/>
        <v>Very likely Better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2FA84-E254-4E2E-B217-679BB1F61DF3}">
  <dimension ref="A1:D17"/>
  <sheetViews>
    <sheetView workbookViewId="0">
      <selection activeCell="A18" sqref="A18"/>
    </sheetView>
  </sheetViews>
  <sheetFormatPr defaultRowHeight="14.5" x14ac:dyDescent="0.35"/>
  <cols>
    <col min="1" max="1" width="10.08984375" bestFit="1" customWidth="1"/>
  </cols>
  <sheetData>
    <row r="1" spans="1:4" x14ac:dyDescent="0.35">
      <c r="A1" s="1" t="s">
        <v>0</v>
      </c>
      <c r="B1" s="1" t="s">
        <v>32</v>
      </c>
      <c r="C1" s="1" t="s">
        <v>33</v>
      </c>
      <c r="D1" s="1" t="s">
        <v>34</v>
      </c>
    </row>
    <row r="2" spans="1:4" x14ac:dyDescent="0.35">
      <c r="A2" s="1" t="s">
        <v>35</v>
      </c>
      <c r="B2" s="1">
        <v>31.7</v>
      </c>
      <c r="C2" s="1">
        <v>31.9</v>
      </c>
      <c r="D2" s="1">
        <v>31.2</v>
      </c>
    </row>
    <row r="3" spans="1:4" x14ac:dyDescent="0.35">
      <c r="A3" s="1" t="s">
        <v>36</v>
      </c>
      <c r="B3" s="1">
        <v>32.299999999999997</v>
      </c>
      <c r="C3" s="1">
        <v>32.1</v>
      </c>
      <c r="D3" s="1">
        <v>32.4</v>
      </c>
    </row>
    <row r="4" spans="1:4" x14ac:dyDescent="0.35">
      <c r="A4" s="1" t="s">
        <v>37</v>
      </c>
      <c r="B4" s="1">
        <v>32.6</v>
      </c>
      <c r="C4" s="1">
        <v>32.799999999999997</v>
      </c>
      <c r="D4" s="1">
        <v>32.5</v>
      </c>
    </row>
    <row r="5" spans="1:4" x14ac:dyDescent="0.35">
      <c r="A5" s="1" t="s">
        <v>38</v>
      </c>
      <c r="B5" s="1">
        <v>32.1</v>
      </c>
      <c r="C5" s="1">
        <v>32.5</v>
      </c>
      <c r="D5" s="1">
        <v>32.6</v>
      </c>
    </row>
    <row r="6" spans="1:4" x14ac:dyDescent="0.35">
      <c r="A6" s="1" t="s">
        <v>39</v>
      </c>
      <c r="B6" s="1">
        <v>31.4</v>
      </c>
      <c r="C6" s="1">
        <v>31.8</v>
      </c>
      <c r="D6" s="1">
        <v>31.8</v>
      </c>
    </row>
    <row r="7" spans="1:4" x14ac:dyDescent="0.35">
      <c r="A7" s="1" t="s">
        <v>40</v>
      </c>
      <c r="B7" s="1">
        <v>31.7</v>
      </c>
      <c r="C7" s="1">
        <v>31.4</v>
      </c>
      <c r="D7" s="1">
        <v>32.299999999999997</v>
      </c>
    </row>
    <row r="8" spans="1:4" x14ac:dyDescent="0.35">
      <c r="A8" s="1" t="s">
        <v>41</v>
      </c>
      <c r="B8" s="1">
        <v>32.200000000000003</v>
      </c>
      <c r="C8" s="1">
        <v>32</v>
      </c>
      <c r="D8" s="1">
        <v>32</v>
      </c>
    </row>
    <row r="9" spans="1:4" x14ac:dyDescent="0.35">
      <c r="A9" s="1" t="s">
        <v>42</v>
      </c>
      <c r="B9" s="1">
        <v>31.7</v>
      </c>
      <c r="C9" s="1">
        <v>31.2</v>
      </c>
      <c r="D9" s="1">
        <v>31.8</v>
      </c>
    </row>
    <row r="10" spans="1:4" x14ac:dyDescent="0.35">
      <c r="A10" s="1" t="s">
        <v>43</v>
      </c>
      <c r="B10" s="1">
        <v>31.5</v>
      </c>
      <c r="C10" s="1">
        <v>31.3</v>
      </c>
      <c r="D10" s="1">
        <v>31.9</v>
      </c>
    </row>
    <row r="11" spans="1:4" x14ac:dyDescent="0.35">
      <c r="A11" s="1" t="s">
        <v>44</v>
      </c>
      <c r="B11" s="1">
        <v>29.5</v>
      </c>
      <c r="C11" s="1">
        <v>29.3</v>
      </c>
      <c r="D11" s="1">
        <v>29.4</v>
      </c>
    </row>
    <row r="12" spans="1:4" x14ac:dyDescent="0.35">
      <c r="A12" s="1" t="s">
        <v>45</v>
      </c>
      <c r="B12" s="1">
        <v>31.6</v>
      </c>
      <c r="C12" s="1">
        <v>31.9</v>
      </c>
      <c r="D12" s="1">
        <v>31.3</v>
      </c>
    </row>
    <row r="13" spans="1:4" x14ac:dyDescent="0.35">
      <c r="A13" s="1" t="s">
        <v>46</v>
      </c>
      <c r="B13" s="1">
        <v>31.3</v>
      </c>
      <c r="C13" s="1">
        <v>31.4</v>
      </c>
      <c r="D13" s="1">
        <v>31.4</v>
      </c>
    </row>
    <row r="14" spans="1:4" x14ac:dyDescent="0.35">
      <c r="A14" s="1" t="s">
        <v>47</v>
      </c>
      <c r="B14" s="1">
        <v>32.299999999999997</v>
      </c>
      <c r="C14" s="1">
        <v>32.200000000000003</v>
      </c>
      <c r="D14" s="1">
        <v>32.5</v>
      </c>
    </row>
    <row r="15" spans="1:4" x14ac:dyDescent="0.35">
      <c r="A15" s="1" t="s">
        <v>48</v>
      </c>
      <c r="B15" s="1">
        <v>33.1</v>
      </c>
      <c r="C15" s="1">
        <v>32.9</v>
      </c>
      <c r="D15" s="1">
        <v>32.5</v>
      </c>
    </row>
    <row r="16" spans="1:4" x14ac:dyDescent="0.35">
      <c r="A16" s="1" t="s">
        <v>49</v>
      </c>
      <c r="B16" s="1">
        <v>31.3</v>
      </c>
      <c r="C16" s="1">
        <v>31.2</v>
      </c>
      <c r="D16" s="1">
        <v>31.4</v>
      </c>
    </row>
    <row r="17" spans="1:4" x14ac:dyDescent="0.35">
      <c r="A17" s="1" t="s">
        <v>50</v>
      </c>
      <c r="B17" s="1">
        <v>32.4</v>
      </c>
      <c r="C17" s="1">
        <v>31.8</v>
      </c>
      <c r="D17" s="1">
        <v>31.9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05FD7-5FD3-4077-BCC0-40FB42D797CF}">
  <dimension ref="A1:K17"/>
  <sheetViews>
    <sheetView workbookViewId="0">
      <selection activeCell="A18" sqref="A18"/>
    </sheetView>
  </sheetViews>
  <sheetFormatPr defaultColWidth="8.7265625" defaultRowHeight="14.5" x14ac:dyDescent="0.35"/>
  <cols>
    <col min="1" max="4" width="12" style="1" customWidth="1"/>
    <col min="5" max="5" width="18" style="1" customWidth="1"/>
    <col min="6" max="6" width="19" style="1" customWidth="1"/>
    <col min="7" max="7" width="25.81640625" style="1" customWidth="1"/>
    <col min="8" max="8" width="21" style="1" customWidth="1"/>
    <col min="9" max="9" width="27" style="1" bestFit="1" customWidth="1"/>
    <col min="10" max="10" width="23.90625" style="1" customWidth="1"/>
    <col min="11" max="11" width="17.1796875" style="1" bestFit="1" customWidth="1"/>
    <col min="12" max="16384" width="8.7265625" style="1"/>
  </cols>
  <sheetData>
    <row r="1" spans="1:11" ht="29" x14ac:dyDescent="0.35">
      <c r="A1" s="5" t="s">
        <v>0</v>
      </c>
      <c r="B1" s="5" t="s">
        <v>32</v>
      </c>
      <c r="C1" s="5" t="s">
        <v>33</v>
      </c>
      <c r="D1" s="5" t="s">
        <v>34</v>
      </c>
      <c r="E1" s="5" t="s">
        <v>51</v>
      </c>
      <c r="F1" s="6" t="s">
        <v>52</v>
      </c>
      <c r="G1" s="6" t="s">
        <v>53</v>
      </c>
      <c r="H1" s="6" t="s">
        <v>54</v>
      </c>
      <c r="I1" s="6" t="s">
        <v>55</v>
      </c>
      <c r="J1" s="5" t="s">
        <v>56</v>
      </c>
      <c r="K1" s="5" t="s">
        <v>57</v>
      </c>
    </row>
    <row r="2" spans="1:11" x14ac:dyDescent="0.35">
      <c r="A2" s="1" t="s">
        <v>35</v>
      </c>
      <c r="B2" s="1">
        <v>31.7</v>
      </c>
      <c r="C2" s="1">
        <v>31.9</v>
      </c>
      <c r="D2" s="1">
        <v>31.2</v>
      </c>
      <c r="E2" s="1">
        <f t="shared" ref="E2:E17" si="0">MEDIAN(B2:D2)</f>
        <v>31.7</v>
      </c>
      <c r="F2" s="7">
        <f>_xlfn.STDEV.S(B2:D2)</f>
        <v>0.36055512754639862</v>
      </c>
      <c r="I2" s="1" t="str">
        <f t="shared" ref="I2:I17" si="1">IF(G2="","",E2-G2)</f>
        <v/>
      </c>
      <c r="J2" s="1" t="str">
        <f t="shared" ref="J2:J17" si="2">IF(H2="","",I2/H2)</f>
        <v/>
      </c>
      <c r="K2" s="1" t="str">
        <f t="shared" ref="K2:K17" si="3">IF(J2="","Insufficient history",IF(J2&lt;=-2,"Meaningful Drop",IF(J2&lt;=-1,"Watch",IF(J2&gt;=2,"Very Fresh",IF(J2&gt;=1,"Fresh","Normal")))))</f>
        <v>Insufficient history</v>
      </c>
    </row>
    <row r="3" spans="1:11" x14ac:dyDescent="0.35">
      <c r="A3" s="1" t="s">
        <v>36</v>
      </c>
      <c r="B3" s="1">
        <v>32.299999999999997</v>
      </c>
      <c r="C3" s="1">
        <v>32.1</v>
      </c>
      <c r="D3" s="1">
        <v>32.4</v>
      </c>
      <c r="E3" s="1">
        <f t="shared" si="0"/>
        <v>32.299999999999997</v>
      </c>
      <c r="F3" s="7">
        <f t="shared" ref="F3:F17" si="4">_xlfn.STDEV.S(B3:D3)</f>
        <v>0.15275252316519294</v>
      </c>
      <c r="I3" s="1" t="str">
        <f t="shared" si="1"/>
        <v/>
      </c>
      <c r="J3" s="1" t="str">
        <f t="shared" si="2"/>
        <v/>
      </c>
      <c r="K3" s="1" t="str">
        <f t="shared" si="3"/>
        <v>Insufficient history</v>
      </c>
    </row>
    <row r="4" spans="1:11" x14ac:dyDescent="0.35">
      <c r="A4" s="1" t="s">
        <v>37</v>
      </c>
      <c r="B4" s="1">
        <v>32.6</v>
      </c>
      <c r="C4" s="1">
        <v>32.799999999999997</v>
      </c>
      <c r="D4" s="1">
        <v>32.5</v>
      </c>
      <c r="E4" s="1">
        <f t="shared" si="0"/>
        <v>32.6</v>
      </c>
      <c r="F4" s="7">
        <f t="shared" si="4"/>
        <v>0.15275252316519294</v>
      </c>
      <c r="I4" s="1" t="str">
        <f t="shared" si="1"/>
        <v/>
      </c>
      <c r="J4" s="1" t="str">
        <f t="shared" si="2"/>
        <v/>
      </c>
      <c r="K4" s="1" t="str">
        <f t="shared" si="3"/>
        <v>Insufficient history</v>
      </c>
    </row>
    <row r="5" spans="1:11" x14ac:dyDescent="0.35">
      <c r="A5" s="1" t="s">
        <v>38</v>
      </c>
      <c r="B5" s="1">
        <v>32.1</v>
      </c>
      <c r="C5" s="1">
        <v>32.5</v>
      </c>
      <c r="D5" s="1">
        <v>32.6</v>
      </c>
      <c r="E5" s="1">
        <f t="shared" si="0"/>
        <v>32.5</v>
      </c>
      <c r="F5" s="7">
        <f t="shared" si="4"/>
        <v>0.26457513110645881</v>
      </c>
      <c r="I5" s="1" t="str">
        <f t="shared" si="1"/>
        <v/>
      </c>
      <c r="J5" s="1" t="str">
        <f t="shared" si="2"/>
        <v/>
      </c>
      <c r="K5" s="1" t="str">
        <f t="shared" si="3"/>
        <v>Insufficient history</v>
      </c>
    </row>
    <row r="6" spans="1:11" x14ac:dyDescent="0.35">
      <c r="A6" s="1" t="s">
        <v>39</v>
      </c>
      <c r="B6" s="1">
        <v>31.4</v>
      </c>
      <c r="C6" s="1">
        <v>31.8</v>
      </c>
      <c r="D6" s="1">
        <v>31.8</v>
      </c>
      <c r="E6" s="1">
        <f t="shared" si="0"/>
        <v>31.8</v>
      </c>
      <c r="F6" s="7">
        <f t="shared" si="4"/>
        <v>0.23094010767585155</v>
      </c>
      <c r="G6" s="7">
        <f>MEDIAN(E2:E5)</f>
        <v>32.4</v>
      </c>
      <c r="H6" s="7">
        <f>_xlfn.STDEV.S(E2:E5)</f>
        <v>0.40311288741492812</v>
      </c>
      <c r="I6" s="7">
        <f t="shared" si="1"/>
        <v>-0.59999999999999787</v>
      </c>
      <c r="J6" s="7">
        <f>IF(H6="","",I6/ReadinessTable[[#This Row],[Typical_SD (median of last 4)]])</f>
        <v>-1.4884168150704937</v>
      </c>
      <c r="K6" s="1" t="str">
        <f t="shared" si="3"/>
        <v>Watch</v>
      </c>
    </row>
    <row r="7" spans="1:11" x14ac:dyDescent="0.35">
      <c r="A7" s="1" t="s">
        <v>40</v>
      </c>
      <c r="B7" s="1">
        <v>31.7</v>
      </c>
      <c r="C7" s="1">
        <v>31.4</v>
      </c>
      <c r="D7" s="1">
        <v>32.299999999999997</v>
      </c>
      <c r="E7" s="1">
        <f t="shared" si="0"/>
        <v>31.7</v>
      </c>
      <c r="F7" s="7">
        <f t="shared" si="4"/>
        <v>0.45825756949558316</v>
      </c>
      <c r="G7" s="7">
        <f t="shared" ref="G7:G17" si="5">MEDIAN(E3:E6)</f>
        <v>32.4</v>
      </c>
      <c r="H7" s="7">
        <f t="shared" ref="H7:H17" si="6">_xlfn.STDEV.S(E3:E6)</f>
        <v>0.35590260840104376</v>
      </c>
      <c r="I7" s="7">
        <f t="shared" si="1"/>
        <v>-0.69999999999999929</v>
      </c>
      <c r="J7" s="7">
        <f t="shared" si="2"/>
        <v>-1.9668302043215551</v>
      </c>
      <c r="K7" s="1" t="str">
        <f t="shared" si="3"/>
        <v>Watch</v>
      </c>
    </row>
    <row r="8" spans="1:11" x14ac:dyDescent="0.35">
      <c r="A8" s="1" t="s">
        <v>41</v>
      </c>
      <c r="B8" s="1">
        <v>32.200000000000003</v>
      </c>
      <c r="C8" s="1">
        <v>32</v>
      </c>
      <c r="D8" s="1">
        <v>32</v>
      </c>
      <c r="E8" s="1">
        <f t="shared" si="0"/>
        <v>32</v>
      </c>
      <c r="F8" s="7">
        <f t="shared" si="4"/>
        <v>0.1154700538379268</v>
      </c>
      <c r="G8" s="7">
        <f t="shared" si="5"/>
        <v>32.15</v>
      </c>
      <c r="H8" s="7">
        <f t="shared" si="6"/>
        <v>0.46547466812563187</v>
      </c>
      <c r="I8" s="7">
        <f>IF(G8="","",E8-G8)</f>
        <v>-0.14999999999999858</v>
      </c>
      <c r="J8" s="7">
        <f t="shared" si="2"/>
        <v>-0.32225169331774139</v>
      </c>
      <c r="K8" s="1" t="str">
        <f t="shared" si="3"/>
        <v>Normal</v>
      </c>
    </row>
    <row r="9" spans="1:11" x14ac:dyDescent="0.35">
      <c r="A9" s="1" t="s">
        <v>42</v>
      </c>
      <c r="B9" s="1">
        <v>31.7</v>
      </c>
      <c r="C9" s="1">
        <v>31.2</v>
      </c>
      <c r="D9" s="1">
        <v>31.8</v>
      </c>
      <c r="E9" s="1">
        <f t="shared" si="0"/>
        <v>31.7</v>
      </c>
      <c r="F9" s="7">
        <f t="shared" si="4"/>
        <v>0.32145502536643233</v>
      </c>
      <c r="G9" s="7">
        <f t="shared" si="5"/>
        <v>31.9</v>
      </c>
      <c r="H9" s="7">
        <f t="shared" si="6"/>
        <v>0.35590260840104376</v>
      </c>
      <c r="I9" s="7">
        <f t="shared" si="1"/>
        <v>-0.19999999999999929</v>
      </c>
      <c r="J9" s="7">
        <f t="shared" si="2"/>
        <v>-0.56195148694901431</v>
      </c>
      <c r="K9" s="1" t="str">
        <f t="shared" si="3"/>
        <v>Normal</v>
      </c>
    </row>
    <row r="10" spans="1:11" x14ac:dyDescent="0.35">
      <c r="A10" s="1" t="s">
        <v>43</v>
      </c>
      <c r="B10" s="1">
        <v>31.5</v>
      </c>
      <c r="C10" s="1">
        <v>31.3</v>
      </c>
      <c r="D10" s="1">
        <v>31.9</v>
      </c>
      <c r="E10" s="1">
        <f t="shared" si="0"/>
        <v>31.5</v>
      </c>
      <c r="F10" s="7">
        <f t="shared" si="4"/>
        <v>0.30550504633038827</v>
      </c>
      <c r="G10" s="7">
        <f t="shared" si="5"/>
        <v>31.75</v>
      </c>
      <c r="H10" s="7">
        <f t="shared" si="6"/>
        <v>0.14142135623730984</v>
      </c>
      <c r="I10" s="7">
        <f t="shared" si="1"/>
        <v>-0.25</v>
      </c>
      <c r="J10" s="7">
        <f t="shared" si="2"/>
        <v>-1.7677669529663647</v>
      </c>
      <c r="K10" s="1" t="str">
        <f t="shared" si="3"/>
        <v>Watch</v>
      </c>
    </row>
    <row r="11" spans="1:11" x14ac:dyDescent="0.35">
      <c r="A11" s="1" t="s">
        <v>44</v>
      </c>
      <c r="B11" s="1">
        <v>29.5</v>
      </c>
      <c r="C11" s="1">
        <v>29.3</v>
      </c>
      <c r="D11" s="1">
        <v>29.4</v>
      </c>
      <c r="E11" s="1">
        <f t="shared" si="0"/>
        <v>29.4</v>
      </c>
      <c r="F11" s="7">
        <f t="shared" si="4"/>
        <v>9.9999999999999645E-2</v>
      </c>
      <c r="G11" s="7">
        <f t="shared" si="5"/>
        <v>31.7</v>
      </c>
      <c r="H11" s="7">
        <f t="shared" si="6"/>
        <v>0.20615528128088309</v>
      </c>
      <c r="I11" s="7">
        <f t="shared" si="1"/>
        <v>-2.3000000000000007</v>
      </c>
      <c r="J11" s="7">
        <f t="shared" si="2"/>
        <v>-11.156638751671316</v>
      </c>
      <c r="K11" s="1" t="str">
        <f t="shared" si="3"/>
        <v>Meaningful Drop</v>
      </c>
    </row>
    <row r="12" spans="1:11" x14ac:dyDescent="0.35">
      <c r="A12" s="1" t="s">
        <v>45</v>
      </c>
      <c r="B12" s="1">
        <v>31.6</v>
      </c>
      <c r="C12" s="1">
        <v>31.9</v>
      </c>
      <c r="D12" s="1">
        <v>31.3</v>
      </c>
      <c r="E12" s="1">
        <f t="shared" si="0"/>
        <v>31.6</v>
      </c>
      <c r="F12" s="7">
        <f t="shared" si="4"/>
        <v>0.29999999999999893</v>
      </c>
      <c r="G12" s="7">
        <f t="shared" si="5"/>
        <v>31.6</v>
      </c>
      <c r="H12" s="7">
        <f t="shared" si="6"/>
        <v>1.1846237095944581</v>
      </c>
      <c r="I12" s="7">
        <f t="shared" si="1"/>
        <v>0</v>
      </c>
      <c r="J12" s="7">
        <f t="shared" si="2"/>
        <v>0</v>
      </c>
      <c r="K12" s="1" t="str">
        <f t="shared" si="3"/>
        <v>Normal</v>
      </c>
    </row>
    <row r="13" spans="1:11" x14ac:dyDescent="0.35">
      <c r="A13" s="1" t="s">
        <v>46</v>
      </c>
      <c r="B13" s="1">
        <v>31.3</v>
      </c>
      <c r="C13" s="1">
        <v>31.4</v>
      </c>
      <c r="D13" s="1">
        <v>31.4</v>
      </c>
      <c r="E13" s="1">
        <f t="shared" si="0"/>
        <v>31.4</v>
      </c>
      <c r="F13" s="7">
        <f t="shared" si="4"/>
        <v>5.7735026918961339E-2</v>
      </c>
      <c r="G13" s="7">
        <f t="shared" si="5"/>
        <v>31.55</v>
      </c>
      <c r="H13" s="7">
        <f t="shared" si="6"/>
        <v>1.1030261405182873</v>
      </c>
      <c r="I13" s="7">
        <f t="shared" si="1"/>
        <v>-0.15000000000000213</v>
      </c>
      <c r="J13" s="7">
        <f t="shared" si="2"/>
        <v>-0.1359895241734892</v>
      </c>
      <c r="K13" s="1" t="str">
        <f t="shared" si="3"/>
        <v>Normal</v>
      </c>
    </row>
    <row r="14" spans="1:11" x14ac:dyDescent="0.35">
      <c r="A14" s="1" t="s">
        <v>47</v>
      </c>
      <c r="B14" s="1">
        <v>32.299999999999997</v>
      </c>
      <c r="C14" s="1">
        <v>32.200000000000003</v>
      </c>
      <c r="D14" s="1">
        <v>32.5</v>
      </c>
      <c r="E14" s="1">
        <f t="shared" si="0"/>
        <v>32.299999999999997</v>
      </c>
      <c r="F14" s="7">
        <f t="shared" si="4"/>
        <v>0.15275252316519375</v>
      </c>
      <c r="G14" s="7">
        <f t="shared" si="5"/>
        <v>31.45</v>
      </c>
      <c r="H14" s="7">
        <f t="shared" si="6"/>
        <v>1.0531698185319727</v>
      </c>
      <c r="I14" s="7">
        <f t="shared" si="1"/>
        <v>0.84999999999999787</v>
      </c>
      <c r="J14" s="7">
        <f t="shared" si="2"/>
        <v>0.80708731397641464</v>
      </c>
      <c r="K14" s="1" t="str">
        <f t="shared" si="3"/>
        <v>Normal</v>
      </c>
    </row>
    <row r="15" spans="1:11" x14ac:dyDescent="0.35">
      <c r="A15" s="1" t="s">
        <v>48</v>
      </c>
      <c r="B15" s="1">
        <v>33.1</v>
      </c>
      <c r="C15" s="1">
        <v>32.9</v>
      </c>
      <c r="D15" s="1">
        <v>32.5</v>
      </c>
      <c r="E15" s="1">
        <f t="shared" si="0"/>
        <v>32.9</v>
      </c>
      <c r="F15" s="7">
        <f t="shared" si="4"/>
        <v>0.30550504633038977</v>
      </c>
      <c r="G15" s="7">
        <f t="shared" si="5"/>
        <v>31.5</v>
      </c>
      <c r="H15" s="7">
        <f t="shared" si="6"/>
        <v>1.2446552400832394</v>
      </c>
      <c r="I15" s="7">
        <f t="shared" si="1"/>
        <v>1.3999999999999986</v>
      </c>
      <c r="J15" s="7">
        <f t="shared" si="2"/>
        <v>1.1248094692522004</v>
      </c>
      <c r="K15" s="1" t="str">
        <f t="shared" si="3"/>
        <v>Fresh</v>
      </c>
    </row>
    <row r="16" spans="1:11" x14ac:dyDescent="0.35">
      <c r="A16" s="1" t="s">
        <v>49</v>
      </c>
      <c r="B16" s="1">
        <v>31.3</v>
      </c>
      <c r="C16" s="1">
        <v>31.2</v>
      </c>
      <c r="D16" s="1">
        <v>31.4</v>
      </c>
      <c r="E16" s="1">
        <f t="shared" si="0"/>
        <v>31.3</v>
      </c>
      <c r="F16" s="7">
        <f t="shared" si="4"/>
        <v>9.9999999999999645E-2</v>
      </c>
      <c r="G16" s="7">
        <f t="shared" si="5"/>
        <v>31.95</v>
      </c>
      <c r="H16" s="7">
        <f t="shared" si="6"/>
        <v>0.68556546004010355</v>
      </c>
      <c r="I16" s="7">
        <f t="shared" si="1"/>
        <v>-0.64999999999999858</v>
      </c>
      <c r="J16" s="7">
        <f t="shared" si="2"/>
        <v>-0.94812244473631369</v>
      </c>
      <c r="K16" s="1" t="str">
        <f t="shared" si="3"/>
        <v>Normal</v>
      </c>
    </row>
    <row r="17" spans="1:11" x14ac:dyDescent="0.35">
      <c r="A17" s="1" t="s">
        <v>50</v>
      </c>
      <c r="B17" s="1">
        <v>32.4</v>
      </c>
      <c r="C17" s="1">
        <v>31.8</v>
      </c>
      <c r="D17" s="1">
        <v>31.9</v>
      </c>
      <c r="E17" s="1">
        <f t="shared" si="0"/>
        <v>31.9</v>
      </c>
      <c r="F17" s="7">
        <f t="shared" si="4"/>
        <v>0.32145502536643106</v>
      </c>
      <c r="G17" s="7">
        <f t="shared" si="5"/>
        <v>31.849999999999998</v>
      </c>
      <c r="H17" s="7">
        <f t="shared" si="6"/>
        <v>0.76321687612368661</v>
      </c>
      <c r="I17" s="7">
        <f t="shared" si="1"/>
        <v>5.0000000000000711E-2</v>
      </c>
      <c r="J17" s="7">
        <f t="shared" si="2"/>
        <v>6.5512178208042837E-2</v>
      </c>
      <c r="K17" s="1" t="str">
        <f t="shared" si="3"/>
        <v>Normal</v>
      </c>
    </row>
  </sheetData>
  <conditionalFormatting sqref="K2:K17">
    <cfRule type="expression" dxfId="3" priority="1">
      <formula>ISNUMBER(SEARCH("Very Fresh",K2))</formula>
    </cfRule>
    <cfRule type="expression" dxfId="2" priority="2">
      <formula>ISNUMBER(SEARCH("Fresh",K2))</formula>
    </cfRule>
    <cfRule type="expression" dxfId="1" priority="3">
      <formula>ISNUMBER(SEARCH("Watch",K2))</formula>
    </cfRule>
    <cfRule type="expression" dxfId="0" priority="4">
      <formula>ISNUMBER(SEARCH("Drop",K2))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CV</vt:lpstr>
      <vt:lpstr>CV_Answers</vt:lpstr>
      <vt:lpstr>Performance_Prev_Base</vt:lpstr>
      <vt:lpstr>Performance_Answers</vt:lpstr>
      <vt:lpstr>Readiness</vt:lpstr>
      <vt:lpstr>Readiness_Answers</vt:lpstr>
    </vt:vector>
  </TitlesOfParts>
  <Company>Middlesex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Turner</dc:creator>
  <cp:lastModifiedBy>Anthony Turner</cp:lastModifiedBy>
  <dcterms:created xsi:type="dcterms:W3CDTF">2026-02-20T12:19:11Z</dcterms:created>
  <dcterms:modified xsi:type="dcterms:W3CDTF">2026-02-20T12:30:07Z</dcterms:modified>
</cp:coreProperties>
</file>