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31a8765d0ce8fd6/Desktop/Fin. Docs/GigaCloud Tech DCF/"/>
    </mc:Choice>
  </mc:AlternateContent>
  <xr:revisionPtr revIDLastSave="39" documentId="8_{B96B256D-F3F0-48B5-99E9-F5FFB8BA458E}" xr6:coauthVersionLast="47" xr6:coauthVersionMax="47" xr10:uidLastSave="{985B1365-6359-4A18-A081-9E219815345C}"/>
  <bookViews>
    <workbookView xWindow="-108" yWindow="-108" windowWidth="23256" windowHeight="12456" activeTab="1" xr2:uid="{E3F01AC6-E709-49E5-8D6E-8BD9034883EE}"/>
  </bookViews>
  <sheets>
    <sheet name="Assumptions" sheetId="4" r:id="rId1"/>
    <sheet name="DCF Model" sheetId="8" r:id="rId2"/>
    <sheet name="WACC" sheetId="16" r:id="rId3"/>
    <sheet name="Income Statement" sheetId="9" r:id="rId4"/>
    <sheet name="Revenue Division" sheetId="13" r:id="rId5"/>
    <sheet name="Cash Flow Statement" sheetId="10" r:id="rId6"/>
    <sheet name="Supplementary Schedule" sheetId="18" r:id="rId7"/>
  </sheets>
  <definedNames>
    <definedName name="_xlnm._FilterDatabase" localSheetId="3" hidden="1">'Income Statement'!$B$7:$F$45</definedName>
    <definedName name="_xlnm._FilterDatabase" localSheetId="4" hidden="1">'Revenue Division'!$B$6:$F$37</definedName>
    <definedName name="TGR">'DCF Model'!$C$10</definedName>
    <definedName name="WACC">'DCF Model'!$C$9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2" i="8" l="1"/>
  <c r="J37" i="8"/>
  <c r="I59" i="8" l="1"/>
  <c r="H59" i="8"/>
  <c r="G59" i="8"/>
  <c r="I56" i="8"/>
  <c r="H56" i="8"/>
  <c r="G56" i="8"/>
  <c r="I53" i="8"/>
  <c r="H53" i="8"/>
  <c r="G53" i="8"/>
  <c r="J16" i="18"/>
  <c r="I16" i="18"/>
  <c r="H16" i="18"/>
  <c r="J17" i="18"/>
  <c r="I17" i="18"/>
  <c r="H17" i="18"/>
  <c r="G17" i="18"/>
  <c r="G16" i="18"/>
  <c r="F17" i="18"/>
  <c r="E17" i="18"/>
  <c r="D17" i="18"/>
  <c r="H15" i="18"/>
  <c r="I15" i="18" s="1"/>
  <c r="J15" i="18" s="1"/>
  <c r="C8" i="18"/>
  <c r="G50" i="8" s="1"/>
  <c r="D8" i="18"/>
  <c r="H50" i="8" s="1"/>
  <c r="E8" i="18"/>
  <c r="I50" i="8" s="1"/>
  <c r="H7" i="18"/>
  <c r="I7" i="18" s="1"/>
  <c r="J7" i="18" s="1"/>
  <c r="C10" i="8"/>
  <c r="N94" i="8"/>
  <c r="J56" i="8" l="1"/>
  <c r="N56" i="8" s="1"/>
  <c r="J59" i="8"/>
  <c r="K59" i="8" s="1"/>
  <c r="K58" i="8" s="1"/>
  <c r="J53" i="8"/>
  <c r="N53" i="8" s="1"/>
  <c r="N52" i="8" s="1"/>
  <c r="J50" i="8"/>
  <c r="K50" i="8" s="1"/>
  <c r="L50" i="8" s="1"/>
  <c r="E9" i="18"/>
  <c r="D9" i="18"/>
  <c r="K12" i="8"/>
  <c r="L12" i="8" s="1"/>
  <c r="M12" i="8" s="1"/>
  <c r="N12" i="8" s="1"/>
  <c r="C15" i="16"/>
  <c r="C8" i="16"/>
  <c r="C18" i="16"/>
  <c r="C14" i="16" s="1"/>
  <c r="C13" i="16"/>
  <c r="C6" i="16"/>
  <c r="I11" i="13"/>
  <c r="J11" i="13" s="1"/>
  <c r="F18" i="8" s="1"/>
  <c r="I10" i="13"/>
  <c r="J10" i="13" s="1"/>
  <c r="G18" i="8" s="1"/>
  <c r="I9" i="13"/>
  <c r="J9" i="13" s="1"/>
  <c r="H18" i="8" s="1"/>
  <c r="I8" i="13"/>
  <c r="J8" i="13" s="1"/>
  <c r="I18" i="8" s="1"/>
  <c r="H10" i="13"/>
  <c r="H11" i="13" s="1"/>
  <c r="H9" i="13"/>
  <c r="F81" i="8"/>
  <c r="I81" i="8"/>
  <c r="H81" i="8"/>
  <c r="G81" i="8"/>
  <c r="I78" i="8"/>
  <c r="H78" i="8"/>
  <c r="G78" i="8"/>
  <c r="F78" i="8"/>
  <c r="I75" i="8"/>
  <c r="H75" i="8"/>
  <c r="G75" i="8"/>
  <c r="F75" i="8"/>
  <c r="G73" i="8"/>
  <c r="H73" i="8" s="1"/>
  <c r="I73" i="8" s="1"/>
  <c r="K73" i="8" s="1"/>
  <c r="L73" i="8" s="1"/>
  <c r="M73" i="8" s="1"/>
  <c r="N73" i="8" s="1"/>
  <c r="I67" i="8"/>
  <c r="H67" i="8"/>
  <c r="G67" i="8"/>
  <c r="F67" i="8"/>
  <c r="I40" i="8"/>
  <c r="I62" i="8" s="1"/>
  <c r="H40" i="8"/>
  <c r="H62" i="8" s="1"/>
  <c r="G40" i="8"/>
  <c r="G62" i="8" s="1"/>
  <c r="F40" i="8"/>
  <c r="F62" i="8" s="1"/>
  <c r="I31" i="8"/>
  <c r="H31" i="8"/>
  <c r="G31" i="8"/>
  <c r="F31" i="8"/>
  <c r="G14" i="8"/>
  <c r="H14" i="8" s="1"/>
  <c r="I14" i="8" s="1"/>
  <c r="K14" i="8" s="1"/>
  <c r="L14" i="8" s="1"/>
  <c r="M14" i="8" s="1"/>
  <c r="N14" i="8" s="1"/>
  <c r="N59" i="8" l="1"/>
  <c r="M59" i="8"/>
  <c r="M56" i="8"/>
  <c r="L59" i="8"/>
  <c r="L58" i="8" s="1"/>
  <c r="L56" i="8"/>
  <c r="J62" i="8"/>
  <c r="K62" i="8" s="1"/>
  <c r="K61" i="8" s="1"/>
  <c r="K56" i="8"/>
  <c r="K55" i="8" s="1"/>
  <c r="L55" i="8" s="1"/>
  <c r="M53" i="8"/>
  <c r="M52" i="8" s="1"/>
  <c r="L53" i="8"/>
  <c r="L52" i="8" s="1"/>
  <c r="K53" i="8"/>
  <c r="K52" i="8" s="1"/>
  <c r="F9" i="18"/>
  <c r="G9" i="18" s="1"/>
  <c r="H9" i="18" s="1"/>
  <c r="I9" i="18" s="1"/>
  <c r="J9" i="18" s="1"/>
  <c r="M50" i="8"/>
  <c r="C7" i="16"/>
  <c r="H17" i="8"/>
  <c r="H19" i="8" s="1"/>
  <c r="H37" i="8" s="1"/>
  <c r="I17" i="8"/>
  <c r="I19" i="8" s="1"/>
  <c r="G17" i="8"/>
  <c r="G19" i="8" s="1"/>
  <c r="F17" i="8"/>
  <c r="F19" i="8" s="1"/>
  <c r="H46" i="8" l="1"/>
  <c r="H64" i="8" s="1"/>
  <c r="H65" i="8" s="1"/>
  <c r="H38" i="8"/>
  <c r="G79" i="8"/>
  <c r="G37" i="8"/>
  <c r="F20" i="8"/>
  <c r="F37" i="8"/>
  <c r="I79" i="8"/>
  <c r="I37" i="8"/>
  <c r="L62" i="8"/>
  <c r="M62" i="8" s="1"/>
  <c r="N62" i="8" s="1"/>
  <c r="M58" i="8"/>
  <c r="N58" i="8" s="1"/>
  <c r="M55" i="8"/>
  <c r="N55" i="8" s="1"/>
  <c r="G8" i="18"/>
  <c r="H8" i="18" s="1"/>
  <c r="N50" i="8"/>
  <c r="F32" i="8"/>
  <c r="F79" i="8"/>
  <c r="F76" i="8"/>
  <c r="F41" i="8"/>
  <c r="F82" i="8"/>
  <c r="F68" i="8"/>
  <c r="G68" i="8"/>
  <c r="H68" i="8"/>
  <c r="H32" i="8"/>
  <c r="H41" i="8"/>
  <c r="H20" i="8"/>
  <c r="G41" i="8"/>
  <c r="H76" i="8"/>
  <c r="G76" i="8"/>
  <c r="G20" i="8"/>
  <c r="H82" i="8"/>
  <c r="H79" i="8"/>
  <c r="G32" i="8"/>
  <c r="G82" i="8"/>
  <c r="I32" i="8"/>
  <c r="I68" i="8"/>
  <c r="I76" i="8"/>
  <c r="I82" i="8"/>
  <c r="I41" i="8"/>
  <c r="I20" i="8"/>
  <c r="J68" i="8" l="1"/>
  <c r="J82" i="8"/>
  <c r="K82" i="8" s="1"/>
  <c r="L82" i="8" s="1"/>
  <c r="M82" i="8" s="1"/>
  <c r="N82" i="8" s="1"/>
  <c r="G38" i="8"/>
  <c r="G46" i="8"/>
  <c r="G64" i="8" s="1"/>
  <c r="G65" i="8" s="1"/>
  <c r="I46" i="8"/>
  <c r="I64" i="8" s="1"/>
  <c r="I65" i="8" s="1"/>
  <c r="I38" i="8"/>
  <c r="F38" i="8"/>
  <c r="F46" i="8"/>
  <c r="L61" i="8"/>
  <c r="M61" i="8" s="1"/>
  <c r="N61" i="8" s="1"/>
  <c r="K49" i="8"/>
  <c r="I8" i="18"/>
  <c r="L49" i="8"/>
  <c r="J79" i="8"/>
  <c r="K79" i="8" s="1"/>
  <c r="L79" i="8" s="1"/>
  <c r="M79" i="8" s="1"/>
  <c r="N79" i="8" s="1"/>
  <c r="J76" i="8"/>
  <c r="K76" i="8" s="1"/>
  <c r="L76" i="8" s="1"/>
  <c r="M76" i="8" s="1"/>
  <c r="N76" i="8" s="1"/>
  <c r="J20" i="8"/>
  <c r="C8" i="4" s="1"/>
  <c r="C10" i="4" s="1"/>
  <c r="J41" i="8"/>
  <c r="C22" i="4" s="1"/>
  <c r="C23" i="4" s="1"/>
  <c r="C25" i="4" s="1"/>
  <c r="K37" i="4" s="1"/>
  <c r="J32" i="8"/>
  <c r="C15" i="4" s="1"/>
  <c r="H47" i="8"/>
  <c r="G47" i="8" l="1"/>
  <c r="G37" i="4"/>
  <c r="O37" i="4"/>
  <c r="N43" i="8"/>
  <c r="N41" i="8" s="1"/>
  <c r="M43" i="8"/>
  <c r="M41" i="8" s="1"/>
  <c r="L43" i="8"/>
  <c r="L41" i="8" s="1"/>
  <c r="K43" i="8"/>
  <c r="K41" i="8" s="1"/>
  <c r="I47" i="8"/>
  <c r="F47" i="8"/>
  <c r="F64" i="8"/>
  <c r="F65" i="8" s="1"/>
  <c r="J65" i="8" s="1"/>
  <c r="J8" i="18"/>
  <c r="N49" i="8" s="1"/>
  <c r="M49" i="8"/>
  <c r="C17" i="4"/>
  <c r="C19" i="4" s="1"/>
  <c r="K36" i="4" s="1"/>
  <c r="C12" i="4"/>
  <c r="K34" i="4" s="1"/>
  <c r="K68" i="8"/>
  <c r="L68" i="8" s="1"/>
  <c r="M68" i="8" s="1"/>
  <c r="N68" i="8" s="1"/>
  <c r="C16" i="16"/>
  <c r="C20" i="16" s="1"/>
  <c r="C9" i="8" s="1"/>
  <c r="D8" i="4"/>
  <c r="D10" i="4" s="1"/>
  <c r="I70" i="8"/>
  <c r="I71" i="8" s="1"/>
  <c r="H70" i="8"/>
  <c r="H71" i="8" s="1"/>
  <c r="G70" i="8"/>
  <c r="G71" i="8" s="1"/>
  <c r="J47" i="8" l="1"/>
  <c r="N44" i="8"/>
  <c r="M44" i="8"/>
  <c r="L44" i="8"/>
  <c r="K44" i="8"/>
  <c r="K42" i="8"/>
  <c r="N42" i="8"/>
  <c r="M42" i="8"/>
  <c r="L42" i="8"/>
  <c r="O36" i="4"/>
  <c r="G36" i="4"/>
  <c r="K34" i="8"/>
  <c r="N34" i="8"/>
  <c r="M34" i="8"/>
  <c r="L34" i="8"/>
  <c r="L25" i="8"/>
  <c r="N25" i="8"/>
  <c r="K25" i="8"/>
  <c r="O34" i="4"/>
  <c r="M25" i="8"/>
  <c r="G34" i="4"/>
  <c r="D12" i="4"/>
  <c r="K35" i="4" s="1"/>
  <c r="F70" i="8"/>
  <c r="F71" i="8" s="1"/>
  <c r="J71" i="8" s="1"/>
  <c r="K33" i="8" l="1"/>
  <c r="N33" i="8"/>
  <c r="M33" i="8"/>
  <c r="L33" i="8"/>
  <c r="L35" i="8"/>
  <c r="N35" i="8"/>
  <c r="M35" i="8"/>
  <c r="K35" i="8"/>
  <c r="L22" i="8"/>
  <c r="K28" i="8"/>
  <c r="M22" i="8"/>
  <c r="N22" i="8"/>
  <c r="N26" i="8"/>
  <c r="O35" i="4"/>
  <c r="K26" i="8"/>
  <c r="M26" i="8"/>
  <c r="G35" i="4"/>
  <c r="N23" i="8" s="1"/>
  <c r="L26" i="8"/>
  <c r="N28" i="8"/>
  <c r="L28" i="8"/>
  <c r="M28" i="8"/>
  <c r="K22" i="8"/>
  <c r="K17" i="8" s="1" a="1"/>
  <c r="K17" i="8" s="1"/>
  <c r="L32" i="8" l="1"/>
  <c r="M32" i="8"/>
  <c r="N32" i="8"/>
  <c r="K32" i="8"/>
  <c r="L29" i="8"/>
  <c r="M29" i="8"/>
  <c r="N29" i="8"/>
  <c r="K29" i="8"/>
  <c r="K23" i="8"/>
  <c r="L23" i="8"/>
  <c r="M23" i="8"/>
  <c r="L17" i="8" a="1"/>
  <c r="L17" i="8" s="1"/>
  <c r="K18" i="8" l="1" a="1"/>
  <c r="K18" i="8" s="1"/>
  <c r="L18" i="8" s="1" a="1"/>
  <c r="L18" i="8" s="1"/>
  <c r="M18" i="8" s="1" a="1"/>
  <c r="M18" i="8" s="1"/>
  <c r="N18" i="8" s="1" a="1"/>
  <c r="N18" i="8" s="1"/>
  <c r="M17" i="8" a="1"/>
  <c r="M17" i="8" s="1"/>
  <c r="L19" i="8" l="1"/>
  <c r="K19" i="8"/>
  <c r="N17" i="8" a="1"/>
  <c r="N17" i="8" s="1"/>
  <c r="N19" i="8" s="1"/>
  <c r="M19" i="8"/>
  <c r="M31" i="8" l="1"/>
  <c r="M37" i="8" s="1"/>
  <c r="M38" i="8" s="1"/>
  <c r="M40" i="8"/>
  <c r="K81" i="8"/>
  <c r="K40" i="8"/>
  <c r="N31" i="8"/>
  <c r="N37" i="8" s="1"/>
  <c r="N38" i="8" s="1"/>
  <c r="N40" i="8"/>
  <c r="L31" i="8"/>
  <c r="L37" i="8" s="1"/>
  <c r="L38" i="8" s="1"/>
  <c r="L40" i="8"/>
  <c r="K75" i="8"/>
  <c r="L75" i="8"/>
  <c r="L81" i="8"/>
  <c r="L78" i="8"/>
  <c r="L67" i="8"/>
  <c r="K67" i="8"/>
  <c r="K31" i="8"/>
  <c r="K37" i="8" s="1"/>
  <c r="K78" i="8"/>
  <c r="M81" i="8"/>
  <c r="M75" i="8"/>
  <c r="M67" i="8"/>
  <c r="M78" i="8"/>
  <c r="N81" i="8"/>
  <c r="N75" i="8"/>
  <c r="N67" i="8"/>
  <c r="N78" i="8"/>
  <c r="M46" i="8" l="1"/>
  <c r="N46" i="8"/>
  <c r="L46" i="8"/>
  <c r="L64" i="8" s="1"/>
  <c r="K38" i="8"/>
  <c r="K46" i="8"/>
  <c r="K47" i="8" s="1"/>
  <c r="K64" i="8" l="1"/>
  <c r="K65" i="8" s="1"/>
  <c r="L47" i="8"/>
  <c r="L70" i="8"/>
  <c r="L65" i="8"/>
  <c r="M47" i="8"/>
  <c r="M64" i="8"/>
  <c r="N47" i="8"/>
  <c r="N64" i="8"/>
  <c r="K70" i="8" l="1"/>
  <c r="K71" i="8" s="1"/>
  <c r="M70" i="8"/>
  <c r="M65" i="8"/>
  <c r="L71" i="8"/>
  <c r="L84" i="8"/>
  <c r="L86" i="8" s="1"/>
  <c r="N70" i="8"/>
  <c r="N84" i="8" s="1"/>
  <c r="N65" i="8"/>
  <c r="K84" i="8" l="1"/>
  <c r="K86" i="8" s="1"/>
  <c r="N71" i="8"/>
  <c r="M71" i="8"/>
  <c r="M84" i="8"/>
  <c r="M86" i="8" s="1"/>
  <c r="N88" i="8"/>
  <c r="N89" i="8" s="1"/>
  <c r="N86" i="8"/>
  <c r="N90" i="8" l="1"/>
  <c r="N93" i="8" l="1"/>
  <c r="N96" i="8" s="1"/>
  <c r="F5" i="8" s="1"/>
  <c r="F7" i="8" l="1"/>
  <c r="F8" i="8" s="1"/>
  <c r="E105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430C04-70F3-4422-9A0C-162AAA700748}" keepAlive="1" name="Query - Table060 (Page 113)" description="Connection to the 'Table060 (Page 113)' query in the workbook." type="5" refreshedVersion="0" background="1" saveData="1">
    <dbPr connection="Provider=Microsoft.Mashup.OleDb.1;Data Source=$Workbook$;Location=&quot;Table060 (Page 113)&quot;;Extended Properties=&quot;&quot;" command="SELECT * FROM [Table060 (Page 113)]"/>
  </connection>
  <connection id="2" xr16:uid="{FF21489E-2E91-4D4E-B514-AB646107A6AA}" keepAlive="1" name="Query - Table067 (Page 97)" description="Connection to the 'Table067 (Page 97)' query in the workbook." type="5" refreshedVersion="0" background="1" saveData="1">
    <dbPr connection="Provider=Microsoft.Mashup.OleDb.1;Data Source=$Workbook$;Location=&quot;Table067 (Page 97)&quot;;Extended Properties=&quot;&quot;" command="SELECT * FROM [Table067 (Page 97)]"/>
  </connection>
  <connection id="3" xr16:uid="{B584C0C6-5DE4-46B5-806A-FFC8DC10FCAF}" keepAlive="1" name="Query - Table072 (Page 117)" description="Connection to the 'Table072 (Page 117)' query in the workbook." type="5" refreshedVersion="0" background="1" saveData="1">
    <dbPr connection="Provider=Microsoft.Mashup.OleDb.1;Data Source=$Workbook$;Location=&quot;Table072 (Page 117)&quot;;Extended Properties=&quot;&quot;" command="SELECT * FROM [Table072 (Page 117)]"/>
  </connection>
  <connection id="4" xr16:uid="{6ADE0FFF-D2BE-4DE4-A83B-C3747A925D17}" keepAlive="1" name="Query - Table073 (Page 118)" description="Connection to the 'Table073 (Page 118)' query in the workbook." type="5" refreshedVersion="0" background="1" saveData="1">
    <dbPr connection="Provider=Microsoft.Mashup.OleDb.1;Data Source=$Workbook$;Location=&quot;Table073 (Page 118)&quot;;Extended Properties=&quot;&quot;" command="SELECT * FROM [Table073 (Page 118)]"/>
  </connection>
  <connection id="5" xr16:uid="{72A48B4B-EAE2-4056-8396-5EB361A51E3C}" keepAlive="1" name="Query - Table080 (Page 101)" description="Connection to the 'Table080 (Page 101)' query in the workbook." type="5" refreshedVersion="0" background="1" saveData="1">
    <dbPr connection="Provider=Microsoft.Mashup.OleDb.1;Data Source=$Workbook$;Location=&quot;Table080 (Page 101)&quot;;Extended Properties=&quot;&quot;" command="SELECT * FROM [Table080 (Page 101)]"/>
  </connection>
  <connection id="6" xr16:uid="{20F17CD4-E092-404A-9A71-787635B61E55}" keepAlive="1" name="Query - Table081 (Page 102)" description="Connection to the 'Table081 (Page 102)' query in the workbook." type="5" refreshedVersion="0" background="1" saveData="1">
    <dbPr connection="Provider=Microsoft.Mashup.OleDb.1;Data Source=$Workbook$;Location=&quot;Table081 (Page 102)&quot;;Extended Properties=&quot;&quot;" command="SELECT * FROM [Table081 (Page 102)]"/>
  </connection>
  <connection id="7" xr16:uid="{AD0AEB52-A8A4-4787-B949-238F3674C524}" keepAlive="1" name="Query - Table085 (Page 136)" description="Connection to the 'Table085 (Page 136)' query in the workbook." type="5" refreshedVersion="8" background="1" saveData="1">
    <dbPr connection="Provider=Microsoft.Mashup.OleDb.1;Data Source=$Workbook$;Location=&quot;Table085 (Page 136)&quot;;Extended Properties=&quot;&quot;" command="SELECT * FROM [Table085 (Page 136)]"/>
  </connection>
  <connection id="8" xr16:uid="{58225AD6-CEC1-4A73-848D-980DEA4F9CCE}" keepAlive="1" name="Query - Table093 (Page 117)" description="Connection to the 'Table093 (Page 117)' query in the workbook." type="5" refreshedVersion="0" background="1" saveData="1">
    <dbPr connection="Provider=Microsoft.Mashup.OleDb.1;Data Source=$Workbook$;Location=&quot;Table093 (Page 117)&quot;;Extended Properties=&quot;&quot;" command="SELECT * FROM [Table093 (Page 117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<sst xmlns="http://schemas.openxmlformats.org/spreadsheetml/2006/main" count="348" uniqueCount="233">
  <si>
    <t>Revenues</t>
  </si>
  <si>
    <t>Service revenues</t>
  </si>
  <si>
    <t>Product revenues</t>
  </si>
  <si>
    <t>Total revenues</t>
  </si>
  <si>
    <t>Cost of revenues</t>
  </si>
  <si>
    <t>Services</t>
  </si>
  <si>
    <t>Products</t>
  </si>
  <si>
    <t>Total cost of revenues</t>
  </si>
  <si>
    <t>Gross profit</t>
  </si>
  <si>
    <t>Operating expenses</t>
  </si>
  <si>
    <t>Selling and marketing expenses</t>
  </si>
  <si>
    <t>General and administrative expenses</t>
  </si>
  <si>
    <t>Research and development expenses</t>
  </si>
  <si>
    <t>Losses on disposal of property and equipment</t>
  </si>
  <si>
    <t>—</t>
  </si>
  <si>
    <t>Total operating expenses</t>
  </si>
  <si>
    <t>Operating income</t>
  </si>
  <si>
    <t>Interest expense</t>
  </si>
  <si>
    <t>Interest income</t>
  </si>
  <si>
    <t>Foreign currency exchange gains (losses), net</t>
  </si>
  <si>
    <t>Government grants</t>
  </si>
  <si>
    <t>Others, net</t>
  </si>
  <si>
    <t>Income before income taxes</t>
  </si>
  <si>
    <t>Income tax expense</t>
  </si>
  <si>
    <t>Net income</t>
  </si>
  <si>
    <t>Accretion of Redeemable Convertible Preferred Shares</t>
  </si>
  <si>
    <t>Net income attributable to ordinary shareholders</t>
  </si>
  <si>
    <t>Foreign currency translation adjustment, net of income taxes of $nil</t>
  </si>
  <si>
    <t>Net unrealized gains on available-for-sale investments</t>
  </si>
  <si>
    <t>Intra-entity foreign currency transactions gain (loss)</t>
  </si>
  <si>
    <t>Release of foreign currency translation reserve related to liquidation of subsidiaries</t>
  </si>
  <si>
    <t>Total other comprehensive income (loss)</t>
  </si>
  <si>
    <t>Comprehensive Income</t>
  </si>
  <si>
    <t>Net income per ordinary share</t>
  </si>
  <si>
    <t>—Basic</t>
  </si>
  <si>
    <t>—Diluted</t>
  </si>
  <si>
    <t>Weighted average number of ordinary shares outstanding used in computing net
income per ordinary share</t>
  </si>
  <si>
    <t xml:space="preserve">Particulars </t>
  </si>
  <si>
    <t xml:space="preserve">GigaCloud Technology Inc. </t>
  </si>
  <si>
    <t>Valuation Model</t>
  </si>
  <si>
    <t xml:space="preserve">Income Statement </t>
  </si>
  <si>
    <t>(Amount in thousand except for share and per share data)</t>
  </si>
  <si>
    <t>Cash flows from operating activities:</t>
  </si>
  <si>
    <t>Adjustments to reconcile net income to net cash provided by operating activities:</t>
  </si>
  <si>
    <t>Depreciation and amortization</t>
  </si>
  <si>
    <t>Share-based compensation</t>
  </si>
  <si>
    <t>Operating lease</t>
  </si>
  <si>
    <t>Changes in accounts receivables, net</t>
  </si>
  <si>
    <t>Changes in inventories</t>
  </si>
  <si>
    <t>Changes in prepayments and other assets</t>
  </si>
  <si>
    <t>Changes in accounts payable, accrued expenses and other current liabilities</t>
  </si>
  <si>
    <t>Changes in contract liabilities</t>
  </si>
  <si>
    <t>Changes in income tax payable</t>
  </si>
  <si>
    <t>Changes in deferred income taxes</t>
  </si>
  <si>
    <t>Other operating activities</t>
  </si>
  <si>
    <t>Net cash provided by operating activities</t>
  </si>
  <si>
    <t>Cash flows from investing activities:</t>
  </si>
  <si>
    <t>Cash paid for purchase of property and equipment</t>
  </si>
  <si>
    <t>Cash received from disposal of property and equipment</t>
  </si>
  <si>
    <t>Acquisitions, net of cash acquired</t>
  </si>
  <si>
    <t>Purchases of investments</t>
  </si>
  <si>
    <t>Sale and maturities of investments</t>
  </si>
  <si>
    <t>Net cash used in investing activities</t>
  </si>
  <si>
    <t>Cash flows from financing activities:</t>
  </si>
  <si>
    <t>Repayment of finance lease obligations</t>
  </si>
  <si>
    <t>Repayment of bank loans</t>
  </si>
  <si>
    <t>Repurchases of ordinary shares</t>
  </si>
  <si>
    <t>Proceeds from prepaid consideration of restricted shares</t>
  </si>
  <si>
    <t>Proceeds from initial public offering, net of IPO costs</t>
  </si>
  <si>
    <t>Allowance for doubtful accounts</t>
  </si>
  <si>
    <t>Inventory write-down</t>
  </si>
  <si>
    <t>Deferred tax</t>
  </si>
  <si>
    <t>Unrealized foreign currency exchange gains (losses)</t>
  </si>
  <si>
    <t>Interest expense of capital leases (ASC 840)</t>
  </si>
  <si>
    <t>Accounts receivable</t>
  </si>
  <si>
    <t>Inventories</t>
  </si>
  <si>
    <t>Prepayments and other assets</t>
  </si>
  <si>
    <t>Accounts payable</t>
  </si>
  <si>
    <t>Contract liabilities</t>
  </si>
  <si>
    <t>Income tax payable</t>
  </si>
  <si>
    <t>Accrued expenses and other current liabilities</t>
  </si>
  <si>
    <t xml:space="preserve">Cash Flow Statement </t>
  </si>
  <si>
    <t>GigaCloud Technology Inc.</t>
  </si>
  <si>
    <t>Discounted Cash Flow Model</t>
  </si>
  <si>
    <t>Date</t>
  </si>
  <si>
    <t>Year End</t>
  </si>
  <si>
    <t xml:space="preserve">Implied Share Price </t>
  </si>
  <si>
    <t>Current Share Pricee</t>
  </si>
  <si>
    <t>Overvaluation/Undervaluation</t>
  </si>
  <si>
    <t xml:space="preserve">Assumptions </t>
  </si>
  <si>
    <t xml:space="preserve">Switches </t>
  </si>
  <si>
    <t xml:space="preserve">Revenue </t>
  </si>
  <si>
    <t>WACC</t>
  </si>
  <si>
    <t xml:space="preserve">Year </t>
  </si>
  <si>
    <t xml:space="preserve">Metric </t>
  </si>
  <si>
    <t>% growth</t>
  </si>
  <si>
    <t xml:space="preserve">Cost of Goods Sold </t>
  </si>
  <si>
    <t xml:space="preserve">% of revenue </t>
  </si>
  <si>
    <t xml:space="preserve">Operating Expenses </t>
  </si>
  <si>
    <t xml:space="preserve">EBITDA </t>
  </si>
  <si>
    <t xml:space="preserve">EBITDA margin </t>
  </si>
  <si>
    <t>Net Profit</t>
  </si>
  <si>
    <t>NP margin</t>
  </si>
  <si>
    <t xml:space="preserve">EBIT </t>
  </si>
  <si>
    <t xml:space="preserve">Tax </t>
  </si>
  <si>
    <t xml:space="preserve">Avg. margins </t>
  </si>
  <si>
    <t>Net cash provided by (used in) financing activities</t>
  </si>
  <si>
    <t>Effect of foreign currency exchange rate changes on cash and restricted cash</t>
  </si>
  <si>
    <t>Net increase in cash and restricted cash</t>
  </si>
  <si>
    <t>Cash and restricted cash at the beginning of the year</t>
  </si>
  <si>
    <t>Cash and restricted cash at the end of the year</t>
  </si>
  <si>
    <t>Supplemental disclosure of cash flow information</t>
  </si>
  <si>
    <t>Cash paid for interest expense</t>
  </si>
  <si>
    <t>Cash paid for income taxes</t>
  </si>
  <si>
    <t>Non-cash investing and financing activities:</t>
  </si>
  <si>
    <t>Purchase of property and equipment under finance leases</t>
  </si>
  <si>
    <t>Share based awards attributable to the IPO where no cash payment is required</t>
  </si>
  <si>
    <t>Reversal of subscription receivable from ordinary shares</t>
  </si>
  <si>
    <t>Fair value of assets acquired by acquisition</t>
  </si>
  <si>
    <t>Cash paid for business combinations and asset purchases</t>
  </si>
  <si>
    <t>Liabilities assumed by acquisition</t>
  </si>
  <si>
    <t>(Amount in US$)</t>
  </si>
  <si>
    <t>Income Statement Elements</t>
  </si>
  <si>
    <t xml:space="preserve">Cash Flow Items Elements </t>
  </si>
  <si>
    <t xml:space="preserve">Depreciation &amp; Ammortizations </t>
  </si>
  <si>
    <t/>
  </si>
  <si>
    <t xml:space="preserve">Capital Expenditure </t>
  </si>
  <si>
    <t>Changes in Working Capital</t>
  </si>
  <si>
    <t xml:space="preserve">Revenue growth rate </t>
  </si>
  <si>
    <t>Hong Kong</t>
  </si>
  <si>
    <t>Platform commission</t>
  </si>
  <si>
    <t>United States</t>
  </si>
  <si>
    <t>Ocean transportation service</t>
  </si>
  <si>
    <t>Drayage service</t>
  </si>
  <si>
    <t>Warehousing service</t>
  </si>
  <si>
    <t>Germany</t>
  </si>
  <si>
    <t>Last-mile delivery service</t>
  </si>
  <si>
    <t>Packaging service</t>
  </si>
  <si>
    <t>Others</t>
  </si>
  <si>
    <t>Japan</t>
  </si>
  <si>
    <t xml:space="preserve">United States </t>
  </si>
  <si>
    <t xml:space="preserve">Others </t>
  </si>
  <si>
    <t>Others Rev</t>
  </si>
  <si>
    <t>Revenue Division</t>
  </si>
  <si>
    <t>(Amount is US$)</t>
  </si>
  <si>
    <t xml:space="preserve">Geography-wise Distribution of Revenue </t>
  </si>
  <si>
    <t xml:space="preserve">Non-United States </t>
  </si>
  <si>
    <t>Years/Location</t>
  </si>
  <si>
    <t>Revenue from US</t>
  </si>
  <si>
    <t xml:space="preserve">Revenue from outside US </t>
  </si>
  <si>
    <t xml:space="preserve">Average Growth rate </t>
  </si>
  <si>
    <t xml:space="preserve">Industry Growth rate </t>
  </si>
  <si>
    <t xml:space="preserve">Outside United States </t>
  </si>
  <si>
    <t xml:space="preserve">Total Revenue </t>
  </si>
  <si>
    <t xml:space="preserve">Growth rate for DCF </t>
  </si>
  <si>
    <t xml:space="preserve">Risk Adjusted growth rate </t>
  </si>
  <si>
    <t>Industry Average Margin</t>
  </si>
  <si>
    <t>Margin for DCF</t>
  </si>
  <si>
    <t>Risk Adjusted margin</t>
  </si>
  <si>
    <t>Percentages</t>
  </si>
  <si>
    <t>Scenarios</t>
  </si>
  <si>
    <t>Revenue US</t>
  </si>
  <si>
    <t>Revenue OutsideUS</t>
  </si>
  <si>
    <t>25-28</t>
  </si>
  <si>
    <t xml:space="preserve">Base Case </t>
  </si>
  <si>
    <t xml:space="preserve">- US revenue </t>
  </si>
  <si>
    <t>- Outside US revenue</t>
  </si>
  <si>
    <t xml:space="preserve">Unlevered Free Cash Flow </t>
  </si>
  <si>
    <t>Weighted Average Cost of Capital</t>
  </si>
  <si>
    <t>Weighted Average Cost of Capital (WACC)</t>
  </si>
  <si>
    <t>Market Capitalization</t>
  </si>
  <si>
    <t>% of equity</t>
  </si>
  <si>
    <t>Cost of Equity</t>
  </si>
  <si>
    <t>Risk free rate</t>
  </si>
  <si>
    <t>Market risk premium</t>
  </si>
  <si>
    <t>Beta</t>
  </si>
  <si>
    <t>Debt</t>
  </si>
  <si>
    <t>% of Debt</t>
  </si>
  <si>
    <t xml:space="preserve">Cost of Debt </t>
  </si>
  <si>
    <t>Tax Rate</t>
  </si>
  <si>
    <t>Total Capital Structure</t>
  </si>
  <si>
    <t xml:space="preserve">Present Value of Future CF </t>
  </si>
  <si>
    <t>Projection Year</t>
  </si>
  <si>
    <t xml:space="preserve">Terminal Growth Rate </t>
  </si>
  <si>
    <t>Terminal Growth Rate</t>
  </si>
  <si>
    <t>Terminal Value</t>
  </si>
  <si>
    <t>Present Value of TV</t>
  </si>
  <si>
    <t xml:space="preserve">Enterprise Value </t>
  </si>
  <si>
    <t>(+) Cash</t>
  </si>
  <si>
    <t>(-)  Debt</t>
  </si>
  <si>
    <t>Equity Value</t>
  </si>
  <si>
    <t xml:space="preserve">Diluted Shares </t>
  </si>
  <si>
    <t>Implied Share Price</t>
  </si>
  <si>
    <t>Undervaluation %</t>
  </si>
  <si>
    <t>GCT</t>
  </si>
  <si>
    <t>Ticker (NASDAQ)</t>
  </si>
  <si>
    <t xml:space="preserve">Sensitivity Analysis </t>
  </si>
  <si>
    <t>TGR</t>
  </si>
  <si>
    <t>Tariffs Impact</t>
  </si>
  <si>
    <t>Average Margin</t>
  </si>
  <si>
    <t>Tariff Impact</t>
  </si>
  <si>
    <t>Scenario Analysis</t>
  </si>
  <si>
    <t>EBIT margin to revenue</t>
  </si>
  <si>
    <t xml:space="preserve">Interest Expense </t>
  </si>
  <si>
    <t xml:space="preserve">Interest Income </t>
  </si>
  <si>
    <t>Foreign Currency Gains/Losses</t>
  </si>
  <si>
    <t xml:space="preserve">Government Grants </t>
  </si>
  <si>
    <t>Other Expense</t>
  </si>
  <si>
    <t>(Amounts in thousand US$)</t>
  </si>
  <si>
    <t>(Amount in thousand and US$)</t>
  </si>
  <si>
    <t>Liabilities</t>
  </si>
  <si>
    <t xml:space="preserve">Finance Lease Liabilities </t>
  </si>
  <si>
    <t>- Current portion</t>
  </si>
  <si>
    <t>- Non-current portion</t>
  </si>
  <si>
    <t>Average %</t>
  </si>
  <si>
    <t>% (increase)/decrease</t>
  </si>
  <si>
    <t>Supplementary Schedules</t>
  </si>
  <si>
    <t>Assets</t>
  </si>
  <si>
    <t xml:space="preserve">Lease Schedules - </t>
  </si>
  <si>
    <t xml:space="preserve">Cash Schedules - </t>
  </si>
  <si>
    <t>Cash in Bank</t>
  </si>
  <si>
    <t>% increase/(decrease)</t>
  </si>
  <si>
    <t>Margin %</t>
  </si>
  <si>
    <t>COGS</t>
  </si>
  <si>
    <t xml:space="preserve">Bear Case </t>
  </si>
  <si>
    <t>Bull Case</t>
  </si>
  <si>
    <t>Gross Profits</t>
  </si>
  <si>
    <t>GP Margin</t>
  </si>
  <si>
    <t>OPEX</t>
  </si>
  <si>
    <t>Percentage</t>
  </si>
  <si>
    <t>Bear Case Scenario
(Switch 1)</t>
  </si>
  <si>
    <t>Base Case Scenario
(Switch 2)</t>
  </si>
  <si>
    <t>Bull Case Scenario
(Switch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</si>
</sst>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General&quot;A&quot;"/>
    <numFmt numFmtId="165" formatCode="General&quot;E&quot;"/>
    <numFmt numFmtId="166" formatCode="_ * #,##0_ ;_ * \-#,##0_ ;_ * &quot;-&quot;??_ ;_ @_ "/>
    <numFmt numFmtId="167" formatCode="_-[$$-409]* #,##0.00_ ;_-[$$-409]* \-#,##0.00\ ;_-[$$-409]* &quot;-&quot;??_ ;_-@_ "/>
    <numFmt numFmtId="168" formatCode="_(* #,##0_);_(* \(#,##0\);_(* &quot;-&quot;??_);_(@_)"/>
    <numFmt numFmtId="169" formatCode="_([$$-409]* #,##0.00_);_([$$-409]* \(#,##0.00\);_([$$-409]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3" tint="0.249977111117893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i/>
      <sz val="11"/>
      <color theme="4"/>
      <name val="Times New Roman"/>
      <family val="1"/>
    </font>
    <font>
      <b/>
      <i/>
      <u/>
      <sz val="11"/>
      <color theme="1"/>
      <name val="Aptos Narrow"/>
      <family val="2"/>
      <scheme val="minor"/>
    </font>
    <font>
      <i/>
      <sz val="11"/>
      <color theme="3" tint="9.9978637043366805E-2"/>
      <name val="Times New Roman"/>
      <family val="1"/>
    </font>
    <font>
      <u/>
      <sz val="11"/>
      <color theme="1"/>
      <name val="Times New Roman"/>
      <family val="1"/>
    </font>
    <font>
      <b/>
      <i/>
      <sz val="11"/>
      <color theme="0"/>
      <name val="Times New Roman"/>
      <family val="1"/>
    </font>
    <font>
      <i/>
      <sz val="11"/>
      <color theme="7" tint="-0.249977111117893"/>
      <name val="Times New Roman"/>
      <family val="1"/>
    </font>
    <font>
      <sz val="11"/>
      <color rgb="FF3333CC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0" fillId="0" borderId="5" xfId="0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5" xfId="0" applyFont="1" applyBorder="1"/>
    <xf numFmtId="0" fontId="4" fillId="0" borderId="5" xfId="0" applyFont="1" applyBorder="1"/>
    <xf numFmtId="0" fontId="4" fillId="0" borderId="1" xfId="0" applyFont="1" applyBorder="1"/>
    <xf numFmtId="0" fontId="6" fillId="0" borderId="0" xfId="0" applyFont="1"/>
    <xf numFmtId="0" fontId="8" fillId="3" borderId="0" xfId="0" applyFont="1" applyFill="1"/>
    <xf numFmtId="0" fontId="7" fillId="3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/>
    <xf numFmtId="10" fontId="4" fillId="0" borderId="0" xfId="0" applyNumberFormat="1" applyFont="1" applyAlignment="1">
      <alignment horizontal="center"/>
    </xf>
    <xf numFmtId="10" fontId="4" fillId="0" borderId="0" xfId="0" applyNumberFormat="1" applyFont="1"/>
    <xf numFmtId="10" fontId="10" fillId="0" borderId="0" xfId="0" applyNumberFormat="1" applyFont="1" applyAlignment="1">
      <alignment horizontal="center"/>
    </xf>
    <xf numFmtId="10" fontId="10" fillId="0" borderId="0" xfId="0" applyNumberFormat="1" applyFont="1"/>
    <xf numFmtId="0" fontId="10" fillId="0" borderId="0" xfId="0" applyFont="1"/>
    <xf numFmtId="164" fontId="8" fillId="3" borderId="0" xfId="0" applyNumberFormat="1" applyFont="1" applyFill="1" applyAlignment="1">
      <alignment horizontal="center"/>
    </xf>
    <xf numFmtId="164" fontId="8" fillId="3" borderId="0" xfId="0" applyNumberFormat="1" applyFont="1" applyFill="1"/>
    <xf numFmtId="165" fontId="8" fillId="3" borderId="0" xfId="0" applyNumberFormat="1" applyFont="1" applyFill="1"/>
    <xf numFmtId="0" fontId="2" fillId="5" borderId="1" xfId="0" applyFont="1" applyFill="1" applyBorder="1"/>
    <xf numFmtId="166" fontId="0" fillId="0" borderId="1" xfId="1" applyNumberFormat="1" applyFont="1" applyBorder="1"/>
    <xf numFmtId="166" fontId="0" fillId="0" borderId="0" xfId="1" applyNumberFormat="1" applyFont="1"/>
    <xf numFmtId="166" fontId="2" fillId="0" borderId="1" xfId="1" applyNumberFormat="1" applyFont="1" applyBorder="1"/>
    <xf numFmtId="0" fontId="2" fillId="6" borderId="1" xfId="0" applyFont="1" applyFill="1" applyBorder="1"/>
    <xf numFmtId="166" fontId="2" fillId="6" borderId="1" xfId="1" applyNumberFormat="1" applyFont="1" applyFill="1" applyBorder="1"/>
    <xf numFmtId="0" fontId="6" fillId="6" borderId="1" xfId="0" applyFont="1" applyFill="1" applyBorder="1"/>
    <xf numFmtId="3" fontId="6" fillId="6" borderId="1" xfId="0" applyNumberFormat="1" applyFont="1" applyFill="1" applyBorder="1" applyAlignment="1">
      <alignment horizontal="right"/>
    </xf>
    <xf numFmtId="0" fontId="4" fillId="6" borderId="1" xfId="0" applyFont="1" applyFill="1" applyBorder="1"/>
    <xf numFmtId="3" fontId="4" fillId="6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4" fillId="0" borderId="0" xfId="0" quotePrefix="1" applyFont="1"/>
    <xf numFmtId="9" fontId="4" fillId="0" borderId="0" xfId="2" applyFont="1"/>
    <xf numFmtId="10" fontId="4" fillId="0" borderId="0" xfId="2" applyNumberFormat="1" applyFont="1"/>
    <xf numFmtId="10" fontId="13" fillId="0" borderId="0" xfId="2" applyNumberFormat="1" applyFont="1"/>
    <xf numFmtId="0" fontId="3" fillId="5" borderId="1" xfId="0" applyFont="1" applyFill="1" applyBorder="1"/>
    <xf numFmtId="0" fontId="14" fillId="0" borderId="0" xfId="0" applyFont="1"/>
    <xf numFmtId="166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0" fontId="1" fillId="0" borderId="1" xfId="1" applyNumberFormat="1" applyFont="1" applyFill="1" applyBorder="1" applyAlignment="1">
      <alignment horizontal="center"/>
    </xf>
    <xf numFmtId="166" fontId="0" fillId="0" borderId="1" xfId="0" applyNumberFormat="1" applyBorder="1"/>
    <xf numFmtId="0" fontId="0" fillId="0" borderId="1" xfId="0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10" fontId="4" fillId="0" borderId="1" xfId="0" applyNumberFormat="1" applyFont="1" applyBorder="1"/>
    <xf numFmtId="10" fontId="6" fillId="0" borderId="1" xfId="0" applyNumberFormat="1" applyFont="1" applyBorder="1"/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0" borderId="0" xfId="0" quotePrefix="1" applyFont="1"/>
    <xf numFmtId="10" fontId="10" fillId="0" borderId="0" xfId="2" applyNumberFormat="1" applyFont="1"/>
    <xf numFmtId="10" fontId="15" fillId="0" borderId="0" xfId="0" applyNumberFormat="1" applyFont="1"/>
    <xf numFmtId="10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3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0" fontId="4" fillId="2" borderId="6" xfId="0" applyNumberFormat="1" applyFont="1" applyFill="1" applyBorder="1"/>
    <xf numFmtId="15" fontId="4" fillId="2" borderId="6" xfId="0" applyNumberFormat="1" applyFont="1" applyFill="1" applyBorder="1"/>
    <xf numFmtId="15" fontId="4" fillId="2" borderId="7" xfId="0" applyNumberFormat="1" applyFont="1" applyFill="1" applyBorder="1"/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10" fontId="4" fillId="2" borderId="0" xfId="0" applyNumberFormat="1" applyFont="1" applyFill="1"/>
    <xf numFmtId="0" fontId="3" fillId="0" borderId="0" xfId="0" applyFont="1" applyAlignment="1">
      <alignment horizontal="center"/>
    </xf>
    <xf numFmtId="167" fontId="6" fillId="2" borderId="0" xfId="0" applyNumberFormat="1" applyFont="1" applyFill="1"/>
    <xf numFmtId="167" fontId="6" fillId="2" borderId="6" xfId="0" applyNumberFormat="1" applyFont="1" applyFill="1" applyBorder="1"/>
    <xf numFmtId="9" fontId="6" fillId="2" borderId="6" xfId="2" applyFont="1" applyFill="1" applyBorder="1"/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0" borderId="12" xfId="0" applyFont="1" applyBorder="1"/>
    <xf numFmtId="0" fontId="9" fillId="0" borderId="13" xfId="0" applyFont="1" applyBorder="1"/>
    <xf numFmtId="0" fontId="4" fillId="0" borderId="12" xfId="0" applyFont="1" applyBorder="1"/>
    <xf numFmtId="10" fontId="4" fillId="0" borderId="13" xfId="0" applyNumberFormat="1" applyFont="1" applyBorder="1"/>
    <xf numFmtId="0" fontId="4" fillId="0" borderId="14" xfId="0" applyFont="1" applyBorder="1"/>
    <xf numFmtId="0" fontId="4" fillId="0" borderId="5" xfId="0" quotePrefix="1" applyFont="1" applyBorder="1"/>
    <xf numFmtId="10" fontId="4" fillId="0" borderId="15" xfId="0" applyNumberFormat="1" applyFont="1" applyBorder="1"/>
    <xf numFmtId="10" fontId="4" fillId="0" borderId="15" xfId="2" applyNumberFormat="1" applyFont="1" applyBorder="1"/>
    <xf numFmtId="0" fontId="17" fillId="3" borderId="0" xfId="0" applyFont="1" applyFill="1"/>
    <xf numFmtId="0" fontId="7" fillId="3" borderId="0" xfId="0" applyFont="1" applyFill="1" applyAlignment="1">
      <alignment horizontal="center"/>
    </xf>
    <xf numFmtId="167" fontId="4" fillId="0" borderId="0" xfId="0" applyNumberFormat="1" applyFont="1"/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7" fontId="4" fillId="0" borderId="12" xfId="0" applyNumberFormat="1" applyFont="1" applyBorder="1"/>
    <xf numFmtId="167" fontId="4" fillId="0" borderId="0" xfId="0" applyNumberFormat="1" applyFont="1" applyAlignment="1">
      <alignment horizontal="center"/>
    </xf>
    <xf numFmtId="10" fontId="4" fillId="0" borderId="5" xfId="2" applyNumberFormat="1" applyFont="1" applyBorder="1"/>
    <xf numFmtId="10" fontId="6" fillId="0" borderId="0" xfId="2" applyNumberFormat="1" applyFont="1"/>
    <xf numFmtId="10" fontId="6" fillId="0" borderId="5" xfId="2" applyNumberFormat="1" applyFont="1" applyBorder="1"/>
    <xf numFmtId="2" fontId="11" fillId="0" borderId="0" xfId="0" applyNumberFormat="1" applyFont="1" applyAlignment="1">
      <alignment horizontal="center"/>
    </xf>
    <xf numFmtId="2" fontId="11" fillId="0" borderId="0" xfId="0" applyNumberFormat="1" applyFont="1"/>
    <xf numFmtId="10" fontId="18" fillId="0" borderId="0" xfId="2" applyNumberFormat="1" applyFont="1"/>
    <xf numFmtId="10" fontId="18" fillId="0" borderId="0" xfId="2" applyNumberFormat="1" applyFont="1" applyAlignment="1">
      <alignment horizontal="center"/>
    </xf>
    <xf numFmtId="0" fontId="18" fillId="0" borderId="0" xfId="0" applyFont="1"/>
    <xf numFmtId="168" fontId="4" fillId="0" borderId="0" xfId="1" applyNumberFormat="1" applyFont="1"/>
    <xf numFmtId="0" fontId="6" fillId="0" borderId="5" xfId="0" applyFont="1" applyBorder="1"/>
    <xf numFmtId="0" fontId="6" fillId="5" borderId="0" xfId="0" applyFont="1" applyFill="1"/>
    <xf numFmtId="164" fontId="6" fillId="5" borderId="0" xfId="0" applyNumberFormat="1" applyFont="1" applyFill="1"/>
    <xf numFmtId="165" fontId="6" fillId="5" borderId="0" xfId="0" applyNumberFormat="1" applyFont="1" applyFill="1"/>
    <xf numFmtId="0" fontId="11" fillId="0" borderId="0" xfId="0" applyFont="1"/>
    <xf numFmtId="10" fontId="11" fillId="0" borderId="0" xfId="2" applyNumberFormat="1" applyFont="1"/>
    <xf numFmtId="10" fontId="10" fillId="0" borderId="0" xfId="2" applyNumberFormat="1" applyFont="1" applyAlignment="1">
      <alignment horizontal="center"/>
    </xf>
    <xf numFmtId="168" fontId="11" fillId="0" borderId="0" xfId="1" applyNumberFormat="1" applyFont="1"/>
    <xf numFmtId="168" fontId="11" fillId="0" borderId="0" xfId="1" applyNumberFormat="1" applyFont="1" applyAlignment="1">
      <alignment horizontal="center"/>
    </xf>
    <xf numFmtId="168" fontId="4" fillId="0" borderId="0" xfId="1" applyNumberFormat="1" applyFont="1" applyAlignment="1">
      <alignment horizontal="center"/>
    </xf>
    <xf numFmtId="168" fontId="4" fillId="0" borderId="0" xfId="1" applyNumberFormat="1" applyFont="1" applyAlignment="1">
      <alignment horizontal="right"/>
    </xf>
    <xf numFmtId="168" fontId="12" fillId="0" borderId="0" xfId="1" applyNumberFormat="1" applyFont="1" applyAlignment="1">
      <alignment horizontal="center"/>
    </xf>
    <xf numFmtId="168" fontId="6" fillId="0" borderId="10" xfId="1" applyNumberFormat="1" applyFont="1" applyBorder="1"/>
    <xf numFmtId="168" fontId="6" fillId="0" borderId="11" xfId="1" applyNumberFormat="1" applyFont="1" applyBorder="1"/>
    <xf numFmtId="168" fontId="12" fillId="0" borderId="0" xfId="1" applyNumberFormat="1" applyFont="1" applyFill="1" applyAlignment="1">
      <alignment horizontal="center"/>
    </xf>
    <xf numFmtId="10" fontId="10" fillId="0" borderId="0" xfId="2" applyNumberFormat="1" applyFont="1" applyFill="1" applyAlignment="1">
      <alignment horizontal="right"/>
    </xf>
    <xf numFmtId="10" fontId="10" fillId="0" borderId="0" xfId="2" applyNumberFormat="1" applyFont="1" applyFill="1" applyAlignment="1">
      <alignment horizontal="center"/>
    </xf>
    <xf numFmtId="10" fontId="4" fillId="0" borderId="5" xfId="2" applyNumberFormat="1" applyFont="1" applyBorder="1" applyAlignment="1">
      <alignment horizontal="right"/>
    </xf>
    <xf numFmtId="0" fontId="4" fillId="0" borderId="4" xfId="0" applyFont="1" applyBorder="1"/>
    <xf numFmtId="0" fontId="9" fillId="0" borderId="0" xfId="0" applyFont="1"/>
    <xf numFmtId="166" fontId="4" fillId="0" borderId="1" xfId="1" applyNumberFormat="1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0" borderId="3" xfId="0" applyFont="1" applyBorder="1"/>
    <xf numFmtId="0" fontId="4" fillId="0" borderId="4" xfId="0" applyFont="1" applyBorder="1" applyAlignment="1">
      <alignment horizontal="center"/>
    </xf>
    <xf numFmtId="168" fontId="6" fillId="0" borderId="2" xfId="1" applyNumberFormat="1" applyFont="1" applyBorder="1"/>
    <xf numFmtId="0" fontId="6" fillId="0" borderId="12" xfId="0" applyFont="1" applyBorder="1"/>
    <xf numFmtId="168" fontId="6" fillId="0" borderId="13" xfId="1" applyNumberFormat="1" applyFont="1" applyBorder="1"/>
    <xf numFmtId="0" fontId="3" fillId="0" borderId="12" xfId="0" applyFont="1" applyBorder="1"/>
    <xf numFmtId="0" fontId="4" fillId="0" borderId="13" xfId="0" applyFont="1" applyBorder="1"/>
    <xf numFmtId="0" fontId="6" fillId="0" borderId="14" xfId="0" applyFont="1" applyBorder="1"/>
    <xf numFmtId="167" fontId="6" fillId="2" borderId="15" xfId="0" applyNumberFormat="1" applyFont="1" applyFill="1" applyBorder="1"/>
    <xf numFmtId="169" fontId="4" fillId="0" borderId="0" xfId="0" applyNumberFormat="1" applyFont="1"/>
    <xf numFmtId="0" fontId="6" fillId="0" borderId="0" xfId="0" applyFont="1" applyAlignment="1">
      <alignment horizontal="center"/>
    </xf>
    <xf numFmtId="0" fontId="8" fillId="9" borderId="0" xfId="0" applyFont="1" applyFill="1"/>
    <xf numFmtId="10" fontId="7" fillId="9" borderId="0" xfId="0" applyNumberFormat="1" applyFont="1" applyFill="1" applyAlignment="1">
      <alignment horizontal="center"/>
    </xf>
    <xf numFmtId="0" fontId="7" fillId="9" borderId="0" xfId="0" applyFont="1" applyFill="1"/>
    <xf numFmtId="10" fontId="4" fillId="0" borderId="13" xfId="2" applyNumberFormat="1" applyFont="1" applyBorder="1"/>
    <xf numFmtId="0" fontId="6" fillId="0" borderId="5" xfId="0" applyFont="1" applyBorder="1" applyAlignment="1">
      <alignment horizontal="center"/>
    </xf>
    <xf numFmtId="10" fontId="19" fillId="0" borderId="1" xfId="0" applyNumberFormat="1" applyFont="1" applyBorder="1"/>
    <xf numFmtId="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10" fontId="15" fillId="7" borderId="6" xfId="0" applyNumberFormat="1" applyFont="1" applyFill="1" applyBorder="1"/>
    <xf numFmtId="43" fontId="6" fillId="2" borderId="0" xfId="1" applyFont="1" applyFill="1"/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/>
    </xf>
    <xf numFmtId="0" fontId="8" fillId="10" borderId="0" xfId="0" applyFont="1" applyFill="1" applyAlignment="1">
      <alignment vertical="center" textRotation="90"/>
    </xf>
    <xf numFmtId="0" fontId="8" fillId="8" borderId="16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17" fillId="0" borderId="0" xfId="0" applyFont="1" applyFill="1"/>
    <xf numFmtId="0" fontId="7" fillId="0" borderId="0" xfId="0" applyFont="1" applyFill="1"/>
    <xf numFmtId="0" fontId="6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68" fontId="6" fillId="0" borderId="0" xfId="1" applyNumberFormat="1" applyFont="1"/>
    <xf numFmtId="168" fontId="20" fillId="0" borderId="0" xfId="1" applyNumberFormat="1" applyFont="1" applyAlignment="1">
      <alignment horizontal="center"/>
    </xf>
    <xf numFmtId="168" fontId="6" fillId="0" borderId="0" xfId="1" applyNumberFormat="1" applyFont="1" applyAlignment="1">
      <alignment horizontal="right"/>
    </xf>
    <xf numFmtId="0" fontId="6" fillId="0" borderId="19" xfId="0" applyFont="1" applyBorder="1"/>
    <xf numFmtId="168" fontId="6" fillId="0" borderId="19" xfId="1" applyNumberFormat="1" applyFont="1" applyBorder="1"/>
    <xf numFmtId="168" fontId="20" fillId="0" borderId="19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2" fillId="0" borderId="3" xfId="0" applyFont="1" applyBorder="1" applyAlignment="1">
      <alignment vertical="center" textRotation="45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CC"/>
      <color rgb="FF339933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2AEB-CBDF-4CAD-8AFD-B9D630DBFB85}">
  <dimension ref="A1:Q38"/>
  <sheetViews>
    <sheetView showGridLines="0" topLeftCell="A19" workbookViewId="0">
      <selection activeCell="C34" sqref="C34"/>
    </sheetView>
  </sheetViews>
  <sheetFormatPr defaultColWidth="0" defaultRowHeight="13.8" zeroHeight="1" x14ac:dyDescent="0.25"/>
  <cols>
    <col min="1" max="1" width="3.77734375" style="143" customWidth="1"/>
    <col min="2" max="2" width="24.5546875" style="5" bestFit="1" customWidth="1"/>
    <col min="3" max="3" width="20.44140625" style="5" bestFit="1" customWidth="1"/>
    <col min="4" max="4" width="23.88671875" style="5" bestFit="1" customWidth="1"/>
    <col min="5" max="5" width="17.44140625" style="5" bestFit="1" customWidth="1"/>
    <col min="6" max="6" width="5.5546875" style="5" bestFit="1" customWidth="1"/>
    <col min="7" max="7" width="7.21875" style="5" bestFit="1" customWidth="1"/>
    <col min="8" max="8" width="2.5546875" style="5" customWidth="1"/>
    <col min="9" max="9" width="17.44140625" style="5" bestFit="1" customWidth="1"/>
    <col min="10" max="10" width="5.5546875" style="5" bestFit="1" customWidth="1"/>
    <col min="11" max="11" width="7.21875" style="5" bestFit="1" customWidth="1"/>
    <col min="12" max="12" width="2.5546875" style="5" customWidth="1"/>
    <col min="13" max="13" width="17.44140625" style="5" bestFit="1" customWidth="1"/>
    <col min="14" max="14" width="5.5546875" style="5" bestFit="1" customWidth="1"/>
    <col min="15" max="15" width="7.21875" style="5" bestFit="1" customWidth="1"/>
    <col min="16" max="16" width="8.88671875" style="5" customWidth="1"/>
    <col min="17" max="17" width="0" style="5" hidden="1" customWidth="1"/>
    <col min="18" max="16384" width="8.88671875" style="5" hidden="1"/>
  </cols>
  <sheetData>
    <row r="1" spans="1:17" ht="14.4" x14ac:dyDescent="0.3">
      <c r="B1" s="4" t="s">
        <v>82</v>
      </c>
    </row>
    <row r="2" spans="1:17" ht="14.4" x14ac:dyDescent="0.3">
      <c r="B2" s="4" t="s">
        <v>83</v>
      </c>
    </row>
    <row r="3" spans="1:17" s="7" customFormat="1" ht="14.4" x14ac:dyDescent="0.3">
      <c r="A3" s="148"/>
      <c r="B3" s="66" t="s">
        <v>89</v>
      </c>
    </row>
    <row r="4" spans="1:17" x14ac:dyDescent="0.25"/>
    <row r="5" spans="1:17" x14ac:dyDescent="0.25">
      <c r="B5" s="10" t="s">
        <v>89</v>
      </c>
      <c r="C5" s="11"/>
      <c r="D5" s="11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95"/>
      <c r="Q5" s="95"/>
    </row>
    <row r="6" spans="1:17" ht="4.8" customHeight="1" x14ac:dyDescent="0.25"/>
    <row r="7" spans="1:17" ht="13.8" customHeight="1" x14ac:dyDescent="0.25">
      <c r="A7" s="143">
        <v>1</v>
      </c>
      <c r="B7" s="52" t="s">
        <v>128</v>
      </c>
      <c r="C7" s="53" t="s">
        <v>148</v>
      </c>
      <c r="D7" s="53" t="s">
        <v>149</v>
      </c>
    </row>
    <row r="8" spans="1:17" ht="13.8" customHeight="1" x14ac:dyDescent="0.25">
      <c r="B8" s="8" t="s">
        <v>150</v>
      </c>
      <c r="C8" s="54">
        <f>+'DCF Model'!$J$20</f>
        <v>0.42298948182091856</v>
      </c>
      <c r="D8" s="54">
        <f>+'DCF Model'!$J$20</f>
        <v>0.42298948182091856</v>
      </c>
    </row>
    <row r="9" spans="1:17" ht="13.8" customHeight="1" x14ac:dyDescent="0.25">
      <c r="B9" s="8" t="s">
        <v>151</v>
      </c>
      <c r="C9" s="149">
        <v>0.185</v>
      </c>
      <c r="D9" s="149">
        <v>0.185</v>
      </c>
    </row>
    <row r="10" spans="1:17" ht="13.8" customHeight="1" x14ac:dyDescent="0.25">
      <c r="B10" s="8" t="s">
        <v>154</v>
      </c>
      <c r="C10" s="54">
        <f>+MEDIAN(C8:C9)</f>
        <v>0.3039947409104593</v>
      </c>
      <c r="D10" s="54">
        <f>+MEDIAN(D8:D9)</f>
        <v>0.3039947409104593</v>
      </c>
    </row>
    <row r="11" spans="1:17" ht="13.8" customHeight="1" x14ac:dyDescent="0.25">
      <c r="B11" s="8" t="s">
        <v>198</v>
      </c>
      <c r="C11" s="149">
        <v>0</v>
      </c>
      <c r="D11" s="149">
        <v>0.03</v>
      </c>
    </row>
    <row r="12" spans="1:17" ht="13.8" customHeight="1" x14ac:dyDescent="0.25">
      <c r="B12" s="15" t="s">
        <v>155</v>
      </c>
      <c r="C12" s="55">
        <f>+C10-C11</f>
        <v>0.3039947409104593</v>
      </c>
      <c r="D12" s="55">
        <f>+D10-D11</f>
        <v>0.27399474091045928</v>
      </c>
    </row>
    <row r="13" spans="1:17" ht="13.8" customHeight="1" x14ac:dyDescent="0.25"/>
    <row r="14" spans="1:17" ht="13.8" customHeight="1" x14ac:dyDescent="0.25">
      <c r="A14" s="143">
        <v>2</v>
      </c>
      <c r="B14" s="52" t="s">
        <v>96</v>
      </c>
      <c r="C14" s="53" t="s">
        <v>159</v>
      </c>
    </row>
    <row r="15" spans="1:17" ht="13.8" customHeight="1" x14ac:dyDescent="0.25">
      <c r="B15" s="8" t="s">
        <v>199</v>
      </c>
      <c r="C15" s="57">
        <f>+'DCF Model'!J32</f>
        <v>0.77510196562885625</v>
      </c>
    </row>
    <row r="16" spans="1:17" ht="13.8" customHeight="1" x14ac:dyDescent="0.25">
      <c r="B16" s="8" t="s">
        <v>156</v>
      </c>
      <c r="C16" s="150">
        <v>0.6</v>
      </c>
      <c r="D16" s="56"/>
    </row>
    <row r="17" spans="1:15" ht="13.8" customHeight="1" x14ac:dyDescent="0.25">
      <c r="B17" s="8" t="s">
        <v>157</v>
      </c>
      <c r="C17" s="57">
        <f>AVERAGE(C15:C16)</f>
        <v>0.68755098281442817</v>
      </c>
    </row>
    <row r="18" spans="1:15" ht="13.8" customHeight="1" x14ac:dyDescent="0.25">
      <c r="B18" s="8" t="s">
        <v>200</v>
      </c>
      <c r="C18" s="151">
        <v>0.05</v>
      </c>
    </row>
    <row r="19" spans="1:15" ht="13.8" customHeight="1" x14ac:dyDescent="0.25">
      <c r="B19" s="15" t="s">
        <v>158</v>
      </c>
      <c r="C19" s="57">
        <f>+C17+C18</f>
        <v>0.73755098281442821</v>
      </c>
    </row>
    <row r="20" spans="1:15" ht="13.8" customHeight="1" x14ac:dyDescent="0.25">
      <c r="C20" s="21"/>
    </row>
    <row r="21" spans="1:15" ht="13.8" customHeight="1" x14ac:dyDescent="0.25">
      <c r="A21" s="143">
        <v>3</v>
      </c>
      <c r="B21" s="52" t="s">
        <v>98</v>
      </c>
      <c r="C21" s="53" t="s">
        <v>159</v>
      </c>
    </row>
    <row r="22" spans="1:15" ht="13.8" customHeight="1" x14ac:dyDescent="0.25">
      <c r="B22" s="8" t="s">
        <v>199</v>
      </c>
      <c r="C22" s="57">
        <f>+'DCF Model'!J41</f>
        <v>0.1160535461223634</v>
      </c>
    </row>
    <row r="23" spans="1:15" ht="13.8" customHeight="1" x14ac:dyDescent="0.25">
      <c r="B23" s="8" t="s">
        <v>157</v>
      </c>
      <c r="C23" s="57">
        <f>+C22</f>
        <v>0.1160535461223634</v>
      </c>
    </row>
    <row r="24" spans="1:15" ht="13.8" customHeight="1" x14ac:dyDescent="0.25">
      <c r="B24" s="8" t="s">
        <v>200</v>
      </c>
      <c r="C24" s="151">
        <v>0.03</v>
      </c>
    </row>
    <row r="25" spans="1:15" ht="13.8" customHeight="1" x14ac:dyDescent="0.25">
      <c r="B25" s="15" t="s">
        <v>158</v>
      </c>
      <c r="C25" s="57">
        <f>+C23+C24</f>
        <v>0.1460535461223634</v>
      </c>
    </row>
    <row r="26" spans="1:15" ht="13.8" customHeight="1" x14ac:dyDescent="0.25">
      <c r="B26" s="9"/>
      <c r="C26" s="20"/>
    </row>
    <row r="27" spans="1:15" ht="13.8" customHeight="1" x14ac:dyDescent="0.25">
      <c r="A27" s="143">
        <v>4</v>
      </c>
      <c r="B27" s="52" t="s">
        <v>37</v>
      </c>
      <c r="C27" s="53" t="s">
        <v>229</v>
      </c>
    </row>
    <row r="28" spans="1:15" ht="13.8" customHeight="1" x14ac:dyDescent="0.25">
      <c r="B28" s="15" t="s">
        <v>183</v>
      </c>
      <c r="C28" s="151">
        <v>2.4E-2</v>
      </c>
    </row>
    <row r="29" spans="1:15" ht="13.8" customHeight="1" x14ac:dyDescent="0.25"/>
    <row r="30" spans="1:15" ht="13.8" customHeight="1" x14ac:dyDescent="0.25">
      <c r="B30" s="144" t="s">
        <v>201</v>
      </c>
      <c r="C30" s="145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 ht="13.8" customHeight="1" x14ac:dyDescent="0.25">
      <c r="E31" s="12"/>
      <c r="F31" s="12"/>
      <c r="G31" s="12"/>
      <c r="H31" s="12"/>
      <c r="I31" s="12"/>
      <c r="J31" s="12"/>
      <c r="K31" s="12"/>
      <c r="L31" s="12"/>
      <c r="M31" s="12"/>
    </row>
    <row r="32" spans="1:15" ht="31.8" customHeight="1" x14ac:dyDescent="0.25">
      <c r="B32" s="157" t="s">
        <v>90</v>
      </c>
      <c r="C32" s="156"/>
      <c r="D32" s="65"/>
      <c r="E32" s="154" t="s">
        <v>230</v>
      </c>
      <c r="F32" s="155"/>
      <c r="G32" s="156"/>
      <c r="I32" s="154" t="s">
        <v>231</v>
      </c>
      <c r="J32" s="155"/>
      <c r="K32" s="156"/>
      <c r="M32" s="154" t="s">
        <v>232</v>
      </c>
      <c r="N32" s="155"/>
      <c r="O32" s="156"/>
    </row>
    <row r="33" spans="2:15" x14ac:dyDescent="0.25">
      <c r="B33" s="16" t="s">
        <v>89</v>
      </c>
      <c r="C33" s="59" t="s">
        <v>160</v>
      </c>
      <c r="D33" s="65"/>
      <c r="E33" s="83" t="s">
        <v>89</v>
      </c>
      <c r="F33" s="127" t="s">
        <v>93</v>
      </c>
      <c r="G33" s="84" t="s">
        <v>94</v>
      </c>
      <c r="I33" s="83" t="s">
        <v>89</v>
      </c>
      <c r="J33" s="127" t="s">
        <v>93</v>
      </c>
      <c r="K33" s="84" t="s">
        <v>94</v>
      </c>
      <c r="M33" s="83" t="s">
        <v>89</v>
      </c>
      <c r="N33" s="127" t="s">
        <v>93</v>
      </c>
      <c r="O33" s="84" t="s">
        <v>94</v>
      </c>
    </row>
    <row r="34" spans="2:15" x14ac:dyDescent="0.25">
      <c r="B34" s="8" t="s">
        <v>91</v>
      </c>
      <c r="C34" s="58">
        <v>2</v>
      </c>
      <c r="D34" s="65"/>
      <c r="E34" s="85" t="s">
        <v>161</v>
      </c>
      <c r="F34" s="39" t="s">
        <v>163</v>
      </c>
      <c r="G34" s="86">
        <f>+K34-5%</f>
        <v>0.25399474091045932</v>
      </c>
      <c r="I34" s="85" t="s">
        <v>161</v>
      </c>
      <c r="J34" s="39" t="s">
        <v>163</v>
      </c>
      <c r="K34" s="86">
        <f>+C12</f>
        <v>0.3039947409104593</v>
      </c>
      <c r="M34" s="85" t="s">
        <v>161</v>
      </c>
      <c r="N34" s="39" t="s">
        <v>163</v>
      </c>
      <c r="O34" s="86">
        <f>+K34+5%</f>
        <v>0.35399474091045929</v>
      </c>
    </row>
    <row r="35" spans="2:15" x14ac:dyDescent="0.25">
      <c r="B35" s="8" t="s">
        <v>223</v>
      </c>
      <c r="C35" s="58">
        <v>2</v>
      </c>
      <c r="D35" s="65"/>
      <c r="E35" s="85" t="s">
        <v>162</v>
      </c>
      <c r="F35" s="39" t="s">
        <v>163</v>
      </c>
      <c r="G35" s="86">
        <f>+K35-5%</f>
        <v>0.22399474091045929</v>
      </c>
      <c r="I35" s="85" t="s">
        <v>162</v>
      </c>
      <c r="J35" s="39" t="s">
        <v>163</v>
      </c>
      <c r="K35" s="86">
        <f>+D12</f>
        <v>0.27399474091045928</v>
      </c>
      <c r="M35" s="85" t="s">
        <v>162</v>
      </c>
      <c r="N35" s="39" t="s">
        <v>163</v>
      </c>
      <c r="O35" s="86">
        <f>+K35+5%</f>
        <v>0.32399474091045927</v>
      </c>
    </row>
    <row r="36" spans="2:15" ht="13.8" customHeight="1" x14ac:dyDescent="0.25">
      <c r="B36" s="8" t="s">
        <v>228</v>
      </c>
      <c r="C36" s="58">
        <v>2</v>
      </c>
      <c r="D36" s="65"/>
      <c r="E36" s="85" t="s">
        <v>223</v>
      </c>
      <c r="F36" s="39" t="s">
        <v>163</v>
      </c>
      <c r="G36" s="86">
        <f>+K36+5%</f>
        <v>0.78755098281442826</v>
      </c>
      <c r="I36" s="85" t="s">
        <v>223</v>
      </c>
      <c r="J36" s="39" t="s">
        <v>163</v>
      </c>
      <c r="K36" s="86">
        <f>+C19</f>
        <v>0.73755098281442821</v>
      </c>
      <c r="M36" s="85" t="s">
        <v>223</v>
      </c>
      <c r="N36" s="39" t="s">
        <v>163</v>
      </c>
      <c r="O36" s="147">
        <f>+K36-5%</f>
        <v>0.68755098281442817</v>
      </c>
    </row>
    <row r="37" spans="2:15" ht="13.8" customHeight="1" x14ac:dyDescent="0.25">
      <c r="D37" s="65"/>
      <c r="E37" s="87" t="s">
        <v>228</v>
      </c>
      <c r="F37" s="88" t="s">
        <v>163</v>
      </c>
      <c r="G37" s="89">
        <f>+K37+2%</f>
        <v>0.16605354612236339</v>
      </c>
      <c r="I37" s="87" t="s">
        <v>228</v>
      </c>
      <c r="J37" s="88" t="s">
        <v>163</v>
      </c>
      <c r="K37" s="89">
        <f>+C25</f>
        <v>0.1460535461223634</v>
      </c>
      <c r="M37" s="87" t="s">
        <v>228</v>
      </c>
      <c r="N37" s="88" t="s">
        <v>163</v>
      </c>
      <c r="O37" s="90">
        <f>+K37-2%</f>
        <v>0.12605354612236341</v>
      </c>
    </row>
    <row r="38" spans="2:15" x14ac:dyDescent="0.25"/>
  </sheetData>
  <mergeCells count="4">
    <mergeCell ref="E32:G32"/>
    <mergeCell ref="I32:K32"/>
    <mergeCell ref="M32:O32"/>
    <mergeCell ref="B32:C32"/>
  </mergeCells>
  <dataValidations count="1">
    <dataValidation type="list" allowBlank="1" showInputMessage="1" showErrorMessage="1" sqref="C34:C36" xr:uid="{D56C77AE-BB5F-43EC-8120-CA640345D8B1}">
      <formula1>"1,2,3"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E4A5B-854D-459E-9207-275BA77449B2}">
  <dimension ref="A1:O121"/>
  <sheetViews>
    <sheetView showGridLines="0" tabSelected="1" zoomScale="85" zoomScaleNormal="85" workbookViewId="0">
      <selection activeCell="J8" sqref="J8"/>
    </sheetView>
  </sheetViews>
  <sheetFormatPr defaultColWidth="0" defaultRowHeight="13.8" zeroHeight="1" outlineLevelRow="2" x14ac:dyDescent="0.25"/>
  <cols>
    <col min="1" max="1" width="3.77734375" style="5" customWidth="1"/>
    <col min="2" max="2" width="26.5546875" style="5" bestFit="1" customWidth="1"/>
    <col min="3" max="3" width="9.88671875" style="5" customWidth="1"/>
    <col min="4" max="4" width="3.44140625" style="5" customWidth="1"/>
    <col min="5" max="5" width="25.44140625" style="5" bestFit="1" customWidth="1"/>
    <col min="6" max="8" width="12" style="5" bestFit="1" customWidth="1"/>
    <col min="9" max="9" width="13.109375" style="5" bestFit="1" customWidth="1"/>
    <col min="10" max="10" width="13.21875" style="13" bestFit="1" customWidth="1"/>
    <col min="11" max="11" width="17" style="5" bestFit="1" customWidth="1"/>
    <col min="12" max="12" width="15.77734375" style="5" bestFit="1" customWidth="1"/>
    <col min="13" max="14" width="16.77734375" style="5" bestFit="1" customWidth="1"/>
    <col min="15" max="15" width="19.21875" style="5" bestFit="1" customWidth="1"/>
    <col min="16" max="16384" width="8.88671875" style="5" hidden="1"/>
  </cols>
  <sheetData>
    <row r="1" spans="2:14" ht="14.4" x14ac:dyDescent="0.3">
      <c r="B1" s="4" t="s">
        <v>82</v>
      </c>
    </row>
    <row r="2" spans="2:14" ht="14.4" x14ac:dyDescent="0.3">
      <c r="B2" s="4" t="s">
        <v>83</v>
      </c>
    </row>
    <row r="3" spans="2:14" s="7" customFormat="1" ht="14.4" x14ac:dyDescent="0.3">
      <c r="B3" s="66" t="s">
        <v>39</v>
      </c>
      <c r="J3" s="81"/>
    </row>
    <row r="4" spans="2:14" x14ac:dyDescent="0.25"/>
    <row r="5" spans="2:14" x14ac:dyDescent="0.25">
      <c r="B5" s="5" t="s">
        <v>195</v>
      </c>
      <c r="C5" s="82" t="s">
        <v>194</v>
      </c>
      <c r="E5" s="5" t="s">
        <v>86</v>
      </c>
      <c r="F5" s="79">
        <f ca="1">+N96</f>
        <v>53.945981282601991</v>
      </c>
    </row>
    <row r="6" spans="2:14" x14ac:dyDescent="0.25">
      <c r="B6" s="5" t="s">
        <v>84</v>
      </c>
      <c r="C6" s="70">
        <v>45292</v>
      </c>
      <c r="E6" s="5" t="s">
        <v>87</v>
      </c>
      <c r="F6" s="79">
        <v>20.56</v>
      </c>
      <c r="G6" s="142"/>
    </row>
    <row r="7" spans="2:14" x14ac:dyDescent="0.25">
      <c r="B7" s="5" t="s">
        <v>85</v>
      </c>
      <c r="C7" s="71">
        <v>45657</v>
      </c>
      <c r="E7" s="5" t="s">
        <v>88</v>
      </c>
      <c r="F7" s="79">
        <f ca="1">+F5-F6</f>
        <v>33.385981282601989</v>
      </c>
      <c r="G7" s="142"/>
    </row>
    <row r="8" spans="2:14" x14ac:dyDescent="0.25">
      <c r="C8" s="67"/>
      <c r="E8" s="5" t="s">
        <v>193</v>
      </c>
      <c r="F8" s="80">
        <f ca="1">+F7/F5</f>
        <v>0.61887800516049252</v>
      </c>
    </row>
    <row r="9" spans="2:14" x14ac:dyDescent="0.25">
      <c r="B9" s="68" t="s">
        <v>92</v>
      </c>
      <c r="C9" s="69">
        <f>+WACC!C20</f>
        <v>9.2178730548780882E-2</v>
      </c>
      <c r="E9" s="9"/>
    </row>
    <row r="10" spans="2:14" x14ac:dyDescent="0.25">
      <c r="B10" s="5" t="s">
        <v>184</v>
      </c>
      <c r="C10" s="76">
        <f>+Assumptions!C28</f>
        <v>2.4E-2</v>
      </c>
      <c r="E10" s="9"/>
    </row>
    <row r="11" spans="2:14" x14ac:dyDescent="0.25">
      <c r="I11" s="40"/>
    </row>
    <row r="12" spans="2:14" ht="14.4" x14ac:dyDescent="0.3">
      <c r="B12" s="4" t="s">
        <v>182</v>
      </c>
      <c r="C12" s="4"/>
      <c r="D12" s="4"/>
      <c r="E12" s="4"/>
      <c r="F12" s="4"/>
      <c r="G12" s="4"/>
      <c r="H12" s="4"/>
      <c r="I12" s="4"/>
      <c r="J12" s="77"/>
      <c r="K12" s="4">
        <f>YEARFRAC(C6,C7)</f>
        <v>1</v>
      </c>
      <c r="L12" s="4">
        <f>+K12+1</f>
        <v>2</v>
      </c>
      <c r="M12" s="4">
        <f t="shared" ref="M12:N12" si="0">+L12+1</f>
        <v>3</v>
      </c>
      <c r="N12" s="4">
        <f t="shared" si="0"/>
        <v>4</v>
      </c>
    </row>
    <row r="13" spans="2:14" x14ac:dyDescent="0.25">
      <c r="B13" s="12" t="s">
        <v>208</v>
      </c>
    </row>
    <row r="14" spans="2:14" x14ac:dyDescent="0.25">
      <c r="B14" s="10" t="s">
        <v>122</v>
      </c>
      <c r="C14" s="11"/>
      <c r="D14" s="11"/>
      <c r="E14" s="11"/>
      <c r="F14" s="26">
        <v>2021</v>
      </c>
      <c r="G14" s="26">
        <f>+F14+1</f>
        <v>2022</v>
      </c>
      <c r="H14" s="26">
        <f t="shared" ref="H14:I14" si="1">+G14+1</f>
        <v>2023</v>
      </c>
      <c r="I14" s="26">
        <f t="shared" si="1"/>
        <v>2024</v>
      </c>
      <c r="J14" s="25" t="s">
        <v>105</v>
      </c>
      <c r="K14" s="27">
        <f>+I14+1</f>
        <v>2025</v>
      </c>
      <c r="L14" s="27">
        <f t="shared" ref="L14:N14" si="2">+K14+1</f>
        <v>2026</v>
      </c>
      <c r="M14" s="27">
        <f t="shared" si="2"/>
        <v>2027</v>
      </c>
      <c r="N14" s="27">
        <f t="shared" si="2"/>
        <v>2028</v>
      </c>
    </row>
    <row r="15" spans="2:14" ht="4.95" customHeight="1" x14ac:dyDescent="0.25"/>
    <row r="16" spans="2:14" ht="13.8" customHeight="1" x14ac:dyDescent="0.25">
      <c r="B16" s="5" t="s">
        <v>91</v>
      </c>
    </row>
    <row r="17" spans="2:14" ht="13.8" customHeight="1" x14ac:dyDescent="0.25">
      <c r="B17" s="5" t="s">
        <v>140</v>
      </c>
      <c r="F17" s="107">
        <f>+'Revenue Division'!I11</f>
        <v>286751</v>
      </c>
      <c r="G17" s="107">
        <f>+'Revenue Division'!I10</f>
        <v>387455</v>
      </c>
      <c r="H17" s="107">
        <f>+'Revenue Division'!I9</f>
        <v>529000</v>
      </c>
      <c r="I17" s="107">
        <f>+'Revenue Division'!I8</f>
        <v>837223</v>
      </c>
      <c r="J17" s="117"/>
      <c r="K17" s="107" cm="1">
        <f t="array" ref="K17">_xlfn.IFS(Assumptions!$C$34=1,'DCF Model'!$I17*(1+'DCF Model'!$K22),Assumptions!$C$34=2,'DCF Model'!$I17*(1+'DCF Model'!$K25),Assumptions!$C$34=3,'DCF Model'!$I17*(1+'DCF Model'!$K28))</f>
        <v>1091734.3889692775</v>
      </c>
      <c r="L17" s="107" cm="1">
        <f t="array" ref="L17">_xlfn.IFS(Assumptions!$C$34=1,'DCF Model'!K17*(1+'DCF Model'!K22),Assumptions!$C$34=2,'DCF Model'!K17*(1+'DCF Model'!K25),Assumptions!$C$34=3,'DCF Model'!K17*(1+'DCF Model'!K28))</f>
        <v>1423615.9016870316</v>
      </c>
      <c r="M17" s="107" cm="1">
        <f t="array" ref="M17">_xlfn.IFS(Assumptions!$C$34=1,'DCF Model'!L17*(1+'DCF Model'!L22),Assumptions!$C$34=2,'DCF Model'!L17*(1+'DCF Model'!L25),Assumptions!$C$34=3,'DCF Model'!L17*(1+'DCF Model'!L28))</f>
        <v>1856387.6488763907</v>
      </c>
      <c r="N17" s="107" cm="1">
        <f t="array" ref="N17">_xlfn.IFS(Assumptions!$C$34=1,'DCF Model'!M17*(1+'DCF Model'!M22),Assumptions!$C$34=2,'DCF Model'!M17*(1+'DCF Model'!M25),Assumptions!$C$34=3,'DCF Model'!M17*(1+'DCF Model'!M28))</f>
        <v>2420719.7312259455</v>
      </c>
    </row>
    <row r="18" spans="2:14" ht="13.8" customHeight="1" x14ac:dyDescent="0.25">
      <c r="B18" s="5" t="s">
        <v>152</v>
      </c>
      <c r="F18" s="107">
        <f>+'Revenue Division'!J11</f>
        <v>127446</v>
      </c>
      <c r="G18" s="107">
        <f>+'Revenue Division'!J10</f>
        <v>102616</v>
      </c>
      <c r="H18" s="107">
        <f>+'Revenue Division'!J9</f>
        <v>174831</v>
      </c>
      <c r="I18" s="107">
        <f>+'Revenue Division'!J8</f>
        <v>323819</v>
      </c>
      <c r="J18" s="117"/>
      <c r="K18" s="107" cm="1">
        <f t="array" ref="K18">_xlfn.IFS(Assumptions!$C$34=1,'DCF Model'!$I18*(1+'DCF Model'!$K23),Assumptions!$C$34=2,'DCF Model'!$I18*(1+'DCF Model'!$K26),Assumptions!$C$34=3,'DCF Model'!$I18*(1+'DCF Model'!$K29))</f>
        <v>412543.70300688402</v>
      </c>
      <c r="L18" s="107" cm="1">
        <f t="array" ref="L18">_xlfn.IFS(Assumptions!$C$34=1,'DCF Model'!K18*(1+'DCF Model'!K23),Assumptions!$C$34=2,'DCF Model'!K18*(1+'DCF Model'!K26),Assumptions!$C$34=3,'DCF Model'!K18*(1+'DCF Model'!K29))</f>
        <v>525578.50802649662</v>
      </c>
      <c r="M18" s="107" cm="1">
        <f t="array" ref="M18">_xlfn.IFS(Assumptions!$C$34=1,'DCF Model'!L18*(1+'DCF Model'!L23),Assumptions!$C$34=2,'DCF Model'!L18*(1+'DCF Model'!L26),Assumptions!$C$34=3,'DCF Model'!L18*(1+'DCF Model'!L29))</f>
        <v>669584.2551613223</v>
      </c>
      <c r="N18" s="107" cm="1">
        <f t="array" ref="N18">_xlfn.IFS(Assumptions!$C$34=1,'DCF Model'!M18*(1+'DCF Model'!M23),Assumptions!$C$34=2,'DCF Model'!M18*(1+'DCF Model'!M26),Assumptions!$C$34=3,'DCF Model'!M18*(1+'DCF Model'!M29))</f>
        <v>853046.81967197161</v>
      </c>
    </row>
    <row r="19" spans="2:14" x14ac:dyDescent="0.25">
      <c r="B19" s="5" t="s">
        <v>153</v>
      </c>
      <c r="F19" s="118">
        <f>SUM(F17:F18)</f>
        <v>414197</v>
      </c>
      <c r="G19" s="118">
        <f t="shared" ref="G19:I19" si="3">SUM(G17:G18)</f>
        <v>490071</v>
      </c>
      <c r="H19" s="118">
        <f t="shared" si="3"/>
        <v>703831</v>
      </c>
      <c r="I19" s="118">
        <f t="shared" si="3"/>
        <v>1161042</v>
      </c>
      <c r="J19" s="117"/>
      <c r="K19" s="107">
        <f>+SUM(K17:K18)</f>
        <v>1504278.0919761616</v>
      </c>
      <c r="L19" s="107">
        <f t="shared" ref="L19:N19" si="4">+SUM(L17:L18)</f>
        <v>1949194.4097135281</v>
      </c>
      <c r="M19" s="107">
        <f t="shared" si="4"/>
        <v>2525971.9040377131</v>
      </c>
      <c r="N19" s="107">
        <f t="shared" si="4"/>
        <v>3273766.5508979172</v>
      </c>
    </row>
    <row r="20" spans="2:14" x14ac:dyDescent="0.25">
      <c r="B20" s="12" t="s">
        <v>95</v>
      </c>
      <c r="F20" s="22" t="str">
        <f>IFERROR(F19/E19-1,"-")</f>
        <v>-</v>
      </c>
      <c r="G20" s="22">
        <f t="shared" ref="G20:I20" si="5">IFERROR(G19/F19-1,"-")</f>
        <v>0.18318336443769501</v>
      </c>
      <c r="H20" s="22">
        <f t="shared" si="5"/>
        <v>0.43618169612158231</v>
      </c>
      <c r="I20" s="22">
        <f t="shared" si="5"/>
        <v>0.64960338490347835</v>
      </c>
      <c r="J20" s="63">
        <f>+AVERAGE(G20:I20)</f>
        <v>0.42298948182091856</v>
      </c>
      <c r="K20" s="61"/>
      <c r="L20" s="61"/>
      <c r="M20" s="61"/>
      <c r="N20" s="61"/>
    </row>
    <row r="21" spans="2:14" hidden="1" outlineLevel="2" x14ac:dyDescent="0.25">
      <c r="B21" s="5" t="s">
        <v>224</v>
      </c>
      <c r="F21" s="22"/>
      <c r="G21" s="22"/>
      <c r="H21" s="22"/>
      <c r="I21" s="22"/>
      <c r="J21" s="63"/>
      <c r="K21" s="24"/>
      <c r="L21" s="24"/>
      <c r="M21" s="24"/>
      <c r="N21" s="24"/>
    </row>
    <row r="22" spans="2:14" hidden="1" outlineLevel="2" x14ac:dyDescent="0.25">
      <c r="B22" s="60" t="s">
        <v>165</v>
      </c>
      <c r="F22" s="22"/>
      <c r="G22" s="22"/>
      <c r="H22" s="22"/>
      <c r="I22" s="22"/>
      <c r="J22" s="63"/>
      <c r="K22" s="152">
        <f>+Assumptions!$G$34</f>
        <v>0.25399474091045932</v>
      </c>
      <c r="L22" s="152">
        <f>+Assumptions!$G$34</f>
        <v>0.25399474091045932</v>
      </c>
      <c r="M22" s="152">
        <f>+Assumptions!$G$34</f>
        <v>0.25399474091045932</v>
      </c>
      <c r="N22" s="152">
        <f>+Assumptions!$G$34</f>
        <v>0.25399474091045932</v>
      </c>
    </row>
    <row r="23" spans="2:14" hidden="1" outlineLevel="2" x14ac:dyDescent="0.25">
      <c r="B23" s="60" t="s">
        <v>166</v>
      </c>
      <c r="F23" s="22"/>
      <c r="G23" s="22"/>
      <c r="H23" s="22"/>
      <c r="I23" s="22"/>
      <c r="J23" s="63"/>
      <c r="K23" s="152">
        <f>+Assumptions!$G$35</f>
        <v>0.22399474091045929</v>
      </c>
      <c r="L23" s="152">
        <f>+Assumptions!$G$35</f>
        <v>0.22399474091045929</v>
      </c>
      <c r="M23" s="152">
        <f>+Assumptions!$G$35</f>
        <v>0.22399474091045929</v>
      </c>
      <c r="N23" s="152">
        <f>+Assumptions!$G$35</f>
        <v>0.22399474091045929</v>
      </c>
    </row>
    <row r="24" spans="2:14" hidden="1" outlineLevel="2" x14ac:dyDescent="0.25">
      <c r="B24" s="5" t="s">
        <v>164</v>
      </c>
      <c r="F24" s="22"/>
      <c r="G24" s="22"/>
      <c r="H24" s="22"/>
      <c r="I24" s="22"/>
      <c r="J24" s="63"/>
      <c r="K24" s="24"/>
      <c r="L24" s="24"/>
      <c r="M24" s="24"/>
      <c r="N24" s="24"/>
    </row>
    <row r="25" spans="2:14" hidden="1" outlineLevel="2" x14ac:dyDescent="0.25">
      <c r="B25" s="60" t="s">
        <v>165</v>
      </c>
      <c r="F25" s="22"/>
      <c r="G25" s="22"/>
      <c r="H25" s="22"/>
      <c r="I25" s="22"/>
      <c r="J25" s="63"/>
      <c r="K25" s="152">
        <f>+Assumptions!$K$34</f>
        <v>0.3039947409104593</v>
      </c>
      <c r="L25" s="152">
        <f>+Assumptions!$K$34</f>
        <v>0.3039947409104593</v>
      </c>
      <c r="M25" s="152">
        <f>+Assumptions!$K$34</f>
        <v>0.3039947409104593</v>
      </c>
      <c r="N25" s="152">
        <f>+Assumptions!$K$34</f>
        <v>0.3039947409104593</v>
      </c>
    </row>
    <row r="26" spans="2:14" hidden="1" outlineLevel="2" x14ac:dyDescent="0.25">
      <c r="B26" s="60" t="s">
        <v>166</v>
      </c>
      <c r="F26" s="22"/>
      <c r="G26" s="22"/>
      <c r="H26" s="22"/>
      <c r="I26" s="22"/>
      <c r="J26" s="63"/>
      <c r="K26" s="152">
        <f>+Assumptions!$K$35</f>
        <v>0.27399474091045928</v>
      </c>
      <c r="L26" s="152">
        <f>+Assumptions!$K$35</f>
        <v>0.27399474091045928</v>
      </c>
      <c r="M26" s="152">
        <f>+Assumptions!$K$35</f>
        <v>0.27399474091045928</v>
      </c>
      <c r="N26" s="152">
        <f>+Assumptions!$K$35</f>
        <v>0.27399474091045928</v>
      </c>
    </row>
    <row r="27" spans="2:14" hidden="1" outlineLevel="2" x14ac:dyDescent="0.25">
      <c r="B27" s="5" t="s">
        <v>225</v>
      </c>
      <c r="F27" s="22"/>
      <c r="G27" s="22"/>
      <c r="H27" s="22"/>
      <c r="I27" s="22"/>
      <c r="J27" s="63"/>
      <c r="K27" s="24"/>
      <c r="L27" s="24"/>
      <c r="M27" s="24"/>
      <c r="N27" s="24"/>
    </row>
    <row r="28" spans="2:14" hidden="1" outlineLevel="2" x14ac:dyDescent="0.25">
      <c r="B28" s="60" t="s">
        <v>165</v>
      </c>
      <c r="F28" s="22"/>
      <c r="G28" s="22"/>
      <c r="H28" s="22"/>
      <c r="I28" s="22"/>
      <c r="J28" s="63"/>
      <c r="K28" s="152">
        <f>+Assumptions!$O$34</f>
        <v>0.35399474091045929</v>
      </c>
      <c r="L28" s="152">
        <f>+Assumptions!$O$34</f>
        <v>0.35399474091045929</v>
      </c>
      <c r="M28" s="152">
        <f>+Assumptions!$O$34</f>
        <v>0.35399474091045929</v>
      </c>
      <c r="N28" s="152">
        <f>+Assumptions!$O$34</f>
        <v>0.35399474091045929</v>
      </c>
    </row>
    <row r="29" spans="2:14" hidden="1" outlineLevel="2" x14ac:dyDescent="0.25">
      <c r="B29" s="60" t="s">
        <v>166</v>
      </c>
      <c r="F29" s="22"/>
      <c r="G29" s="22"/>
      <c r="H29" s="22"/>
      <c r="I29" s="22"/>
      <c r="J29" s="63"/>
      <c r="K29" s="152">
        <f>+Assumptions!$O$35</f>
        <v>0.32399474091045927</v>
      </c>
      <c r="L29" s="152">
        <f>+Assumptions!$O$35</f>
        <v>0.32399474091045927</v>
      </c>
      <c r="M29" s="152">
        <f>+Assumptions!$O$35</f>
        <v>0.32399474091045927</v>
      </c>
      <c r="N29" s="152">
        <f>+Assumptions!$O$35</f>
        <v>0.32399474091045927</v>
      </c>
    </row>
    <row r="30" spans="2:14" ht="6.6" customHeight="1" collapsed="1" x14ac:dyDescent="0.25">
      <c r="J30" s="64"/>
    </row>
    <row r="31" spans="2:14" x14ac:dyDescent="0.25">
      <c r="B31" s="5" t="s">
        <v>96</v>
      </c>
      <c r="F31" s="118">
        <f>+'Income Statement'!C15</f>
        <v>324600</v>
      </c>
      <c r="G31" s="118">
        <f>+'Income Statement'!D15</f>
        <v>406957</v>
      </c>
      <c r="H31" s="118">
        <f>+'Income Statement'!E15</f>
        <v>515198</v>
      </c>
      <c r="I31" s="118">
        <f>+'Income Statement'!F15</f>
        <v>875806</v>
      </c>
      <c r="J31" s="119"/>
      <c r="K31" s="107">
        <f ca="1">+K19*K32</f>
        <v>1109481.7851632307</v>
      </c>
      <c r="L31" s="107">
        <f ca="1">+L19*L32</f>
        <v>1437630.252580602</v>
      </c>
      <c r="M31" s="107">
        <f ca="1">+M19*M32</f>
        <v>1863033.0603846479</v>
      </c>
      <c r="N31" s="107">
        <f ca="1">+N19*N32</f>
        <v>2414569.7371197599</v>
      </c>
    </row>
    <row r="32" spans="2:14" x14ac:dyDescent="0.25">
      <c r="B32" s="12" t="s">
        <v>97</v>
      </c>
      <c r="F32" s="23">
        <f>+F31/F$19</f>
        <v>0.78368505807622946</v>
      </c>
      <c r="G32" s="23">
        <f t="shared" ref="G32:I32" si="6">+G31/G$19</f>
        <v>0.83040416592697797</v>
      </c>
      <c r="H32" s="23">
        <f t="shared" si="6"/>
        <v>0.73199106035397699</v>
      </c>
      <c r="I32" s="23">
        <f t="shared" si="6"/>
        <v>0.75432757815824059</v>
      </c>
      <c r="J32" s="63">
        <f>+AVERAGE(F32:I32)</f>
        <v>0.77510196562885625</v>
      </c>
      <c r="K32" s="23">
        <f ca="1">OFFSET(K32,Assumptions!$C$35,0)</f>
        <v>0.73755098281442821</v>
      </c>
      <c r="L32" s="23">
        <f ca="1">OFFSET(L32,Assumptions!$C$35,0)</f>
        <v>0.73755098281442821</v>
      </c>
      <c r="M32" s="23">
        <f ca="1">OFFSET(M32,Assumptions!$C$35,0)</f>
        <v>0.73755098281442821</v>
      </c>
      <c r="N32" s="23">
        <f ca="1">OFFSET(N32,Assumptions!$C$35,0)</f>
        <v>0.73755098281442821</v>
      </c>
    </row>
    <row r="33" spans="2:14" outlineLevel="1" x14ac:dyDescent="0.25">
      <c r="B33" s="12" t="s">
        <v>224</v>
      </c>
      <c r="F33" s="22"/>
      <c r="G33" s="22"/>
      <c r="H33" s="22"/>
      <c r="I33" s="22"/>
      <c r="J33" s="63"/>
      <c r="K33" s="152">
        <f>+Assumptions!$G$36</f>
        <v>0.78755098281442826</v>
      </c>
      <c r="L33" s="152">
        <f>+Assumptions!$G$36</f>
        <v>0.78755098281442826</v>
      </c>
      <c r="M33" s="152">
        <f>+Assumptions!$G$36</f>
        <v>0.78755098281442826</v>
      </c>
      <c r="N33" s="152">
        <f>+Assumptions!$G$36</f>
        <v>0.78755098281442826</v>
      </c>
    </row>
    <row r="34" spans="2:14" outlineLevel="1" x14ac:dyDescent="0.25">
      <c r="B34" s="12" t="s">
        <v>164</v>
      </c>
      <c r="F34" s="22"/>
      <c r="G34" s="22"/>
      <c r="H34" s="22"/>
      <c r="I34" s="22"/>
      <c r="J34" s="63"/>
      <c r="K34" s="152">
        <f>+Assumptions!$K$36</f>
        <v>0.73755098281442821</v>
      </c>
      <c r="L34" s="152">
        <f>+Assumptions!$K$36</f>
        <v>0.73755098281442821</v>
      </c>
      <c r="M34" s="152">
        <f>+Assumptions!$K$36</f>
        <v>0.73755098281442821</v>
      </c>
      <c r="N34" s="152">
        <f>+Assumptions!$K$36</f>
        <v>0.73755098281442821</v>
      </c>
    </row>
    <row r="35" spans="2:14" outlineLevel="1" x14ac:dyDescent="0.25">
      <c r="B35" s="12" t="s">
        <v>225</v>
      </c>
      <c r="F35" s="22"/>
      <c r="G35" s="22"/>
      <c r="H35" s="22"/>
      <c r="I35" s="22"/>
      <c r="J35" s="63"/>
      <c r="K35" s="152">
        <f>+Assumptions!$O$36</f>
        <v>0.68755098281442817</v>
      </c>
      <c r="L35" s="152">
        <f>+Assumptions!$O$36</f>
        <v>0.68755098281442817</v>
      </c>
      <c r="M35" s="152">
        <f>+Assumptions!$O$36</f>
        <v>0.68755098281442817</v>
      </c>
      <c r="N35" s="152">
        <f>+Assumptions!$O$36</f>
        <v>0.68755098281442817</v>
      </c>
    </row>
    <row r="36" spans="2:14" ht="6.6" customHeight="1" x14ac:dyDescent="0.25">
      <c r="B36" s="12"/>
      <c r="F36" s="22"/>
      <c r="G36" s="22"/>
      <c r="H36" s="22"/>
      <c r="I36" s="22"/>
      <c r="J36" s="63"/>
      <c r="K36" s="62"/>
      <c r="L36" s="62"/>
      <c r="M36" s="62"/>
      <c r="N36" s="62"/>
    </row>
    <row r="37" spans="2:14" x14ac:dyDescent="0.25">
      <c r="B37" s="12" t="s">
        <v>226</v>
      </c>
      <c r="F37" s="122">
        <f t="shared" ref="F37:N37" si="7">+F19-F31</f>
        <v>89597</v>
      </c>
      <c r="G37" s="122">
        <f t="shared" si="7"/>
        <v>83114</v>
      </c>
      <c r="H37" s="122">
        <f t="shared" si="7"/>
        <v>188633</v>
      </c>
      <c r="I37" s="122">
        <f t="shared" si="7"/>
        <v>285236</v>
      </c>
      <c r="J37" s="122">
        <f t="shared" si="7"/>
        <v>0</v>
      </c>
      <c r="K37" s="122">
        <f t="shared" ca="1" si="7"/>
        <v>394796.30681293085</v>
      </c>
      <c r="L37" s="122">
        <f t="shared" ca="1" si="7"/>
        <v>511564.15713292616</v>
      </c>
      <c r="M37" s="122">
        <f t="shared" ca="1" si="7"/>
        <v>662938.84365306515</v>
      </c>
      <c r="N37" s="122">
        <f t="shared" ca="1" si="7"/>
        <v>859196.81377815735</v>
      </c>
    </row>
    <row r="38" spans="2:14" x14ac:dyDescent="0.25">
      <c r="B38" s="12" t="s">
        <v>227</v>
      </c>
      <c r="F38" s="123">
        <f>+F37/F19</f>
        <v>0.21631494192377057</v>
      </c>
      <c r="G38" s="123">
        <f>+G37/G19</f>
        <v>0.16959583407302206</v>
      </c>
      <c r="H38" s="123">
        <f>+H37/H19</f>
        <v>0.26800893964602296</v>
      </c>
      <c r="I38" s="123">
        <f>+I37/I19</f>
        <v>0.24567242184175939</v>
      </c>
      <c r="J38" s="124"/>
      <c r="K38" s="123">
        <f ca="1">+K37/K19</f>
        <v>0.26244901718557184</v>
      </c>
      <c r="L38" s="123">
        <f ca="1">+L37/L19</f>
        <v>0.26244901718557179</v>
      </c>
      <c r="M38" s="123">
        <f ca="1">+M37/M19</f>
        <v>0.26244901718557173</v>
      </c>
      <c r="N38" s="123">
        <f ca="1">+N37/N19</f>
        <v>0.26244901718557173</v>
      </c>
    </row>
    <row r="39" spans="2:14" ht="6.6" customHeight="1" x14ac:dyDescent="0.25">
      <c r="J39" s="64"/>
    </row>
    <row r="40" spans="2:14" x14ac:dyDescent="0.25">
      <c r="B40" s="5" t="s">
        <v>98</v>
      </c>
      <c r="F40" s="118">
        <f>+'Income Statement'!C22</f>
        <v>50244</v>
      </c>
      <c r="G40" s="118">
        <f>+'Income Statement'!D22</f>
        <v>48091</v>
      </c>
      <c r="H40" s="118">
        <f>+'Income Statement'!E22</f>
        <v>78555</v>
      </c>
      <c r="I40" s="118">
        <f>+'Income Statement'!F22</f>
        <v>154614</v>
      </c>
      <c r="J40" s="119"/>
      <c r="K40" s="107">
        <f ca="1">+K19*K41</f>
        <v>219705.14968730113</v>
      </c>
      <c r="L40" s="107">
        <f ca="1">+L19*L41</f>
        <v>284686.75562054769</v>
      </c>
      <c r="M40" s="107">
        <f ca="1">+M19*M41</f>
        <v>368927.1539901662</v>
      </c>
      <c r="N40" s="107">
        <f ca="1">+N19*N41</f>
        <v>478145.21393541951</v>
      </c>
    </row>
    <row r="41" spans="2:14" x14ac:dyDescent="0.25">
      <c r="B41" s="12" t="s">
        <v>97</v>
      </c>
      <c r="F41" s="23">
        <f>+F40/F$19</f>
        <v>0.12130459660499714</v>
      </c>
      <c r="G41" s="23">
        <f>+G40/G$19</f>
        <v>9.813067902405978E-2</v>
      </c>
      <c r="H41" s="23">
        <f>+H40/H$19</f>
        <v>0.11161059970362204</v>
      </c>
      <c r="I41" s="23">
        <f>+I40/I$19</f>
        <v>0.13316830915677469</v>
      </c>
      <c r="J41" s="63">
        <f>+AVERAGE(F41:I41)</f>
        <v>0.1160535461223634</v>
      </c>
      <c r="K41" s="23">
        <f ca="1">OFFSET(K41,Assumptions!$C$36,0)</f>
        <v>0.1460535461223634</v>
      </c>
      <c r="L41" s="23">
        <f ca="1">OFFSET(L41,Assumptions!$C$36,0)</f>
        <v>0.1460535461223634</v>
      </c>
      <c r="M41" s="23">
        <f ca="1">OFFSET(M41,Assumptions!$C$36,0)</f>
        <v>0.1460535461223634</v>
      </c>
      <c r="N41" s="23">
        <f ca="1">OFFSET(N41,Assumptions!$C$36,0)</f>
        <v>0.1460535461223634</v>
      </c>
    </row>
    <row r="42" spans="2:14" outlineLevel="1" x14ac:dyDescent="0.25">
      <c r="B42" s="12" t="s">
        <v>224</v>
      </c>
      <c r="J42" s="5"/>
      <c r="K42" s="152">
        <f>+Assumptions!$G$37</f>
        <v>0.16605354612236339</v>
      </c>
      <c r="L42" s="152">
        <f>+Assumptions!$G$37</f>
        <v>0.16605354612236339</v>
      </c>
      <c r="M42" s="152">
        <f>+Assumptions!$G$37</f>
        <v>0.16605354612236339</v>
      </c>
      <c r="N42" s="152">
        <f>+Assumptions!$G$37</f>
        <v>0.16605354612236339</v>
      </c>
    </row>
    <row r="43" spans="2:14" outlineLevel="1" x14ac:dyDescent="0.25">
      <c r="B43" s="12" t="s">
        <v>164</v>
      </c>
      <c r="F43" s="23"/>
      <c r="G43" s="23"/>
      <c r="H43" s="23"/>
      <c r="I43" s="23"/>
      <c r="J43" s="63"/>
      <c r="K43" s="152">
        <f>+Assumptions!$K$37</f>
        <v>0.1460535461223634</v>
      </c>
      <c r="L43" s="152">
        <f>+Assumptions!$K$37</f>
        <v>0.1460535461223634</v>
      </c>
      <c r="M43" s="152">
        <f>+Assumptions!$K$37</f>
        <v>0.1460535461223634</v>
      </c>
      <c r="N43" s="152">
        <f>+Assumptions!$K$37</f>
        <v>0.1460535461223634</v>
      </c>
    </row>
    <row r="44" spans="2:14" outlineLevel="1" x14ac:dyDescent="0.25">
      <c r="B44" s="12" t="s">
        <v>225</v>
      </c>
      <c r="F44" s="23"/>
      <c r="G44" s="23"/>
      <c r="H44" s="23"/>
      <c r="I44" s="23"/>
      <c r="J44" s="63"/>
      <c r="K44" s="152">
        <f>+Assumptions!$O$37</f>
        <v>0.12605354612236341</v>
      </c>
      <c r="L44" s="152">
        <f>+Assumptions!$O$37</f>
        <v>0.12605354612236341</v>
      </c>
      <c r="M44" s="152">
        <f>+Assumptions!$O$37</f>
        <v>0.12605354612236341</v>
      </c>
      <c r="N44" s="152">
        <f>+Assumptions!$O$37</f>
        <v>0.12605354612236341</v>
      </c>
    </row>
    <row r="45" spans="2:14" ht="6.6" customHeight="1" x14ac:dyDescent="0.25">
      <c r="J45" s="64"/>
    </row>
    <row r="46" spans="2:14" x14ac:dyDescent="0.25">
      <c r="B46" s="9" t="s">
        <v>99</v>
      </c>
      <c r="C46" s="9"/>
      <c r="D46" s="9"/>
      <c r="E46" s="9"/>
      <c r="F46" s="167">
        <f>+F37-F40</f>
        <v>39353</v>
      </c>
      <c r="G46" s="167">
        <f t="shared" ref="G46:N46" si="8">+G37-G40</f>
        <v>35023</v>
      </c>
      <c r="H46" s="167">
        <f t="shared" si="8"/>
        <v>110078</v>
      </c>
      <c r="I46" s="167">
        <f t="shared" si="8"/>
        <v>130622</v>
      </c>
      <c r="J46" s="168"/>
      <c r="K46" s="167">
        <f t="shared" ca="1" si="8"/>
        <v>175091.15712562972</v>
      </c>
      <c r="L46" s="167">
        <f t="shared" ca="1" si="8"/>
        <v>226877.40151237848</v>
      </c>
      <c r="M46" s="167">
        <f t="shared" ca="1" si="8"/>
        <v>294011.68966289895</v>
      </c>
      <c r="N46" s="167">
        <f t="shared" ca="1" si="8"/>
        <v>381051.59984273784</v>
      </c>
    </row>
    <row r="47" spans="2:14" x14ac:dyDescent="0.25">
      <c r="B47" s="12" t="s">
        <v>100</v>
      </c>
      <c r="F47" s="23">
        <f>+F46/F$19</f>
        <v>9.5010345318773434E-2</v>
      </c>
      <c r="G47" s="23">
        <f t="shared" ref="G47:K47" si="9">+G46/G$19</f>
        <v>7.1465155048962295E-2</v>
      </c>
      <c r="H47" s="23">
        <f t="shared" si="9"/>
        <v>0.15639833994240093</v>
      </c>
      <c r="I47" s="23">
        <f t="shared" si="9"/>
        <v>0.1125041126849847</v>
      </c>
      <c r="J47" s="63">
        <f>+AVERAGE(F47:I47)</f>
        <v>0.10884448824878035</v>
      </c>
      <c r="K47" s="23">
        <f t="shared" ca="1" si="9"/>
        <v>0.11639547106320844</v>
      </c>
      <c r="L47" s="23">
        <f t="shared" ref="L47" ca="1" si="10">+L46/L$19</f>
        <v>0.11639547106320837</v>
      </c>
      <c r="M47" s="23">
        <f t="shared" ref="M47" ca="1" si="11">+M46/M$19</f>
        <v>0.11639547106320836</v>
      </c>
      <c r="N47" s="23">
        <f t="shared" ref="N47" ca="1" si="12">+N46/N$19</f>
        <v>0.11639547106320831</v>
      </c>
    </row>
    <row r="48" spans="2:14" ht="6.6" customHeight="1" x14ac:dyDescent="0.25">
      <c r="F48" s="23"/>
      <c r="G48" s="23"/>
      <c r="H48" s="23"/>
      <c r="I48" s="23"/>
      <c r="J48" s="63"/>
      <c r="K48" s="23"/>
      <c r="L48" s="23"/>
      <c r="M48" s="23"/>
      <c r="N48" s="23"/>
    </row>
    <row r="49" spans="2:14" x14ac:dyDescent="0.25">
      <c r="B49" s="5" t="s">
        <v>203</v>
      </c>
      <c r="F49" s="115">
        <v>-309</v>
      </c>
      <c r="G49" s="115">
        <v>-568</v>
      </c>
      <c r="H49" s="115">
        <v>-1240</v>
      </c>
      <c r="I49" s="115">
        <v>-256</v>
      </c>
      <c r="J49" s="116"/>
      <c r="K49" s="115">
        <f>-K50*'Supplementary Schedule'!G8</f>
        <v>-88.899131707232897</v>
      </c>
      <c r="L49" s="115">
        <f>-L50*'Supplementary Schedule'!H8</f>
        <v>-33.936644939757748</v>
      </c>
      <c r="M49" s="115">
        <f>-M50*'Supplementary Schedule'!I8</f>
        <v>-12.955085698249652</v>
      </c>
      <c r="N49" s="115">
        <f>-N50*'Supplementary Schedule'!J8</f>
        <v>-4.9455167341062074</v>
      </c>
    </row>
    <row r="50" spans="2:14" s="106" customFormat="1" x14ac:dyDescent="0.25">
      <c r="B50" s="112" t="s">
        <v>222</v>
      </c>
      <c r="F50" s="104"/>
      <c r="G50" s="104">
        <f>-G49/'Supplementary Schedule'!C8</f>
        <v>0.15014538725878931</v>
      </c>
      <c r="H50" s="104">
        <f>-H49/'Supplementary Schedule'!D8</f>
        <v>0.69780528981429379</v>
      </c>
      <c r="I50" s="104">
        <f>-I49/'Supplementary Schedule'!E8</f>
        <v>0.49042145593869729</v>
      </c>
      <c r="J50" s="105">
        <f>+AVERAGE(G50:I50)</f>
        <v>0.44612404433726011</v>
      </c>
      <c r="K50" s="104">
        <f>+J50</f>
        <v>0.44612404433726011</v>
      </c>
      <c r="L50" s="104">
        <f t="shared" ref="L50:N50" si="13">+K50</f>
        <v>0.44612404433726011</v>
      </c>
      <c r="M50" s="104">
        <f t="shared" si="13"/>
        <v>0.44612404433726011</v>
      </c>
      <c r="N50" s="104">
        <f t="shared" si="13"/>
        <v>0.44612404433726011</v>
      </c>
    </row>
    <row r="51" spans="2:14" ht="6.6" customHeight="1" x14ac:dyDescent="0.25">
      <c r="F51" s="103"/>
      <c r="G51" s="103"/>
      <c r="H51" s="103"/>
      <c r="I51" s="103"/>
      <c r="J51" s="102"/>
      <c r="K51" s="103"/>
      <c r="L51" s="103"/>
      <c r="M51" s="103"/>
      <c r="N51" s="103"/>
    </row>
    <row r="52" spans="2:14" x14ac:dyDescent="0.25">
      <c r="B52" s="5" t="s">
        <v>204</v>
      </c>
      <c r="F52" s="115">
        <v>537</v>
      </c>
      <c r="G52" s="115">
        <v>472</v>
      </c>
      <c r="H52" s="115">
        <v>3304</v>
      </c>
      <c r="I52" s="115">
        <v>9405</v>
      </c>
      <c r="J52" s="116"/>
      <c r="K52" s="115">
        <f>+K53*'Supplementary Schedule'!G16</f>
        <v>6709.4142686742525</v>
      </c>
      <c r="L52" s="115">
        <f>+L53*'Supplementary Schedule'!H16</f>
        <v>9038.298810036742</v>
      </c>
      <c r="M52" s="115">
        <f>+M53*'Supplementary Schedule'!I16</f>
        <v>12175.555437219007</v>
      </c>
      <c r="N52" s="115">
        <f>+N53*'Supplementary Schedule'!J16</f>
        <v>16401.775745693751</v>
      </c>
    </row>
    <row r="53" spans="2:14" x14ac:dyDescent="0.25">
      <c r="B53" s="112" t="s">
        <v>222</v>
      </c>
      <c r="F53" s="61"/>
      <c r="G53" s="61">
        <f>+G52/'Supplementary Schedule'!C16</f>
        <v>3.2884882011551511E-3</v>
      </c>
      <c r="H53" s="61">
        <f>+H52/'Supplementary Schedule'!D16</f>
        <v>1.8026767348853959E-2</v>
      </c>
      <c r="I53" s="61">
        <f>+I52/'Supplementary Schedule'!E16</f>
        <v>3.6206637691090587E-2</v>
      </c>
      <c r="J53" s="105">
        <f>+AVERAGE(G53:I53)</f>
        <v>1.9173964413699899E-2</v>
      </c>
      <c r="K53" s="61">
        <f>+$J$53</f>
        <v>1.9173964413699899E-2</v>
      </c>
      <c r="L53" s="61">
        <f t="shared" ref="L53:N53" si="14">+$J$53</f>
        <v>1.9173964413699899E-2</v>
      </c>
      <c r="M53" s="61">
        <f t="shared" si="14"/>
        <v>1.9173964413699899E-2</v>
      </c>
      <c r="N53" s="61">
        <f t="shared" si="14"/>
        <v>1.9173964413699899E-2</v>
      </c>
    </row>
    <row r="54" spans="2:14" ht="6.6" customHeight="1" x14ac:dyDescent="0.25">
      <c r="F54" s="103"/>
      <c r="G54" s="103"/>
      <c r="H54" s="103"/>
      <c r="I54" s="103"/>
      <c r="J54" s="102"/>
      <c r="K54" s="103"/>
      <c r="L54" s="103"/>
      <c r="M54" s="103"/>
      <c r="N54" s="103"/>
    </row>
    <row r="55" spans="2:14" x14ac:dyDescent="0.25">
      <c r="B55" s="5" t="s">
        <v>205</v>
      </c>
      <c r="F55" s="115">
        <v>-2012</v>
      </c>
      <c r="G55" s="115">
        <v>-4854</v>
      </c>
      <c r="H55" s="115">
        <v>2086</v>
      </c>
      <c r="I55" s="115">
        <v>-1233</v>
      </c>
      <c r="J55" s="116"/>
      <c r="K55" s="115">
        <f>+I55*(1+K56)</f>
        <v>-571.98573125055464</v>
      </c>
      <c r="L55" s="115">
        <f>+K55*(1+L56)</f>
        <v>-265.34280353141259</v>
      </c>
      <c r="M55" s="115">
        <f t="shared" ref="M55:N55" si="15">+L55*(1+M56)</f>
        <v>-123.09188768044388</v>
      </c>
      <c r="N55" s="115">
        <f t="shared" si="15"/>
        <v>-57.102030321094759</v>
      </c>
    </row>
    <row r="56" spans="2:14" x14ac:dyDescent="0.25">
      <c r="B56" s="12" t="s">
        <v>221</v>
      </c>
      <c r="F56" s="61"/>
      <c r="G56" s="61">
        <f>+G55/F55-1</f>
        <v>1.4125248508946324</v>
      </c>
      <c r="H56" s="61">
        <f>+H55/G55-1</f>
        <v>-1.4297486608982282</v>
      </c>
      <c r="I56" s="61">
        <f>+I55/H55-1</f>
        <v>-1.5910834132310643</v>
      </c>
      <c r="J56" s="114">
        <f>+AVERAGE(G56:I56)</f>
        <v>-0.53610240774488671</v>
      </c>
      <c r="K56" s="61">
        <f>+$J$56</f>
        <v>-0.53610240774488671</v>
      </c>
      <c r="L56" s="61">
        <f t="shared" ref="L56:N56" si="16">+$J$56</f>
        <v>-0.53610240774488671</v>
      </c>
      <c r="M56" s="61">
        <f t="shared" si="16"/>
        <v>-0.53610240774488671</v>
      </c>
      <c r="N56" s="61">
        <f t="shared" si="16"/>
        <v>-0.53610240774488671</v>
      </c>
    </row>
    <row r="57" spans="2:14" ht="6.6" customHeight="1" x14ac:dyDescent="0.25">
      <c r="F57" s="113"/>
      <c r="G57" s="113"/>
      <c r="H57" s="113"/>
      <c r="I57" s="113"/>
      <c r="J57" s="114"/>
      <c r="K57" s="103"/>
      <c r="L57" s="103"/>
      <c r="M57" s="103"/>
      <c r="N57" s="103"/>
    </row>
    <row r="58" spans="2:14" x14ac:dyDescent="0.25">
      <c r="B58" s="5" t="s">
        <v>206</v>
      </c>
      <c r="F58" s="115">
        <v>0</v>
      </c>
      <c r="G58" s="115">
        <v>1085</v>
      </c>
      <c r="H58" s="115">
        <v>911</v>
      </c>
      <c r="I58" s="115">
        <v>37</v>
      </c>
      <c r="J58" s="116"/>
      <c r="K58" s="115">
        <f>+I58*(1+K59)</f>
        <v>23.189701228035567</v>
      </c>
      <c r="L58" s="115">
        <f>+K58*(1+L59)</f>
        <v>14.534114676906871</v>
      </c>
      <c r="M58" s="115">
        <f t="shared" ref="M58:N58" si="17">+L58*(1+M59)</f>
        <v>9.1092372154453241</v>
      </c>
      <c r="N58" s="115">
        <f t="shared" si="17"/>
        <v>5.7092024173372895</v>
      </c>
    </row>
    <row r="59" spans="2:14" x14ac:dyDescent="0.25">
      <c r="B59" s="12" t="s">
        <v>221</v>
      </c>
      <c r="F59" s="61"/>
      <c r="G59" s="61">
        <f>IFERROR(G58/F58-1,0)</f>
        <v>0</v>
      </c>
      <c r="H59" s="61">
        <f>IFERROR(H58/G58-1,0)</f>
        <v>-0.16036866359447</v>
      </c>
      <c r="I59" s="61">
        <f>IFERROR(I58/H58-1,0)</f>
        <v>-0.95938529088913282</v>
      </c>
      <c r="J59" s="114">
        <f>+AVERAGE(G59:I59)</f>
        <v>-0.37325131816120094</v>
      </c>
      <c r="K59" s="61">
        <f>+$J$59</f>
        <v>-0.37325131816120094</v>
      </c>
      <c r="L59" s="61">
        <f t="shared" ref="L59:N59" si="18">+$J$59</f>
        <v>-0.37325131816120094</v>
      </c>
      <c r="M59" s="61">
        <f t="shared" si="18"/>
        <v>-0.37325131816120094</v>
      </c>
      <c r="N59" s="61">
        <f t="shared" si="18"/>
        <v>-0.37325131816120094</v>
      </c>
    </row>
    <row r="60" spans="2:14" ht="6.6" customHeight="1" x14ac:dyDescent="0.25">
      <c r="F60" s="103"/>
      <c r="G60" s="103"/>
      <c r="H60" s="103"/>
      <c r="I60" s="103"/>
      <c r="J60" s="102"/>
      <c r="K60" s="103"/>
      <c r="L60" s="103"/>
      <c r="M60" s="103"/>
      <c r="N60" s="103"/>
    </row>
    <row r="61" spans="2:14" x14ac:dyDescent="0.25">
      <c r="B61" s="5" t="s">
        <v>207</v>
      </c>
      <c r="F61" s="115">
        <v>156</v>
      </c>
      <c r="G61" s="115">
        <v>6</v>
      </c>
      <c r="H61" s="115">
        <v>-144</v>
      </c>
      <c r="I61" s="115">
        <v>2039</v>
      </c>
      <c r="J61" s="116"/>
      <c r="K61" s="115">
        <f>+I61*(1+K62)</f>
        <v>2046.4342865387714</v>
      </c>
      <c r="L61" s="115">
        <f>+K61*(1+L62)</f>
        <v>2053.8956788236637</v>
      </c>
      <c r="M61" s="115">
        <f t="shared" ref="M61:N61" si="19">+L61*(1+M62)</f>
        <v>2061.3842756834574</v>
      </c>
      <c r="N61" s="115">
        <f t="shared" si="19"/>
        <v>2068.9001763072674</v>
      </c>
    </row>
    <row r="62" spans="2:14" x14ac:dyDescent="0.25">
      <c r="B62" s="5" t="s">
        <v>222</v>
      </c>
      <c r="F62" s="61">
        <f>+F61/F40</f>
        <v>3.1048483401003107E-3</v>
      </c>
      <c r="G62" s="61">
        <f>+G61/G40</f>
        <v>1.2476346925620178E-4</v>
      </c>
      <c r="H62" s="61">
        <f>+H61/H40</f>
        <v>-1.8331105594806187E-3</v>
      </c>
      <c r="I62" s="61">
        <f>+I61/I40</f>
        <v>1.3187680287684168E-2</v>
      </c>
      <c r="J62" s="114">
        <f>+AVERAGE(F62:I62)</f>
        <v>3.6460453843900156E-3</v>
      </c>
      <c r="K62" s="61">
        <f>+J62</f>
        <v>3.6460453843900156E-3</v>
      </c>
      <c r="L62" s="61">
        <f t="shared" ref="L62:N62" si="20">+K62</f>
        <v>3.6460453843900156E-3</v>
      </c>
      <c r="M62" s="61">
        <f t="shared" si="20"/>
        <v>3.6460453843900156E-3</v>
      </c>
      <c r="N62" s="61">
        <f t="shared" si="20"/>
        <v>3.6460453843900156E-3</v>
      </c>
    </row>
    <row r="63" spans="2:14" ht="6.6" customHeight="1" x14ac:dyDescent="0.25">
      <c r="J63" s="64"/>
    </row>
    <row r="64" spans="2:14" ht="14.4" x14ac:dyDescent="0.3">
      <c r="B64" s="4" t="s">
        <v>103</v>
      </c>
      <c r="C64" s="9"/>
      <c r="D64" s="9"/>
      <c r="E64" s="9"/>
      <c r="F64" s="169">
        <f>+F46+F49+F52+F55+F58+F61</f>
        <v>37725</v>
      </c>
      <c r="G64" s="169">
        <f t="shared" ref="G64:N64" si="21">+G46+G49+G52+G55+G58+G61</f>
        <v>31164</v>
      </c>
      <c r="H64" s="169">
        <f t="shared" si="21"/>
        <v>114995</v>
      </c>
      <c r="I64" s="169">
        <f t="shared" si="21"/>
        <v>140614</v>
      </c>
      <c r="J64" s="168"/>
      <c r="K64" s="169">
        <f t="shared" ca="1" si="21"/>
        <v>183209.31051911297</v>
      </c>
      <c r="L64" s="169">
        <f t="shared" ca="1" si="21"/>
        <v>237684.85066744461</v>
      </c>
      <c r="M64" s="169">
        <f t="shared" ca="1" si="21"/>
        <v>308121.6916396381</v>
      </c>
      <c r="N64" s="169">
        <f t="shared" ca="1" si="21"/>
        <v>399465.93742010102</v>
      </c>
    </row>
    <row r="65" spans="2:14" x14ac:dyDescent="0.25">
      <c r="B65" s="12" t="s">
        <v>202</v>
      </c>
      <c r="F65" s="23">
        <f>+F64/F$19</f>
        <v>9.1079848477898198E-2</v>
      </c>
      <c r="G65" s="23">
        <f t="shared" ref="G65:I65" si="22">+G64/G$19</f>
        <v>6.3590785824911081E-2</v>
      </c>
      <c r="H65" s="23">
        <f t="shared" si="22"/>
        <v>0.16338439199182758</v>
      </c>
      <c r="I65" s="23">
        <f t="shared" si="22"/>
        <v>0.12111017517023501</v>
      </c>
      <c r="J65" s="63">
        <f>+AVERAGE(F65:I65)</f>
        <v>0.10979130036621798</v>
      </c>
      <c r="K65" s="61">
        <f ca="1">+K64/K19</f>
        <v>0.12179218157623498</v>
      </c>
      <c r="L65" s="61">
        <f ca="1">+L64/L19</f>
        <v>0.12194004327273697</v>
      </c>
      <c r="M65" s="61">
        <f ca="1">+M64/M19</f>
        <v>0.12198144054853186</v>
      </c>
      <c r="N65" s="61">
        <f ca="1">+N64/N19</f>
        <v>0.12202028801062095</v>
      </c>
    </row>
    <row r="66" spans="2:14" ht="6.6" customHeight="1" x14ac:dyDescent="0.25">
      <c r="B66" s="12"/>
      <c r="J66" s="64"/>
    </row>
    <row r="67" spans="2:14" x14ac:dyDescent="0.25">
      <c r="B67" s="12" t="s">
        <v>104</v>
      </c>
      <c r="F67" s="107">
        <f>+'Income Statement'!C30</f>
        <v>-8468</v>
      </c>
      <c r="G67" s="107">
        <f>+'Income Statement'!D30</f>
        <v>-7192</v>
      </c>
      <c r="H67" s="107">
        <f>+'Income Statement'!E30</f>
        <v>-20887</v>
      </c>
      <c r="I67" s="107">
        <f>+'Income Statement'!F30</f>
        <v>-14806</v>
      </c>
      <c r="J67" s="119"/>
      <c r="K67" s="107">
        <f>-K19*K68</f>
        <v>-29163.55164062234</v>
      </c>
      <c r="L67" s="107">
        <f>-L19*L68</f>
        <v>-37789.177498832905</v>
      </c>
      <c r="M67" s="107">
        <f>-M19*M68</f>
        <v>-48971.20582896343</v>
      </c>
      <c r="N67" s="107">
        <f>-N19*N68</f>
        <v>-63468.756459139135</v>
      </c>
    </row>
    <row r="68" spans="2:14" x14ac:dyDescent="0.25">
      <c r="B68" s="12" t="s">
        <v>97</v>
      </c>
      <c r="F68" s="23">
        <f>+F67/F$19*-1</f>
        <v>2.0444377916788388E-2</v>
      </c>
      <c r="G68" s="23">
        <f t="shared" ref="G68:I68" si="23">+G67/G$19*-1</f>
        <v>1.4675424581336173E-2</v>
      </c>
      <c r="H68" s="23">
        <f t="shared" si="23"/>
        <v>2.9676158054987634E-2</v>
      </c>
      <c r="I68" s="23">
        <f t="shared" si="23"/>
        <v>1.2752337986050461E-2</v>
      </c>
      <c r="J68" s="63">
        <f>+AVERAGE(F68:I68)</f>
        <v>1.9387074634790665E-2</v>
      </c>
      <c r="K68" s="23">
        <f>+J68</f>
        <v>1.9387074634790665E-2</v>
      </c>
      <c r="L68" s="23">
        <f t="shared" ref="L68:N68" si="24">+K68</f>
        <v>1.9387074634790665E-2</v>
      </c>
      <c r="M68" s="23">
        <f t="shared" si="24"/>
        <v>1.9387074634790665E-2</v>
      </c>
      <c r="N68" s="23">
        <f t="shared" si="24"/>
        <v>1.9387074634790665E-2</v>
      </c>
    </row>
    <row r="69" spans="2:14" ht="6.6" customHeight="1" x14ac:dyDescent="0.25">
      <c r="J69" s="64"/>
    </row>
    <row r="70" spans="2:14" ht="14.4" thickBot="1" x14ac:dyDescent="0.3">
      <c r="B70" s="170" t="s">
        <v>101</v>
      </c>
      <c r="C70" s="170"/>
      <c r="D70" s="170"/>
      <c r="E70" s="170"/>
      <c r="F70" s="171">
        <f>+F64+F67</f>
        <v>29257</v>
      </c>
      <c r="G70" s="171">
        <f>+G64+G67</f>
        <v>23972</v>
      </c>
      <c r="H70" s="171">
        <f>+H64+H67</f>
        <v>94108</v>
      </c>
      <c r="I70" s="171">
        <f>+I64+I67</f>
        <v>125808</v>
      </c>
      <c r="J70" s="172"/>
      <c r="K70" s="171">
        <f ca="1">+K64+K67</f>
        <v>154045.75887849063</v>
      </c>
      <c r="L70" s="171">
        <f ca="1">+L64+L67</f>
        <v>199895.67316861171</v>
      </c>
      <c r="M70" s="171">
        <f ca="1">+M64+M67</f>
        <v>259150.48581067467</v>
      </c>
      <c r="N70" s="171">
        <f ca="1">+N64+N67</f>
        <v>335997.18096096191</v>
      </c>
    </row>
    <row r="71" spans="2:14" ht="14.4" thickTop="1" x14ac:dyDescent="0.25">
      <c r="B71" s="12" t="s">
        <v>102</v>
      </c>
      <c r="F71" s="23">
        <f>+F70/F$19</f>
        <v>7.0635470561109803E-2</v>
      </c>
      <c r="G71" s="23">
        <f t="shared" ref="G71:I71" si="25">+G70/G$19</f>
        <v>4.8915361243574908E-2</v>
      </c>
      <c r="H71" s="23">
        <f t="shared" si="25"/>
        <v>0.13370823393683995</v>
      </c>
      <c r="I71" s="23">
        <f t="shared" si="25"/>
        <v>0.10835783718418456</v>
      </c>
      <c r="J71" s="63">
        <f>+AVERAGE(F71:I71)</f>
        <v>9.0404225731427312E-2</v>
      </c>
      <c r="K71" s="23">
        <f ca="1">+K70/K$19</f>
        <v>0.10240510694144431</v>
      </c>
      <c r="L71" s="23">
        <f ca="1">+L70/L$19</f>
        <v>0.1025529686379463</v>
      </c>
      <c r="M71" s="23">
        <f ca="1">+M70/M$19</f>
        <v>0.10259436591374119</v>
      </c>
      <c r="N71" s="23">
        <f ca="1">+N70/N$19</f>
        <v>0.10263321337583028</v>
      </c>
    </row>
    <row r="72" spans="2:14" x14ac:dyDescent="0.25"/>
    <row r="73" spans="2:14" x14ac:dyDescent="0.25">
      <c r="B73" s="10" t="s">
        <v>123</v>
      </c>
      <c r="C73" s="11"/>
      <c r="D73" s="11"/>
      <c r="E73" s="11"/>
      <c r="F73" s="26">
        <v>2021</v>
      </c>
      <c r="G73" s="26">
        <f>+F73+1</f>
        <v>2022</v>
      </c>
      <c r="H73" s="26">
        <f t="shared" ref="H73:I73" si="26">+G73+1</f>
        <v>2023</v>
      </c>
      <c r="I73" s="26">
        <f t="shared" si="26"/>
        <v>2024</v>
      </c>
      <c r="J73" s="25" t="s">
        <v>105</v>
      </c>
      <c r="K73" s="27">
        <f>+I73+1</f>
        <v>2025</v>
      </c>
      <c r="L73" s="27">
        <f t="shared" ref="L73:N73" si="27">+K73+1</f>
        <v>2026</v>
      </c>
      <c r="M73" s="27">
        <f t="shared" si="27"/>
        <v>2027</v>
      </c>
      <c r="N73" s="27">
        <f t="shared" si="27"/>
        <v>2028</v>
      </c>
    </row>
    <row r="74" spans="2:14" ht="5.4" customHeight="1" x14ac:dyDescent="0.25"/>
    <row r="75" spans="2:14" x14ac:dyDescent="0.25">
      <c r="B75" s="5" t="s">
        <v>124</v>
      </c>
      <c r="F75" s="107">
        <f>+'Cash Flow Statement'!C11</f>
        <v>775</v>
      </c>
      <c r="G75" s="107">
        <f>+'Cash Flow Statement'!D11</f>
        <v>1386</v>
      </c>
      <c r="H75" s="107">
        <f>+'Cash Flow Statement'!E11</f>
        <v>2873</v>
      </c>
      <c r="I75" s="107">
        <f>+'Cash Flow Statement'!F11</f>
        <v>8524</v>
      </c>
      <c r="J75" s="117"/>
      <c r="K75" s="107">
        <f>+K$19*K76</f>
        <v>6063.3233304129235</v>
      </c>
      <c r="L75" s="107">
        <f t="shared" ref="L75:N75" si="28">+L$19*L76</f>
        <v>7856.6562944491598</v>
      </c>
      <c r="M75" s="107">
        <f t="shared" si="28"/>
        <v>10181.484699813158</v>
      </c>
      <c r="N75" s="107">
        <f t="shared" si="28"/>
        <v>13195.635309896777</v>
      </c>
    </row>
    <row r="76" spans="2:14" x14ac:dyDescent="0.25">
      <c r="B76" s="12" t="s">
        <v>97</v>
      </c>
      <c r="F76" s="42">
        <f>+F75/F$19</f>
        <v>1.871090326583727E-3</v>
      </c>
      <c r="G76" s="42">
        <f t="shared" ref="G76:I76" si="29">+G75/G$19</f>
        <v>2.8281616337224608E-3</v>
      </c>
      <c r="H76" s="42">
        <f t="shared" si="29"/>
        <v>4.0819458080135719E-3</v>
      </c>
      <c r="I76" s="42">
        <f t="shared" si="29"/>
        <v>7.3416810072331577E-3</v>
      </c>
      <c r="J76" s="20">
        <f>+AVERAGE(F76:I76)</f>
        <v>4.0307196938882293E-3</v>
      </c>
      <c r="K76" s="62">
        <f>+J76</f>
        <v>4.0307196938882293E-3</v>
      </c>
      <c r="L76" s="62">
        <f t="shared" ref="L76:N76" si="30">+K76</f>
        <v>4.0307196938882293E-3</v>
      </c>
      <c r="M76" s="62">
        <f t="shared" si="30"/>
        <v>4.0307196938882293E-3</v>
      </c>
      <c r="N76" s="62">
        <f t="shared" si="30"/>
        <v>4.0307196938882293E-3</v>
      </c>
    </row>
    <row r="77" spans="2:14" ht="5.4" customHeight="1" x14ac:dyDescent="0.25">
      <c r="B77" s="39" t="s">
        <v>125</v>
      </c>
    </row>
    <row r="78" spans="2:14" x14ac:dyDescent="0.25">
      <c r="B78" s="5" t="s">
        <v>126</v>
      </c>
      <c r="F78" s="107">
        <f>+'Cash Flow Statement'!C36+'Cash Flow Statement'!C37</f>
        <v>-1825</v>
      </c>
      <c r="G78" s="107">
        <f>+'Cash Flow Statement'!D36+'Cash Flow Statement'!D37</f>
        <v>-709</v>
      </c>
      <c r="H78" s="107">
        <f>+'Cash Flow Statement'!E36+'Cash Flow Statement'!E37</f>
        <v>-3918</v>
      </c>
      <c r="I78" s="107">
        <f>+'Cash Flow Statement'!F36+'Cash Flow Statement'!F37</f>
        <v>-13433</v>
      </c>
      <c r="J78" s="117"/>
      <c r="K78" s="107">
        <f>+K$19*K79</f>
        <v>8645.5757866187887</v>
      </c>
      <c r="L78" s="107">
        <f t="shared" ref="L78" si="31">+L$19*L79</f>
        <v>11202.654669984409</v>
      </c>
      <c r="M78" s="107">
        <f t="shared" ref="M78" si="32">+M$19*M79</f>
        <v>14517.582651581877</v>
      </c>
      <c r="N78" s="107">
        <f t="shared" ref="N78" si="33">+N$19*N79</f>
        <v>18815.401869147259</v>
      </c>
    </row>
    <row r="79" spans="2:14" x14ac:dyDescent="0.25">
      <c r="B79" s="12" t="s">
        <v>97</v>
      </c>
      <c r="F79" s="42">
        <f>+F78/F$19*-1</f>
        <v>4.4061159303423253E-3</v>
      </c>
      <c r="G79" s="42">
        <f t="shared" ref="G79:I79" si="34">+G78/G$19*-1</f>
        <v>1.4467291474092529E-3</v>
      </c>
      <c r="H79" s="42">
        <f t="shared" si="34"/>
        <v>5.5666772279140877E-3</v>
      </c>
      <c r="I79" s="42">
        <f t="shared" si="34"/>
        <v>1.1569779560084821E-2</v>
      </c>
      <c r="J79" s="20">
        <f>+AVERAGE(F79:I79)</f>
        <v>5.7473254664376222E-3</v>
      </c>
      <c r="K79" s="62">
        <f>+J79</f>
        <v>5.7473254664376222E-3</v>
      </c>
      <c r="L79" s="62">
        <f t="shared" ref="L79:N79" si="35">+K79</f>
        <v>5.7473254664376222E-3</v>
      </c>
      <c r="M79" s="62">
        <f t="shared" si="35"/>
        <v>5.7473254664376222E-3</v>
      </c>
      <c r="N79" s="62">
        <f t="shared" si="35"/>
        <v>5.7473254664376222E-3</v>
      </c>
    </row>
    <row r="80" spans="2:14" ht="5.4" customHeight="1" x14ac:dyDescent="0.25"/>
    <row r="81" spans="2:15" x14ac:dyDescent="0.25">
      <c r="B81" s="5" t="s">
        <v>127</v>
      </c>
      <c r="F81" s="107">
        <f>+SUM('Cash Flow Statement'!C27:C33)</f>
        <v>-34870</v>
      </c>
      <c r="G81" s="107">
        <f>+SUM('Cash Flow Statement'!D14:D20)</f>
        <v>10179</v>
      </c>
      <c r="H81" s="107">
        <f>+SUM('Cash Flow Statement'!E14:E20)</f>
        <v>28285</v>
      </c>
      <c r="I81" s="107">
        <f>+SUM('Cash Flow Statement'!F14:F20)</f>
        <v>-24063</v>
      </c>
      <c r="J81" s="117"/>
      <c r="K81" s="107">
        <f>+K$19*K82</f>
        <v>62378.653811231314</v>
      </c>
      <c r="L81" s="107">
        <f t="shared" ref="L81" si="36">+L$19*L82</f>
        <v>80828.221818066842</v>
      </c>
      <c r="M81" s="107">
        <f t="shared" ref="M81" si="37">+M$19*M82</f>
        <v>104745.74334315459</v>
      </c>
      <c r="N81" s="107">
        <f t="shared" ref="N81" si="38">+N$19*N82</f>
        <v>135754.91887206593</v>
      </c>
    </row>
    <row r="82" spans="2:15" x14ac:dyDescent="0.25">
      <c r="B82" s="12" t="s">
        <v>97</v>
      </c>
      <c r="F82" s="42">
        <f>+F81/F$19*-1</f>
        <v>8.4186993145773631E-2</v>
      </c>
      <c r="G82" s="42">
        <f>+G81/G$19</f>
        <v>2.0770459790520147E-2</v>
      </c>
      <c r="H82" s="42">
        <f>+H81/H$19</f>
        <v>4.0187204030513006E-2</v>
      </c>
      <c r="I82" s="42">
        <f t="shared" ref="I82" si="39">+I81/I$19*-1</f>
        <v>2.0725348437007445E-2</v>
      </c>
      <c r="J82" s="20">
        <f>+AVERAGE(F82:I82)</f>
        <v>4.1467501350953555E-2</v>
      </c>
      <c r="K82" s="62">
        <f>+J82</f>
        <v>4.1467501350953555E-2</v>
      </c>
      <c r="L82" s="62">
        <f t="shared" ref="L82:N82" si="40">+K82</f>
        <v>4.1467501350953555E-2</v>
      </c>
      <c r="M82" s="62">
        <f t="shared" si="40"/>
        <v>4.1467501350953555E-2</v>
      </c>
      <c r="N82" s="62">
        <f t="shared" si="40"/>
        <v>4.1467501350953555E-2</v>
      </c>
    </row>
    <row r="83" spans="2:15" ht="5.4" customHeight="1" x14ac:dyDescent="0.25"/>
    <row r="84" spans="2:15" x14ac:dyDescent="0.25">
      <c r="B84" s="72" t="s">
        <v>167</v>
      </c>
      <c r="C84" s="72"/>
      <c r="D84" s="72"/>
      <c r="E84" s="72"/>
      <c r="F84" s="72"/>
      <c r="G84" s="72"/>
      <c r="H84" s="72"/>
      <c r="I84" s="72"/>
      <c r="J84" s="73"/>
      <c r="K84" s="120">
        <f ca="1">+K70+K75-K78-K81</f>
        <v>89084.852611053444</v>
      </c>
      <c r="L84" s="120">
        <f ca="1">+L70+L75-L78-L81</f>
        <v>115721.45297500963</v>
      </c>
      <c r="M84" s="120">
        <f ca="1">+M70+M75-M78-M81</f>
        <v>150068.6445157514</v>
      </c>
      <c r="N84" s="120">
        <f ca="1">+N70+N75-N78-N81</f>
        <v>194622.4955296455</v>
      </c>
    </row>
    <row r="85" spans="2:15" x14ac:dyDescent="0.25"/>
    <row r="86" spans="2:15" ht="14.4" thickBot="1" x14ac:dyDescent="0.3">
      <c r="B86" s="74" t="s">
        <v>181</v>
      </c>
      <c r="C86" s="74"/>
      <c r="D86" s="74"/>
      <c r="E86" s="74"/>
      <c r="F86" s="74"/>
      <c r="G86" s="74"/>
      <c r="H86" s="74"/>
      <c r="I86" s="74"/>
      <c r="J86" s="75"/>
      <c r="K86" s="121">
        <f ca="1">+K84/(1+WACC)^K12</f>
        <v>81566.18520330594</v>
      </c>
      <c r="L86" s="121">
        <f ca="1">+L84/(1+WACC)^L12</f>
        <v>97012.221246227025</v>
      </c>
      <c r="M86" s="121">
        <f ca="1">+M84/(1+WACC)^M12</f>
        <v>115188.41854448778</v>
      </c>
      <c r="N86" s="121">
        <f ca="1">+N84/(1+WACC)^N12</f>
        <v>136778.60756522699</v>
      </c>
    </row>
    <row r="87" spans="2:15" ht="14.4" thickTop="1" x14ac:dyDescent="0.25"/>
    <row r="88" spans="2:15" x14ac:dyDescent="0.25">
      <c r="B88" s="133" t="s">
        <v>185</v>
      </c>
      <c r="C88" s="126"/>
      <c r="D88" s="126"/>
      <c r="E88" s="126"/>
      <c r="F88" s="126"/>
      <c r="G88" s="126"/>
      <c r="H88" s="126"/>
      <c r="I88" s="126"/>
      <c r="J88" s="134"/>
      <c r="K88" s="126"/>
      <c r="L88" s="126"/>
      <c r="M88" s="126"/>
      <c r="N88" s="135">
        <f ca="1">+(N84*(1+TGR))/(WACC-TGR)</f>
        <v>2923102.7597348043</v>
      </c>
    </row>
    <row r="89" spans="2:15" x14ac:dyDescent="0.25">
      <c r="B89" s="136" t="s">
        <v>186</v>
      </c>
      <c r="N89" s="137">
        <f ca="1">+N88/(1+WACC)^N12</f>
        <v>2054325.3448607503</v>
      </c>
    </row>
    <row r="90" spans="2:15" x14ac:dyDescent="0.25">
      <c r="B90" s="136" t="s">
        <v>187</v>
      </c>
      <c r="N90" s="137">
        <f ca="1">+SUM(K86:N86,N89)</f>
        <v>2484870.7774199978</v>
      </c>
      <c r="O90" s="107"/>
    </row>
    <row r="91" spans="2:15" ht="14.4" x14ac:dyDescent="0.3">
      <c r="B91" s="138" t="s">
        <v>188</v>
      </c>
      <c r="N91" s="137">
        <v>259759</v>
      </c>
    </row>
    <row r="92" spans="2:15" ht="14.4" x14ac:dyDescent="0.3">
      <c r="B92" s="138" t="s">
        <v>189</v>
      </c>
      <c r="N92" s="137">
        <f>382000+140000</f>
        <v>522000</v>
      </c>
    </row>
    <row r="93" spans="2:15" x14ac:dyDescent="0.25">
      <c r="B93" s="136" t="s">
        <v>190</v>
      </c>
      <c r="N93" s="137">
        <f ca="1">+N90+N91-N92</f>
        <v>2222629.7774199978</v>
      </c>
    </row>
    <row r="94" spans="2:15" x14ac:dyDescent="0.25">
      <c r="B94" s="136" t="s">
        <v>191</v>
      </c>
      <c r="N94" s="137">
        <f>+'Income Statement'!F45/1000</f>
        <v>41201.025999999998</v>
      </c>
    </row>
    <row r="95" spans="2:15" x14ac:dyDescent="0.25">
      <c r="B95" s="85"/>
      <c r="N95" s="139"/>
    </row>
    <row r="96" spans="2:15" x14ac:dyDescent="0.25">
      <c r="B96" s="140" t="s">
        <v>192</v>
      </c>
      <c r="C96" s="7"/>
      <c r="D96" s="7"/>
      <c r="E96" s="7"/>
      <c r="F96" s="7"/>
      <c r="G96" s="7"/>
      <c r="H96" s="7"/>
      <c r="I96" s="7"/>
      <c r="J96" s="81"/>
      <c r="K96" s="7"/>
      <c r="L96" s="7"/>
      <c r="M96" s="7"/>
      <c r="N96" s="141">
        <f ca="1">+N93/N94</f>
        <v>53.945981282601991</v>
      </c>
    </row>
    <row r="97" spans="2:14" x14ac:dyDescent="0.25"/>
    <row r="98" spans="2:14" x14ac:dyDescent="0.25"/>
    <row r="99" spans="2:14" x14ac:dyDescent="0.25">
      <c r="B99" s="164" t="s">
        <v>196</v>
      </c>
      <c r="C99" s="165"/>
      <c r="D99" s="165"/>
      <c r="E99" s="165"/>
      <c r="F99" s="165"/>
      <c r="G99" s="165"/>
      <c r="H99" s="165"/>
      <c r="I99" s="165"/>
      <c r="J99" s="166"/>
      <c r="K99" s="165"/>
      <c r="L99" s="165"/>
      <c r="M99" s="165"/>
      <c r="N99" s="165"/>
    </row>
    <row r="100" spans="2:14" x14ac:dyDescent="0.25"/>
    <row r="101" spans="2:14" x14ac:dyDescent="0.25"/>
    <row r="102" spans="2:14" ht="14.4" x14ac:dyDescent="0.3">
      <c r="B102" s="162"/>
      <c r="C102" s="163"/>
      <c r="D102" s="91" t="s">
        <v>196</v>
      </c>
      <c r="E102" s="11"/>
      <c r="F102" s="11"/>
      <c r="G102" s="11"/>
      <c r="H102" s="11"/>
      <c r="I102" s="11"/>
      <c r="J102" s="92"/>
      <c r="K102" s="11"/>
      <c r="L102" s="11"/>
      <c r="M102" s="163"/>
      <c r="N102" s="163"/>
    </row>
    <row r="103" spans="2:14" ht="14.4" x14ac:dyDescent="0.3">
      <c r="B103" s="94"/>
      <c r="C103" s="95"/>
      <c r="D103" s="95"/>
      <c r="E103" s="95"/>
      <c r="F103" s="95"/>
      <c r="G103" s="95"/>
      <c r="H103" s="95"/>
      <c r="I103" s="95"/>
      <c r="J103" s="96"/>
      <c r="K103" s="95"/>
      <c r="L103" s="95"/>
      <c r="M103" s="95"/>
      <c r="N103" s="95"/>
    </row>
    <row r="104" spans="2:14" x14ac:dyDescent="0.25">
      <c r="E104" s="143"/>
      <c r="F104" s="158" t="s">
        <v>92</v>
      </c>
      <c r="G104" s="158"/>
      <c r="H104" s="158"/>
      <c r="I104" s="158"/>
      <c r="J104" s="158"/>
      <c r="K104" s="158"/>
      <c r="L104" s="158"/>
    </row>
    <row r="105" spans="2:14" x14ac:dyDescent="0.25">
      <c r="D105" s="159" t="s">
        <v>197</v>
      </c>
      <c r="E105" s="153">
        <f ca="1">+N96</f>
        <v>53.945981282601991</v>
      </c>
      <c r="F105" s="99">
        <v>6.217873054878089E-2</v>
      </c>
      <c r="G105" s="99">
        <v>7.2178730548780892E-2</v>
      </c>
      <c r="H105" s="99">
        <v>8.2178730548780887E-2</v>
      </c>
      <c r="I105" s="101">
        <v>9.2178730548780882E-2</v>
      </c>
      <c r="J105" s="99">
        <v>9.4178730548780884E-2</v>
      </c>
      <c r="K105" s="125">
        <v>9.6178730548780886E-2</v>
      </c>
      <c r="L105" s="99">
        <v>9.8178730548780888E-2</v>
      </c>
    </row>
    <row r="106" spans="2:14" ht="13.8" customHeight="1" x14ac:dyDescent="0.25">
      <c r="D106" s="159"/>
      <c r="E106" s="41">
        <v>1.3999999999999999E-2</v>
      </c>
      <c r="F106" s="97">
        <f t="dataTable" ref="F106:L112" dt2D="1" dtr="1" r1="C9" r2="C10" ca="1"/>
        <v>83.015350984263492</v>
      </c>
      <c r="G106" s="93">
        <v>66.924936385588225</v>
      </c>
      <c r="H106" s="93">
        <v>55.574150106899957</v>
      </c>
      <c r="I106" s="93">
        <v>47.143515952551255</v>
      </c>
      <c r="J106" s="93">
        <v>45.711598774739421</v>
      </c>
      <c r="K106" s="98">
        <v>44.349970684730359</v>
      </c>
      <c r="L106" s="93">
        <v>43.053616894020912</v>
      </c>
    </row>
    <row r="107" spans="2:14" x14ac:dyDescent="0.25">
      <c r="D107" s="159"/>
      <c r="E107" s="41">
        <v>1.9E-2</v>
      </c>
      <c r="F107" s="97">
        <v>92.48942962793997</v>
      </c>
      <c r="G107" s="93">
        <v>73.118651713539478</v>
      </c>
      <c r="H107" s="93">
        <v>59.900665192999867</v>
      </c>
      <c r="I107" s="93">
        <v>50.312356456663274</v>
      </c>
      <c r="J107" s="93">
        <v>48.70273395699909</v>
      </c>
      <c r="K107" s="98">
        <v>47.177153144664715</v>
      </c>
      <c r="L107" s="93">
        <v>45.729240502613521</v>
      </c>
    </row>
    <row r="108" spans="2:14" x14ac:dyDescent="0.25">
      <c r="D108" s="159"/>
      <c r="E108" s="100">
        <v>2.4E-2</v>
      </c>
      <c r="F108" s="97">
        <v>104.44501525403733</v>
      </c>
      <c r="G108" s="93">
        <v>80.597937511571971</v>
      </c>
      <c r="H108" s="93">
        <v>64.970839524547259</v>
      </c>
      <c r="I108" s="78">
        <v>53.945981282601991</v>
      </c>
      <c r="J108" s="93">
        <v>52.120085908765667</v>
      </c>
      <c r="K108" s="98">
        <v>50.396027511403098</v>
      </c>
      <c r="L108" s="93">
        <v>48.76556367950532</v>
      </c>
    </row>
    <row r="109" spans="2:14" x14ac:dyDescent="0.25">
      <c r="D109" s="159"/>
      <c r="E109" s="41">
        <v>2.9000000000000001E-2</v>
      </c>
      <c r="F109" s="97">
        <v>120.00398938486356</v>
      </c>
      <c r="G109" s="93">
        <v>89.809392297199565</v>
      </c>
      <c r="H109" s="93">
        <v>70.994435323516939</v>
      </c>
      <c r="I109" s="93">
        <v>58.154740302339221</v>
      </c>
      <c r="J109" s="93">
        <v>56.061742633422675</v>
      </c>
      <c r="K109" s="98">
        <v>54.094052695735577</v>
      </c>
      <c r="L109" s="93">
        <v>52.240796786198523</v>
      </c>
    </row>
    <row r="110" spans="2:14" x14ac:dyDescent="0.25">
      <c r="D110" s="159"/>
      <c r="E110" s="41">
        <v>3.4000000000000002E-2</v>
      </c>
      <c r="F110" s="97">
        <v>141.08449476561307</v>
      </c>
      <c r="G110" s="93">
        <v>101.43356606358488</v>
      </c>
      <c r="H110" s="93">
        <v>78.268291503023406</v>
      </c>
      <c r="I110" s="93">
        <v>63.086918169486403</v>
      </c>
      <c r="J110" s="93">
        <v>60.658391028510806</v>
      </c>
      <c r="K110" s="98">
        <v>58.386819064343499</v>
      </c>
      <c r="L110" s="93">
        <v>56.257522857457616</v>
      </c>
    </row>
    <row r="111" spans="2:14" x14ac:dyDescent="0.25">
      <c r="D111" s="159"/>
      <c r="E111" s="41">
        <v>3.9E-2</v>
      </c>
      <c r="F111" s="97">
        <v>171.2597628368319</v>
      </c>
      <c r="G111" s="93">
        <v>116.56124149327066</v>
      </c>
      <c r="H111" s="93">
        <v>87.226740093436604</v>
      </c>
      <c r="I111" s="93">
        <v>68.946567944339762</v>
      </c>
      <c r="J111" s="93">
        <v>66.08808656864413</v>
      </c>
      <c r="K111" s="98">
        <v>63.430348230132722</v>
      </c>
      <c r="L111" s="93">
        <v>60.95299381459219</v>
      </c>
    </row>
    <row r="112" spans="2:14" x14ac:dyDescent="0.25">
      <c r="D112" s="159"/>
      <c r="E112" s="41">
        <v>4.3999999999999997E-2</v>
      </c>
      <c r="F112" s="97">
        <v>218.03424722309896</v>
      </c>
      <c r="G112" s="93">
        <v>137.05738992904088</v>
      </c>
      <c r="H112" s="93">
        <v>98.531638778351279</v>
      </c>
      <c r="I112" s="93">
        <v>76.022449385762371</v>
      </c>
      <c r="J112" s="93">
        <v>72.599853233485376</v>
      </c>
      <c r="K112" s="98">
        <v>69.440464569037289</v>
      </c>
      <c r="L112" s="93">
        <v>66.515127927096756</v>
      </c>
    </row>
    <row r="113" spans="2:2" x14ac:dyDescent="0.25"/>
    <row r="114" spans="2:2" x14ac:dyDescent="0.25"/>
    <row r="121" spans="2:2" hidden="1" x14ac:dyDescent="0.25">
      <c r="B121" s="5">
        <v>0</v>
      </c>
    </row>
  </sheetData>
  <mergeCells count="2">
    <mergeCell ref="F104:L104"/>
    <mergeCell ref="D105:D112"/>
  </mergeCells>
  <pageMargins left="0.7" right="0.7" top="0.75" bottom="0.75" header="0.3" footer="0.3"/>
  <ignoredErrors>
    <ignoredError sqref="F81 G81:I81" formulaRange="1"/>
    <ignoredError sqref="J47 J7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B43C-5C07-48C5-90DA-EABF2E2DA4CA}">
  <dimension ref="A1:D21"/>
  <sheetViews>
    <sheetView showGridLines="0" workbookViewId="0">
      <selection activeCell="B14" sqref="B14"/>
    </sheetView>
  </sheetViews>
  <sheetFormatPr defaultColWidth="0" defaultRowHeight="13.8" zeroHeight="1" x14ac:dyDescent="0.25"/>
  <cols>
    <col min="1" max="1" width="3.77734375" style="5" customWidth="1"/>
    <col min="2" max="2" width="39.33203125" style="5" bestFit="1" customWidth="1"/>
    <col min="3" max="3" width="8.6640625" style="5" bestFit="1" customWidth="1"/>
    <col min="4" max="4" width="8.88671875" style="5" customWidth="1"/>
    <col min="5" max="16384" width="8.88671875" style="5" hidden="1"/>
  </cols>
  <sheetData>
    <row r="1" spans="2:4" ht="14.4" x14ac:dyDescent="0.3">
      <c r="B1" s="4" t="s">
        <v>82</v>
      </c>
    </row>
    <row r="2" spans="2:4" ht="14.4" x14ac:dyDescent="0.3">
      <c r="B2" s="4" t="s">
        <v>83</v>
      </c>
    </row>
    <row r="3" spans="2:4" s="7" customFormat="1" ht="14.4" x14ac:dyDescent="0.3">
      <c r="B3" s="66" t="s">
        <v>168</v>
      </c>
    </row>
    <row r="4" spans="2:4" x14ac:dyDescent="0.25"/>
    <row r="5" spans="2:4" x14ac:dyDescent="0.25">
      <c r="B5" s="160" t="s">
        <v>169</v>
      </c>
      <c r="C5" s="161"/>
      <c r="D5" s="95"/>
    </row>
    <row r="6" spans="2:4" x14ac:dyDescent="0.25">
      <c r="B6" s="15" t="s">
        <v>170</v>
      </c>
      <c r="C6" s="173">
        <f>717.97*1000000/1000</f>
        <v>717970</v>
      </c>
    </row>
    <row r="7" spans="2:4" x14ac:dyDescent="0.25">
      <c r="B7" s="8" t="s">
        <v>171</v>
      </c>
      <c r="C7" s="129">
        <f>+C6/$C$18</f>
        <v>0.88971089383744129</v>
      </c>
    </row>
    <row r="8" spans="2:4" x14ac:dyDescent="0.25">
      <c r="B8" s="8" t="s">
        <v>172</v>
      </c>
      <c r="C8" s="129">
        <f>+C9+C11*(C10)</f>
        <v>9.6481999999999998E-2</v>
      </c>
    </row>
    <row r="9" spans="2:4" x14ac:dyDescent="0.25">
      <c r="B9" s="8" t="s">
        <v>173</v>
      </c>
      <c r="C9" s="57">
        <v>4.2790000000000002E-2</v>
      </c>
    </row>
    <row r="10" spans="2:4" x14ac:dyDescent="0.25">
      <c r="B10" s="8" t="s">
        <v>174</v>
      </c>
      <c r="C10" s="57">
        <v>4.3299999999999998E-2</v>
      </c>
    </row>
    <row r="11" spans="2:4" x14ac:dyDescent="0.25">
      <c r="B11" s="8" t="s">
        <v>175</v>
      </c>
      <c r="C11" s="58">
        <v>1.24</v>
      </c>
    </row>
    <row r="12" spans="2:4" x14ac:dyDescent="0.25">
      <c r="B12" s="8"/>
      <c r="C12" s="58"/>
    </row>
    <row r="13" spans="2:4" x14ac:dyDescent="0.25">
      <c r="B13" s="8" t="s">
        <v>176</v>
      </c>
      <c r="C13" s="128">
        <f>89*1000000/1000</f>
        <v>89000</v>
      </c>
    </row>
    <row r="14" spans="2:4" x14ac:dyDescent="0.25">
      <c r="B14" s="8" t="s">
        <v>177</v>
      </c>
      <c r="C14" s="129">
        <f>+C13/$C$18</f>
        <v>0.1102891061625587</v>
      </c>
    </row>
    <row r="15" spans="2:4" x14ac:dyDescent="0.25">
      <c r="B15" s="8" t="s">
        <v>178</v>
      </c>
      <c r="C15" s="129">
        <f>4.36% + 1.5%</f>
        <v>5.8599999999999999E-2</v>
      </c>
    </row>
    <row r="16" spans="2:4" x14ac:dyDescent="0.25">
      <c r="B16" s="8" t="s">
        <v>179</v>
      </c>
      <c r="C16" s="57">
        <f>+'DCF Model'!J68</f>
        <v>1.9387074634790665E-2</v>
      </c>
    </row>
    <row r="17" spans="2:3" x14ac:dyDescent="0.25">
      <c r="B17" s="8"/>
      <c r="C17" s="58"/>
    </row>
    <row r="18" spans="2:3" x14ac:dyDescent="0.25">
      <c r="B18" s="8" t="s">
        <v>180</v>
      </c>
      <c r="C18" s="130">
        <f>+C6+C13</f>
        <v>806970</v>
      </c>
    </row>
    <row r="19" spans="2:3" x14ac:dyDescent="0.25">
      <c r="B19" s="8"/>
      <c r="C19" s="58"/>
    </row>
    <row r="20" spans="2:3" x14ac:dyDescent="0.25">
      <c r="B20" s="132" t="s">
        <v>92</v>
      </c>
      <c r="C20" s="131">
        <f>+C7*C8+(C14*C15*(1-C16))</f>
        <v>9.2178730548780882E-2</v>
      </c>
    </row>
    <row r="21" spans="2:3" x14ac:dyDescent="0.25"/>
  </sheetData>
  <mergeCells count="1">
    <mergeCell ref="B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AEC3-DF1A-46DD-9408-F48FC31D6082}">
  <dimension ref="A1:H46"/>
  <sheetViews>
    <sheetView showGridLines="0" workbookViewId="0">
      <selection activeCell="B5" sqref="B5"/>
    </sheetView>
  </sheetViews>
  <sheetFormatPr defaultColWidth="0" defaultRowHeight="13.8" zeroHeight="1" x14ac:dyDescent="0.25"/>
  <cols>
    <col min="1" max="1" width="3.77734375" style="5" customWidth="1"/>
    <col min="2" max="2" width="89.21875" style="5" bestFit="1" customWidth="1"/>
    <col min="3" max="3" width="8.109375" style="5" bestFit="1" customWidth="1"/>
    <col min="4" max="6" width="10.6640625" style="5" bestFit="1" customWidth="1"/>
    <col min="7" max="7" width="8.88671875" style="5" customWidth="1"/>
    <col min="8" max="8" width="0" style="5" hidden="1" customWidth="1"/>
    <col min="9" max="16384" width="8.88671875" style="5" hidden="1"/>
  </cols>
  <sheetData>
    <row r="1" spans="2:6" ht="14.4" x14ac:dyDescent="0.3">
      <c r="B1" s="4" t="s">
        <v>38</v>
      </c>
    </row>
    <row r="2" spans="2:6" ht="14.4" x14ac:dyDescent="0.3">
      <c r="B2" s="4" t="s">
        <v>39</v>
      </c>
    </row>
    <row r="3" spans="2:6" ht="14.4" x14ac:dyDescent="0.3">
      <c r="B3" s="4" t="s">
        <v>40</v>
      </c>
    </row>
    <row r="4" spans="2:6" s="7" customFormat="1" x14ac:dyDescent="0.25">
      <c r="B4" s="6" t="s">
        <v>41</v>
      </c>
    </row>
    <row r="5" spans="2:6" x14ac:dyDescent="0.25">
      <c r="B5" s="12"/>
    </row>
    <row r="6" spans="2:6" x14ac:dyDescent="0.25">
      <c r="B6" s="12" t="s">
        <v>121</v>
      </c>
    </row>
    <row r="7" spans="2:6" x14ac:dyDescent="0.25">
      <c r="B7" s="16" t="s">
        <v>37</v>
      </c>
      <c r="C7" s="17">
        <v>2021</v>
      </c>
      <c r="D7" s="17">
        <v>2022</v>
      </c>
      <c r="E7" s="17">
        <v>2023</v>
      </c>
      <c r="F7" s="17">
        <v>2024</v>
      </c>
    </row>
    <row r="8" spans="2:6" x14ac:dyDescent="0.25">
      <c r="B8" s="8" t="s">
        <v>0</v>
      </c>
      <c r="C8" s="14"/>
      <c r="D8" s="14"/>
      <c r="E8" s="14"/>
      <c r="F8" s="14"/>
    </row>
    <row r="9" spans="2:6" x14ac:dyDescent="0.25">
      <c r="B9" s="8" t="s">
        <v>1</v>
      </c>
      <c r="C9" s="18">
        <v>98332</v>
      </c>
      <c r="D9" s="18">
        <v>140628</v>
      </c>
      <c r="E9" s="18">
        <v>199184</v>
      </c>
      <c r="F9" s="18">
        <v>350273</v>
      </c>
    </row>
    <row r="10" spans="2:6" x14ac:dyDescent="0.25">
      <c r="B10" s="8" t="s">
        <v>2</v>
      </c>
      <c r="C10" s="18">
        <v>315865</v>
      </c>
      <c r="D10" s="18">
        <v>349443</v>
      </c>
      <c r="E10" s="18">
        <v>504647</v>
      </c>
      <c r="F10" s="18">
        <v>810769</v>
      </c>
    </row>
    <row r="11" spans="2:6" x14ac:dyDescent="0.25">
      <c r="B11" s="34" t="s">
        <v>3</v>
      </c>
      <c r="C11" s="35">
        <v>414197</v>
      </c>
      <c r="D11" s="35">
        <v>490071</v>
      </c>
      <c r="E11" s="35">
        <v>703831</v>
      </c>
      <c r="F11" s="35">
        <v>1161042</v>
      </c>
    </row>
    <row r="12" spans="2:6" x14ac:dyDescent="0.25">
      <c r="B12" s="8" t="s">
        <v>4</v>
      </c>
      <c r="C12" s="14"/>
      <c r="D12" s="14"/>
      <c r="E12" s="14"/>
      <c r="F12" s="14"/>
    </row>
    <row r="13" spans="2:6" x14ac:dyDescent="0.25">
      <c r="B13" s="8" t="s">
        <v>5</v>
      </c>
      <c r="C13" s="18">
        <v>84723</v>
      </c>
      <c r="D13" s="18">
        <v>120102</v>
      </c>
      <c r="E13" s="18">
        <v>161215</v>
      </c>
      <c r="F13" s="18">
        <v>284951</v>
      </c>
    </row>
    <row r="14" spans="2:6" x14ac:dyDescent="0.25">
      <c r="B14" s="8" t="s">
        <v>6</v>
      </c>
      <c r="C14" s="14"/>
      <c r="D14" s="18">
        <v>286855</v>
      </c>
      <c r="E14" s="18">
        <v>353983</v>
      </c>
      <c r="F14" s="18">
        <v>590855</v>
      </c>
    </row>
    <row r="15" spans="2:6" x14ac:dyDescent="0.25">
      <c r="B15" s="34" t="s">
        <v>7</v>
      </c>
      <c r="C15" s="35">
        <v>324600</v>
      </c>
      <c r="D15" s="35">
        <v>406957</v>
      </c>
      <c r="E15" s="35">
        <v>515198</v>
      </c>
      <c r="F15" s="35">
        <v>875806</v>
      </c>
    </row>
    <row r="16" spans="2:6" x14ac:dyDescent="0.25">
      <c r="B16" s="34" t="s">
        <v>8</v>
      </c>
      <c r="C16" s="35">
        <v>89597</v>
      </c>
      <c r="D16" s="35">
        <v>83114</v>
      </c>
      <c r="E16" s="35">
        <v>188633</v>
      </c>
      <c r="F16" s="35">
        <v>285236</v>
      </c>
    </row>
    <row r="17" spans="2:8" x14ac:dyDescent="0.25">
      <c r="B17" s="8" t="s">
        <v>9</v>
      </c>
      <c r="C17" s="14"/>
      <c r="D17" s="14"/>
      <c r="E17" s="14"/>
      <c r="F17" s="14"/>
    </row>
    <row r="18" spans="2:8" x14ac:dyDescent="0.25">
      <c r="B18" s="8" t="s">
        <v>10</v>
      </c>
      <c r="C18" s="18">
        <v>25728</v>
      </c>
      <c r="D18" s="18">
        <v>24038</v>
      </c>
      <c r="E18" s="18">
        <v>41386</v>
      </c>
      <c r="F18" s="18">
        <v>70686</v>
      </c>
    </row>
    <row r="19" spans="2:8" x14ac:dyDescent="0.25">
      <c r="B19" s="8" t="s">
        <v>11</v>
      </c>
      <c r="C19" s="18">
        <v>24516</v>
      </c>
      <c r="D19" s="18">
        <v>22627</v>
      </c>
      <c r="E19" s="18">
        <v>30008</v>
      </c>
      <c r="F19" s="18">
        <v>73944</v>
      </c>
    </row>
    <row r="20" spans="2:8" x14ac:dyDescent="0.25">
      <c r="B20" s="8" t="s">
        <v>12</v>
      </c>
      <c r="C20" s="14"/>
      <c r="D20" s="18">
        <v>1426</v>
      </c>
      <c r="E20" s="18">
        <v>3925</v>
      </c>
      <c r="F20" s="18">
        <v>9791</v>
      </c>
    </row>
    <row r="21" spans="2:8" x14ac:dyDescent="0.25">
      <c r="B21" s="8" t="s">
        <v>13</v>
      </c>
      <c r="C21" s="14"/>
      <c r="D21" s="14"/>
      <c r="E21" s="18">
        <v>3236</v>
      </c>
      <c r="F21" s="14">
        <v>193</v>
      </c>
    </row>
    <row r="22" spans="2:8" x14ac:dyDescent="0.25">
      <c r="B22" s="8" t="s">
        <v>15</v>
      </c>
      <c r="C22" s="18">
        <v>50244</v>
      </c>
      <c r="D22" s="18">
        <v>48091</v>
      </c>
      <c r="E22" s="18">
        <v>78555</v>
      </c>
      <c r="F22" s="18">
        <v>154614</v>
      </c>
    </row>
    <row r="23" spans="2:8" x14ac:dyDescent="0.25">
      <c r="B23" s="34" t="s">
        <v>16</v>
      </c>
      <c r="C23" s="35">
        <v>39353</v>
      </c>
      <c r="D23" s="35">
        <v>35023</v>
      </c>
      <c r="E23" s="35">
        <v>110078</v>
      </c>
      <c r="F23" s="35">
        <v>130622</v>
      </c>
    </row>
    <row r="24" spans="2:8" x14ac:dyDescent="0.25">
      <c r="B24" s="8" t="s">
        <v>17</v>
      </c>
      <c r="C24" s="14">
        <v>-309</v>
      </c>
      <c r="D24" s="14">
        <v>-568</v>
      </c>
      <c r="E24" s="18">
        <v>-1240</v>
      </c>
      <c r="F24" s="14">
        <v>-256</v>
      </c>
    </row>
    <row r="25" spans="2:8" x14ac:dyDescent="0.25">
      <c r="B25" s="8" t="s">
        <v>18</v>
      </c>
      <c r="C25" s="14">
        <v>537</v>
      </c>
      <c r="D25" s="14">
        <v>472</v>
      </c>
      <c r="E25" s="18">
        <v>3304</v>
      </c>
      <c r="F25" s="18">
        <v>9405</v>
      </c>
      <c r="H25" s="19"/>
    </row>
    <row r="26" spans="2:8" x14ac:dyDescent="0.25">
      <c r="B26" s="8" t="s">
        <v>19</v>
      </c>
      <c r="C26" s="18">
        <v>-2012</v>
      </c>
      <c r="D26" s="18">
        <v>-4854</v>
      </c>
      <c r="E26" s="18">
        <v>2086</v>
      </c>
      <c r="F26" s="18">
        <v>-1233</v>
      </c>
    </row>
    <row r="27" spans="2:8" x14ac:dyDescent="0.25">
      <c r="B27" s="8" t="s">
        <v>20</v>
      </c>
      <c r="C27" s="14"/>
      <c r="D27" s="18">
        <v>1085</v>
      </c>
      <c r="E27" s="14">
        <v>911</v>
      </c>
      <c r="F27" s="14">
        <v>37</v>
      </c>
    </row>
    <row r="28" spans="2:8" x14ac:dyDescent="0.25">
      <c r="B28" s="8" t="s">
        <v>21</v>
      </c>
      <c r="C28" s="14">
        <v>156</v>
      </c>
      <c r="D28" s="14">
        <v>6</v>
      </c>
      <c r="E28" s="14">
        <v>-144</v>
      </c>
      <c r="F28" s="18">
        <v>2039</v>
      </c>
    </row>
    <row r="29" spans="2:8" x14ac:dyDescent="0.25">
      <c r="B29" s="34" t="s">
        <v>22</v>
      </c>
      <c r="C29" s="35">
        <v>37725</v>
      </c>
      <c r="D29" s="35">
        <v>31164</v>
      </c>
      <c r="E29" s="35">
        <v>114995</v>
      </c>
      <c r="F29" s="35">
        <v>140614</v>
      </c>
    </row>
    <row r="30" spans="2:8" x14ac:dyDescent="0.25">
      <c r="B30" s="8" t="s">
        <v>23</v>
      </c>
      <c r="C30" s="18">
        <v>-8468</v>
      </c>
      <c r="D30" s="18">
        <v>-7192</v>
      </c>
      <c r="E30" s="18">
        <v>-20887</v>
      </c>
      <c r="F30" s="18">
        <v>-14806</v>
      </c>
    </row>
    <row r="31" spans="2:8" x14ac:dyDescent="0.25">
      <c r="B31" s="34" t="s">
        <v>24</v>
      </c>
      <c r="C31" s="35">
        <v>29257</v>
      </c>
      <c r="D31" s="35">
        <v>23972</v>
      </c>
      <c r="E31" s="35">
        <v>94108</v>
      </c>
      <c r="F31" s="35">
        <v>125808</v>
      </c>
    </row>
    <row r="32" spans="2:8" x14ac:dyDescent="0.25">
      <c r="B32" s="8" t="s">
        <v>25</v>
      </c>
      <c r="C32" s="18">
        <v>-1500</v>
      </c>
      <c r="D32" s="14">
        <v>-941</v>
      </c>
      <c r="E32" s="14"/>
      <c r="F32" s="14"/>
    </row>
    <row r="33" spans="2:6" x14ac:dyDescent="0.25">
      <c r="B33" s="8" t="s">
        <v>26</v>
      </c>
      <c r="C33" s="18">
        <v>27757</v>
      </c>
      <c r="D33" s="18">
        <v>23031</v>
      </c>
      <c r="E33" s="18">
        <v>94108</v>
      </c>
      <c r="F33" s="18">
        <v>125808</v>
      </c>
    </row>
    <row r="34" spans="2:6" x14ac:dyDescent="0.25">
      <c r="B34" s="8" t="s">
        <v>27</v>
      </c>
      <c r="C34" s="14"/>
      <c r="D34" s="14">
        <v>969</v>
      </c>
      <c r="E34" s="14">
        <v>-278</v>
      </c>
      <c r="F34" s="18">
        <v>-1266</v>
      </c>
    </row>
    <row r="35" spans="2:6" x14ac:dyDescent="0.25">
      <c r="B35" s="8" t="s">
        <v>28</v>
      </c>
      <c r="C35" s="14"/>
      <c r="D35" s="14"/>
      <c r="E35" s="14"/>
      <c r="F35" s="14">
        <v>7</v>
      </c>
    </row>
    <row r="36" spans="2:6" x14ac:dyDescent="0.25">
      <c r="B36" s="8" t="s">
        <v>29</v>
      </c>
      <c r="C36" s="14"/>
      <c r="D36" s="14"/>
      <c r="E36" s="14"/>
      <c r="F36" s="18">
        <v>-2565</v>
      </c>
    </row>
    <row r="37" spans="2:6" x14ac:dyDescent="0.25">
      <c r="B37" s="8" t="s">
        <v>30</v>
      </c>
      <c r="C37" s="14"/>
      <c r="D37" s="14"/>
      <c r="E37" s="14"/>
      <c r="F37" s="14">
        <v>-838</v>
      </c>
    </row>
    <row r="38" spans="2:6" x14ac:dyDescent="0.25">
      <c r="B38" s="8" t="s">
        <v>31</v>
      </c>
      <c r="C38" s="14">
        <v>123</v>
      </c>
      <c r="D38" s="14">
        <v>969</v>
      </c>
      <c r="E38" s="14">
        <v>-278</v>
      </c>
      <c r="F38" s="18">
        <v>-4662</v>
      </c>
    </row>
    <row r="39" spans="2:6" x14ac:dyDescent="0.25">
      <c r="B39" s="36" t="s">
        <v>32</v>
      </c>
      <c r="C39" s="37">
        <v>29380</v>
      </c>
      <c r="D39" s="37">
        <v>24941</v>
      </c>
      <c r="E39" s="37">
        <v>93830</v>
      </c>
      <c r="F39" s="37">
        <v>121146</v>
      </c>
    </row>
    <row r="40" spans="2:6" x14ac:dyDescent="0.25">
      <c r="B40" s="8" t="s">
        <v>33</v>
      </c>
      <c r="C40" s="14"/>
      <c r="D40" s="14"/>
      <c r="E40" s="14"/>
      <c r="F40" s="14"/>
    </row>
    <row r="41" spans="2:6" x14ac:dyDescent="0.25">
      <c r="B41" s="8" t="s">
        <v>34</v>
      </c>
      <c r="C41" s="14">
        <v>0.88</v>
      </c>
      <c r="D41" s="14">
        <v>0.6</v>
      </c>
      <c r="E41" s="14">
        <v>2.31</v>
      </c>
      <c r="F41" s="14">
        <v>3.06</v>
      </c>
    </row>
    <row r="42" spans="2:6" x14ac:dyDescent="0.25">
      <c r="B42" s="8" t="s">
        <v>35</v>
      </c>
      <c r="C42" s="14">
        <v>0.88</v>
      </c>
      <c r="D42" s="14">
        <v>0.6</v>
      </c>
      <c r="E42" s="14">
        <v>2.2999999999999998</v>
      </c>
      <c r="F42" s="14">
        <v>3.05</v>
      </c>
    </row>
    <row r="43" spans="2:6" x14ac:dyDescent="0.25">
      <c r="B43" s="8" t="s">
        <v>36</v>
      </c>
      <c r="C43" s="14"/>
      <c r="D43" s="14"/>
      <c r="E43" s="14"/>
      <c r="F43" s="14"/>
    </row>
    <row r="44" spans="2:6" x14ac:dyDescent="0.25">
      <c r="B44" s="8" t="s">
        <v>34</v>
      </c>
      <c r="C44" s="14">
        <v>0.88</v>
      </c>
      <c r="D44" s="18">
        <v>24412314</v>
      </c>
      <c r="E44" s="18">
        <v>40788448</v>
      </c>
      <c r="F44" s="18">
        <v>41079672</v>
      </c>
    </row>
    <row r="45" spans="2:6" x14ac:dyDescent="0.25">
      <c r="B45" s="36" t="s">
        <v>35</v>
      </c>
      <c r="C45" s="38">
        <v>0.88</v>
      </c>
      <c r="D45" s="37">
        <v>24412314</v>
      </c>
      <c r="E45" s="37">
        <v>40922590</v>
      </c>
      <c r="F45" s="37">
        <v>41201026</v>
      </c>
    </row>
    <row r="46" spans="2:6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3459-123F-4A46-B1A0-7A8D6D865373}">
  <dimension ref="A1:K38"/>
  <sheetViews>
    <sheetView showGridLines="0" topLeftCell="A30" workbookViewId="0">
      <selection activeCell="C8" sqref="C8"/>
    </sheetView>
  </sheetViews>
  <sheetFormatPr defaultColWidth="0" defaultRowHeight="14.4" zeroHeight="1" x14ac:dyDescent="0.3"/>
  <cols>
    <col min="1" max="1" width="3.77734375" customWidth="1"/>
    <col min="2" max="2" width="25.77734375" bestFit="1" customWidth="1"/>
    <col min="3" max="3" width="12.33203125" bestFit="1" customWidth="1"/>
    <col min="4" max="6" width="11.33203125" bestFit="1" customWidth="1"/>
    <col min="7" max="7" width="8.88671875" customWidth="1"/>
    <col min="8" max="8" width="13.21875" bestFit="1" customWidth="1"/>
    <col min="9" max="9" width="12.5546875" bestFit="1" customWidth="1"/>
    <col min="10" max="10" width="16.6640625" bestFit="1" customWidth="1"/>
    <col min="11" max="11" width="8.88671875" customWidth="1"/>
    <col min="12" max="16384" width="8.88671875" hidden="1"/>
  </cols>
  <sheetData>
    <row r="1" spans="1:11" x14ac:dyDescent="0.3">
      <c r="B1" s="4" t="s">
        <v>38</v>
      </c>
    </row>
    <row r="2" spans="1:11" x14ac:dyDescent="0.3">
      <c r="B2" s="4" t="s">
        <v>39</v>
      </c>
    </row>
    <row r="3" spans="1:11" x14ac:dyDescent="0.3">
      <c r="B3" s="4" t="s">
        <v>143</v>
      </c>
    </row>
    <row r="4" spans="1:11" s="2" customFormat="1" x14ac:dyDescent="0.3">
      <c r="A4"/>
      <c r="B4" s="6" t="s">
        <v>144</v>
      </c>
    </row>
    <row r="5" spans="1:11" x14ac:dyDescent="0.3"/>
    <row r="6" spans="1:11" x14ac:dyDescent="0.3">
      <c r="B6" s="43" t="s">
        <v>37</v>
      </c>
      <c r="C6" s="28">
        <v>2024</v>
      </c>
      <c r="D6" s="28">
        <v>2023</v>
      </c>
      <c r="E6" s="28">
        <v>2022</v>
      </c>
      <c r="F6" s="28">
        <v>2021</v>
      </c>
      <c r="H6" s="44" t="s">
        <v>145</v>
      </c>
      <c r="K6" s="44"/>
    </row>
    <row r="7" spans="1:11" s="46" customFormat="1" ht="60" x14ac:dyDescent="0.3">
      <c r="B7" s="47" t="s">
        <v>129</v>
      </c>
      <c r="C7" s="48">
        <v>16879</v>
      </c>
      <c r="D7" s="48">
        <v>11187</v>
      </c>
      <c r="E7" s="48">
        <v>6872</v>
      </c>
      <c r="F7" s="48">
        <v>0</v>
      </c>
      <c r="H7" s="174" t="s">
        <v>147</v>
      </c>
      <c r="I7" s="175" t="s">
        <v>140</v>
      </c>
      <c r="J7" s="176" t="s">
        <v>146</v>
      </c>
    </row>
    <row r="8" spans="1:11" x14ac:dyDescent="0.3">
      <c r="B8" s="3" t="s">
        <v>130</v>
      </c>
      <c r="C8" s="31">
        <v>16879</v>
      </c>
      <c r="D8" s="31">
        <v>11187</v>
      </c>
      <c r="E8" s="31">
        <v>6872</v>
      </c>
      <c r="F8" s="31">
        <v>4814</v>
      </c>
      <c r="H8" s="49">
        <v>2024</v>
      </c>
      <c r="I8" s="50">
        <f>SUMIF(B7:B37,"United States",C7:C37)</f>
        <v>837223</v>
      </c>
      <c r="J8" s="50">
        <f>+C37-I8</f>
        <v>323819</v>
      </c>
    </row>
    <row r="9" spans="1:11" x14ac:dyDescent="0.3">
      <c r="B9" s="1" t="s">
        <v>131</v>
      </c>
      <c r="C9" s="29">
        <v>64924</v>
      </c>
      <c r="D9" s="29">
        <v>19610</v>
      </c>
      <c r="E9" s="29">
        <v>37684</v>
      </c>
      <c r="F9" s="29">
        <v>0</v>
      </c>
      <c r="H9" s="51">
        <f>+H8-1</f>
        <v>2023</v>
      </c>
      <c r="I9" s="50">
        <f>SUMIF(B7:B37,"United States",D7:D37)</f>
        <v>529000</v>
      </c>
      <c r="J9" s="50">
        <f>+D37-I9</f>
        <v>174831</v>
      </c>
    </row>
    <row r="10" spans="1:11" x14ac:dyDescent="0.3">
      <c r="B10" s="1" t="s">
        <v>138</v>
      </c>
      <c r="C10" s="29">
        <v>835</v>
      </c>
      <c r="D10" s="29">
        <v>93</v>
      </c>
      <c r="E10" s="29">
        <v>273</v>
      </c>
      <c r="F10" s="29">
        <v>0</v>
      </c>
      <c r="H10" s="51">
        <f t="shared" ref="H10:H11" si="0">+H9-1</f>
        <v>2022</v>
      </c>
      <c r="I10" s="50">
        <f>SUMIF(B7:B37,"United States",E7:E37)</f>
        <v>387455</v>
      </c>
      <c r="J10" s="50">
        <f>+E37-I10</f>
        <v>102616</v>
      </c>
    </row>
    <row r="11" spans="1:11" x14ac:dyDescent="0.3">
      <c r="B11" s="3" t="s">
        <v>132</v>
      </c>
      <c r="C11" s="31">
        <v>65759</v>
      </c>
      <c r="D11" s="31">
        <v>19703</v>
      </c>
      <c r="E11" s="31">
        <v>37957</v>
      </c>
      <c r="F11" s="31">
        <v>36257</v>
      </c>
      <c r="H11" s="51">
        <f t="shared" si="0"/>
        <v>2021</v>
      </c>
      <c r="I11" s="50">
        <f>SUMIF(B7:B37,"United States",F7:F37)</f>
        <v>286751</v>
      </c>
      <c r="J11" s="50">
        <f>+F37-I11</f>
        <v>127446</v>
      </c>
    </row>
    <row r="12" spans="1:11" x14ac:dyDescent="0.3">
      <c r="B12" s="1" t="s">
        <v>131</v>
      </c>
      <c r="C12" s="29">
        <v>15006</v>
      </c>
      <c r="D12" s="29">
        <v>10667</v>
      </c>
      <c r="E12" s="29">
        <v>4971</v>
      </c>
      <c r="F12" s="29">
        <v>35754</v>
      </c>
    </row>
    <row r="13" spans="1:11" x14ac:dyDescent="0.3">
      <c r="B13" s="1" t="s">
        <v>138</v>
      </c>
      <c r="C13" s="29">
        <v>208</v>
      </c>
      <c r="D13" s="29">
        <v>95</v>
      </c>
      <c r="E13" s="29">
        <v>36</v>
      </c>
      <c r="F13" s="29">
        <v>503</v>
      </c>
    </row>
    <row r="14" spans="1:11" x14ac:dyDescent="0.3">
      <c r="B14" s="3" t="s">
        <v>133</v>
      </c>
      <c r="C14" s="31">
        <v>15214</v>
      </c>
      <c r="D14" s="31">
        <v>10762</v>
      </c>
      <c r="E14" s="31">
        <v>5007</v>
      </c>
      <c r="F14" s="31">
        <v>0</v>
      </c>
    </row>
    <row r="15" spans="1:11" x14ac:dyDescent="0.3">
      <c r="B15" s="1" t="s">
        <v>131</v>
      </c>
      <c r="C15" s="29">
        <v>45103</v>
      </c>
      <c r="D15" s="29">
        <v>23601</v>
      </c>
      <c r="E15" s="29">
        <v>14569</v>
      </c>
      <c r="F15" s="29">
        <v>0</v>
      </c>
    </row>
    <row r="16" spans="1:11" x14ac:dyDescent="0.3">
      <c r="B16" s="1" t="s">
        <v>141</v>
      </c>
      <c r="C16" s="29">
        <v>1086</v>
      </c>
      <c r="D16" s="29">
        <v>822</v>
      </c>
      <c r="E16" s="29">
        <v>1673</v>
      </c>
      <c r="F16" s="29">
        <v>0</v>
      </c>
    </row>
    <row r="17" spans="2:8" x14ac:dyDescent="0.3">
      <c r="B17" s="3" t="s">
        <v>134</v>
      </c>
      <c r="C17" s="31">
        <v>46189</v>
      </c>
      <c r="D17" s="31">
        <v>24423</v>
      </c>
      <c r="E17" s="31">
        <v>16242</v>
      </c>
      <c r="F17" s="31">
        <v>10498</v>
      </c>
    </row>
    <row r="18" spans="2:8" x14ac:dyDescent="0.3">
      <c r="B18" s="1" t="s">
        <v>131</v>
      </c>
      <c r="C18" s="29">
        <v>138842</v>
      </c>
      <c r="D18" s="29">
        <v>101285</v>
      </c>
      <c r="E18" s="29">
        <v>60632</v>
      </c>
      <c r="F18" s="29">
        <v>7865</v>
      </c>
    </row>
    <row r="19" spans="2:8" x14ac:dyDescent="0.3">
      <c r="B19" s="1" t="s">
        <v>135</v>
      </c>
      <c r="C19" s="29">
        <v>16197</v>
      </c>
      <c r="D19" s="29">
        <v>3663</v>
      </c>
      <c r="E19" s="29">
        <v>1061</v>
      </c>
      <c r="F19" s="29">
        <v>0</v>
      </c>
    </row>
    <row r="20" spans="2:8" x14ac:dyDescent="0.3">
      <c r="B20" s="1" t="s">
        <v>141</v>
      </c>
      <c r="C20" s="29">
        <v>1546</v>
      </c>
      <c r="D20" s="29">
        <v>1030</v>
      </c>
      <c r="E20" s="29">
        <v>1052</v>
      </c>
      <c r="F20" s="29">
        <v>2633</v>
      </c>
    </row>
    <row r="21" spans="2:8" x14ac:dyDescent="0.3">
      <c r="B21" s="3" t="s">
        <v>136</v>
      </c>
      <c r="C21" s="31">
        <v>156585</v>
      </c>
      <c r="D21" s="31">
        <v>105978</v>
      </c>
      <c r="E21" s="31">
        <v>62745</v>
      </c>
      <c r="F21" s="31">
        <v>33693</v>
      </c>
    </row>
    <row r="22" spans="2:8" x14ac:dyDescent="0.3">
      <c r="B22" s="1" t="s">
        <v>140</v>
      </c>
      <c r="C22" s="29">
        <v>26570</v>
      </c>
      <c r="D22" s="29">
        <v>16070</v>
      </c>
      <c r="E22" s="29">
        <v>7101</v>
      </c>
      <c r="F22" s="29">
        <v>31421</v>
      </c>
    </row>
    <row r="23" spans="2:8" x14ac:dyDescent="0.3">
      <c r="B23" s="1" t="s">
        <v>135</v>
      </c>
      <c r="C23" s="29">
        <v>2984</v>
      </c>
      <c r="D23" s="29">
        <v>879</v>
      </c>
      <c r="E23" s="29">
        <v>255</v>
      </c>
      <c r="F23" s="29">
        <v>0</v>
      </c>
    </row>
    <row r="24" spans="2:8" x14ac:dyDescent="0.3">
      <c r="B24" s="1" t="s">
        <v>138</v>
      </c>
      <c r="C24" s="29">
        <v>397</v>
      </c>
      <c r="D24" s="29">
        <v>347</v>
      </c>
      <c r="E24" s="29">
        <v>379</v>
      </c>
      <c r="F24" s="29">
        <v>2272</v>
      </c>
    </row>
    <row r="25" spans="2:8" x14ac:dyDescent="0.3">
      <c r="B25" s="3" t="s">
        <v>137</v>
      </c>
      <c r="C25" s="31">
        <v>29951</v>
      </c>
      <c r="D25" s="31">
        <v>17296</v>
      </c>
      <c r="E25" s="31">
        <v>7735</v>
      </c>
      <c r="F25" s="31">
        <v>5498</v>
      </c>
    </row>
    <row r="26" spans="2:8" x14ac:dyDescent="0.3">
      <c r="B26" s="1" t="s">
        <v>140</v>
      </c>
      <c r="C26" s="29">
        <v>18265</v>
      </c>
      <c r="D26" s="29">
        <v>9196</v>
      </c>
      <c r="E26" s="29">
        <v>3962</v>
      </c>
      <c r="F26" s="29">
        <v>4723</v>
      </c>
    </row>
    <row r="27" spans="2:8" x14ac:dyDescent="0.3">
      <c r="B27" s="1" t="s">
        <v>141</v>
      </c>
      <c r="C27" s="29">
        <v>1431</v>
      </c>
      <c r="D27" s="29">
        <v>639</v>
      </c>
      <c r="E27" s="29">
        <v>108</v>
      </c>
      <c r="F27" s="29">
        <v>775</v>
      </c>
    </row>
    <row r="28" spans="2:8" x14ac:dyDescent="0.3">
      <c r="B28" s="3" t="s">
        <v>142</v>
      </c>
      <c r="C28" s="31">
        <v>19696</v>
      </c>
      <c r="D28" s="31">
        <v>9835</v>
      </c>
      <c r="E28" s="31">
        <v>4070</v>
      </c>
      <c r="F28" s="31">
        <v>7572</v>
      </c>
    </row>
    <row r="29" spans="2:8" x14ac:dyDescent="0.3">
      <c r="B29" s="3" t="s">
        <v>1</v>
      </c>
      <c r="C29" s="31">
        <v>350273</v>
      </c>
      <c r="D29" s="31">
        <v>199184</v>
      </c>
      <c r="E29" s="31">
        <v>140628</v>
      </c>
      <c r="F29" s="31">
        <v>98332</v>
      </c>
    </row>
    <row r="30" spans="2:8" x14ac:dyDescent="0.3">
      <c r="B30" s="1" t="s">
        <v>131</v>
      </c>
      <c r="C30" s="29">
        <v>573348</v>
      </c>
      <c r="D30" s="29">
        <v>373837</v>
      </c>
      <c r="E30" s="29">
        <v>269599</v>
      </c>
      <c r="F30" s="29">
        <v>243132</v>
      </c>
      <c r="H30" s="45"/>
    </row>
    <row r="31" spans="2:8" x14ac:dyDescent="0.3">
      <c r="B31" s="1" t="s">
        <v>135</v>
      </c>
      <c r="C31" s="29">
        <v>170497</v>
      </c>
      <c r="D31" s="29">
        <v>71163</v>
      </c>
      <c r="E31" s="29">
        <v>21133</v>
      </c>
      <c r="F31" s="29">
        <v>9510</v>
      </c>
    </row>
    <row r="32" spans="2:8" x14ac:dyDescent="0.3">
      <c r="B32" s="1" t="s">
        <v>139</v>
      </c>
      <c r="C32" s="29">
        <v>45922</v>
      </c>
      <c r="D32" s="29">
        <v>44348</v>
      </c>
      <c r="E32" s="29">
        <v>40082</v>
      </c>
      <c r="F32" s="29">
        <v>44881</v>
      </c>
    </row>
    <row r="33" spans="2:6" x14ac:dyDescent="0.3">
      <c r="B33" s="1" t="s">
        <v>138</v>
      </c>
      <c r="C33" s="29">
        <v>21002</v>
      </c>
      <c r="D33" s="29">
        <v>15299</v>
      </c>
      <c r="E33" s="29">
        <v>18629</v>
      </c>
      <c r="F33" s="29">
        <v>18342</v>
      </c>
    </row>
    <row r="34" spans="2:6" x14ac:dyDescent="0.3">
      <c r="B34" s="3" t="s">
        <v>2</v>
      </c>
      <c r="C34" s="31">
        <v>810769</v>
      </c>
      <c r="D34" s="31">
        <v>504647</v>
      </c>
      <c r="E34" s="31">
        <v>349443</v>
      </c>
      <c r="F34" s="31">
        <v>315865</v>
      </c>
    </row>
    <row r="35" spans="2:6" x14ac:dyDescent="0.3">
      <c r="B35" s="29" t="s">
        <v>140</v>
      </c>
      <c r="C35" s="29"/>
      <c r="D35" s="29"/>
      <c r="E35" s="29"/>
      <c r="F35" s="29">
        <v>4257</v>
      </c>
    </row>
    <row r="36" spans="2:6" x14ac:dyDescent="0.3">
      <c r="B36" s="29" t="s">
        <v>138</v>
      </c>
      <c r="C36" s="29"/>
      <c r="D36" s="29"/>
      <c r="E36" s="29"/>
      <c r="F36" s="29">
        <v>3315</v>
      </c>
    </row>
    <row r="37" spans="2:6" x14ac:dyDescent="0.3">
      <c r="B37" s="31" t="s">
        <v>3</v>
      </c>
      <c r="C37" s="31">
        <v>1161042</v>
      </c>
      <c r="D37" s="31">
        <v>703831</v>
      </c>
      <c r="E37" s="31">
        <v>490071</v>
      </c>
      <c r="F37" s="31">
        <v>414197</v>
      </c>
    </row>
    <row r="38" spans="2:6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920F-5144-4571-A4DD-1CE461CEBAA6}">
  <dimension ref="A1:G63"/>
  <sheetViews>
    <sheetView showGridLines="0" topLeftCell="A16" workbookViewId="0">
      <selection activeCell="B6" sqref="B6"/>
    </sheetView>
  </sheetViews>
  <sheetFormatPr defaultColWidth="0" defaultRowHeight="14.4" zeroHeight="1" x14ac:dyDescent="0.3"/>
  <cols>
    <col min="1" max="1" width="3.77734375" customWidth="1"/>
    <col min="2" max="2" width="65.6640625" bestFit="1" customWidth="1"/>
    <col min="3" max="3" width="10.44140625" bestFit="1" customWidth="1"/>
    <col min="4" max="4" width="8.88671875" customWidth="1"/>
    <col min="5" max="5" width="9.44140625" bestFit="1" customWidth="1"/>
    <col min="6" max="7" width="8.88671875" customWidth="1"/>
    <col min="8" max="16384" width="8.88671875" hidden="1"/>
  </cols>
  <sheetData>
    <row r="1" spans="2:6" x14ac:dyDescent="0.3">
      <c r="B1" s="4" t="s">
        <v>38</v>
      </c>
    </row>
    <row r="2" spans="2:6" x14ac:dyDescent="0.3">
      <c r="B2" s="4" t="s">
        <v>39</v>
      </c>
    </row>
    <row r="3" spans="2:6" x14ac:dyDescent="0.3">
      <c r="B3" s="4" t="s">
        <v>81</v>
      </c>
    </row>
    <row r="4" spans="2:6" s="2" customFormat="1" x14ac:dyDescent="0.3">
      <c r="B4" s="6" t="s">
        <v>41</v>
      </c>
    </row>
    <row r="5" spans="2:6" x14ac:dyDescent="0.3">
      <c r="B5" s="12"/>
    </row>
    <row r="6" spans="2:6" x14ac:dyDescent="0.3">
      <c r="B6" s="12" t="s">
        <v>121</v>
      </c>
    </row>
    <row r="7" spans="2:6" x14ac:dyDescent="0.3">
      <c r="B7" s="28" t="s">
        <v>37</v>
      </c>
      <c r="C7" s="28">
        <v>2021</v>
      </c>
      <c r="D7" s="28">
        <v>2022</v>
      </c>
      <c r="E7" s="28">
        <v>2023</v>
      </c>
      <c r="F7" s="28">
        <v>2024</v>
      </c>
    </row>
    <row r="8" spans="2:6" x14ac:dyDescent="0.3">
      <c r="B8" s="1" t="s">
        <v>42</v>
      </c>
      <c r="C8" s="1"/>
      <c r="D8" s="1"/>
      <c r="E8" s="1"/>
      <c r="F8" s="1"/>
    </row>
    <row r="9" spans="2:6" x14ac:dyDescent="0.3">
      <c r="B9" s="3" t="s">
        <v>24</v>
      </c>
      <c r="C9" s="31">
        <v>29257</v>
      </c>
      <c r="D9" s="31">
        <v>23972</v>
      </c>
      <c r="E9" s="31">
        <v>94108</v>
      </c>
      <c r="F9" s="31">
        <v>125808</v>
      </c>
    </row>
    <row r="10" spans="2:6" x14ac:dyDescent="0.3">
      <c r="B10" s="1" t="s">
        <v>43</v>
      </c>
      <c r="C10" s="29"/>
      <c r="D10" s="29"/>
      <c r="E10" s="29"/>
      <c r="F10" s="29"/>
    </row>
    <row r="11" spans="2:6" x14ac:dyDescent="0.3">
      <c r="B11" s="1" t="s">
        <v>44</v>
      </c>
      <c r="C11" s="29">
        <v>775</v>
      </c>
      <c r="D11" s="29">
        <v>1386</v>
      </c>
      <c r="E11" s="29">
        <v>2873</v>
      </c>
      <c r="F11" s="29">
        <v>8524</v>
      </c>
    </row>
    <row r="12" spans="2:6" x14ac:dyDescent="0.3">
      <c r="B12" s="1" t="s">
        <v>45</v>
      </c>
      <c r="C12" s="29">
        <v>9681</v>
      </c>
      <c r="D12" s="29">
        <v>9196</v>
      </c>
      <c r="E12" s="29">
        <v>2503</v>
      </c>
      <c r="F12" s="29">
        <v>16825</v>
      </c>
    </row>
    <row r="13" spans="2:6" x14ac:dyDescent="0.3">
      <c r="B13" s="1" t="s">
        <v>46</v>
      </c>
      <c r="C13" s="29"/>
      <c r="D13" s="29">
        <v>2389</v>
      </c>
      <c r="E13" s="29">
        <v>2485</v>
      </c>
      <c r="F13" s="29">
        <v>29282</v>
      </c>
    </row>
    <row r="14" spans="2:6" x14ac:dyDescent="0.3">
      <c r="B14" s="1" t="s">
        <v>47</v>
      </c>
      <c r="C14" s="29"/>
      <c r="D14" s="29">
        <v>-9161</v>
      </c>
      <c r="E14" s="29">
        <v>-5058</v>
      </c>
      <c r="F14" s="29">
        <v>-234</v>
      </c>
    </row>
    <row r="15" spans="2:6" x14ac:dyDescent="0.3">
      <c r="B15" s="1" t="s">
        <v>48</v>
      </c>
      <c r="C15" s="29"/>
      <c r="D15" s="29">
        <v>2785</v>
      </c>
      <c r="E15" s="29">
        <v>-16514</v>
      </c>
      <c r="F15" s="29">
        <v>-46875</v>
      </c>
    </row>
    <row r="16" spans="2:6" x14ac:dyDescent="0.3">
      <c r="B16" s="1" t="s">
        <v>49</v>
      </c>
      <c r="C16" s="29"/>
      <c r="D16" s="29">
        <v>-1384</v>
      </c>
      <c r="E16" s="29">
        <v>-9249</v>
      </c>
      <c r="F16" s="29">
        <v>-1665</v>
      </c>
    </row>
    <row r="17" spans="2:6" x14ac:dyDescent="0.3">
      <c r="B17" s="1" t="s">
        <v>50</v>
      </c>
      <c r="C17" s="29"/>
      <c r="D17" s="29">
        <v>20975</v>
      </c>
      <c r="E17" s="29">
        <v>46258</v>
      </c>
      <c r="F17" s="29">
        <v>38188</v>
      </c>
    </row>
    <row r="18" spans="2:6" x14ac:dyDescent="0.3">
      <c r="B18" s="1" t="s">
        <v>51</v>
      </c>
      <c r="C18" s="29"/>
      <c r="D18" s="29">
        <v>-1689</v>
      </c>
      <c r="E18" s="29">
        <v>1473</v>
      </c>
      <c r="F18" s="29">
        <v>-992</v>
      </c>
    </row>
    <row r="19" spans="2:6" x14ac:dyDescent="0.3">
      <c r="B19" s="1" t="s">
        <v>52</v>
      </c>
      <c r="C19" s="29"/>
      <c r="D19" s="29">
        <v>-1530</v>
      </c>
      <c r="E19" s="29">
        <v>10977</v>
      </c>
      <c r="F19" s="29">
        <v>-1023</v>
      </c>
    </row>
    <row r="20" spans="2:6" x14ac:dyDescent="0.3">
      <c r="B20" s="1" t="s">
        <v>53</v>
      </c>
      <c r="C20" s="29"/>
      <c r="D20" s="29">
        <v>183</v>
      </c>
      <c r="E20" s="29">
        <v>398</v>
      </c>
      <c r="F20" s="29">
        <v>-11462</v>
      </c>
    </row>
    <row r="21" spans="2:6" x14ac:dyDescent="0.3">
      <c r="B21" s="1" t="s">
        <v>54</v>
      </c>
      <c r="C21" s="29"/>
      <c r="D21" s="29">
        <v>2534</v>
      </c>
      <c r="E21" s="29">
        <v>3198</v>
      </c>
      <c r="F21" s="29">
        <v>1702</v>
      </c>
    </row>
    <row r="22" spans="2:6" x14ac:dyDescent="0.3">
      <c r="B22" s="1" t="s">
        <v>69</v>
      </c>
      <c r="C22" s="29">
        <v>87</v>
      </c>
      <c r="D22" s="29"/>
      <c r="E22" s="29"/>
      <c r="F22" s="29"/>
    </row>
    <row r="23" spans="2:6" x14ac:dyDescent="0.3">
      <c r="B23" s="1" t="s">
        <v>70</v>
      </c>
      <c r="C23" s="29">
        <v>1285</v>
      </c>
      <c r="D23" s="29"/>
      <c r="E23" s="29"/>
      <c r="F23" s="29"/>
    </row>
    <row r="24" spans="2:6" x14ac:dyDescent="0.3">
      <c r="B24" s="1" t="s">
        <v>71</v>
      </c>
      <c r="C24" s="29">
        <v>131</v>
      </c>
      <c r="D24" s="29"/>
      <c r="E24" s="29"/>
      <c r="F24" s="29"/>
    </row>
    <row r="25" spans="2:6" x14ac:dyDescent="0.3">
      <c r="B25" s="1" t="s">
        <v>72</v>
      </c>
      <c r="C25" s="29">
        <v>2012</v>
      </c>
      <c r="D25" s="29"/>
      <c r="E25" s="29"/>
      <c r="F25" s="29"/>
    </row>
    <row r="26" spans="2:6" x14ac:dyDescent="0.3">
      <c r="B26" s="1" t="s">
        <v>73</v>
      </c>
      <c r="C26" s="29">
        <v>198</v>
      </c>
      <c r="D26" s="29"/>
      <c r="E26" s="29"/>
      <c r="F26" s="29"/>
    </row>
    <row r="27" spans="2:6" x14ac:dyDescent="0.3">
      <c r="B27" s="1" t="s">
        <v>74</v>
      </c>
      <c r="C27" s="29">
        <v>5897</v>
      </c>
      <c r="D27" s="29"/>
      <c r="E27" s="29"/>
      <c r="F27" s="29"/>
    </row>
    <row r="28" spans="2:6" x14ac:dyDescent="0.3">
      <c r="B28" s="1" t="s">
        <v>75</v>
      </c>
      <c r="C28" s="29">
        <v>-47148</v>
      </c>
      <c r="D28" s="29"/>
      <c r="E28" s="29"/>
      <c r="F28" s="29"/>
    </row>
    <row r="29" spans="2:6" x14ac:dyDescent="0.3">
      <c r="B29" s="1" t="s">
        <v>76</v>
      </c>
      <c r="C29" s="29">
        <v>-1717</v>
      </c>
      <c r="D29" s="29"/>
      <c r="E29" s="29"/>
      <c r="F29" s="29"/>
    </row>
    <row r="30" spans="2:6" x14ac:dyDescent="0.3">
      <c r="B30" s="1" t="s">
        <v>77</v>
      </c>
      <c r="C30" s="29">
        <v>6309</v>
      </c>
      <c r="D30" s="29"/>
      <c r="E30" s="29"/>
      <c r="F30" s="29"/>
    </row>
    <row r="31" spans="2:6" x14ac:dyDescent="0.3">
      <c r="B31" s="1" t="s">
        <v>78</v>
      </c>
      <c r="C31" s="29">
        <v>266</v>
      </c>
      <c r="D31" s="29"/>
      <c r="E31" s="29"/>
      <c r="F31" s="29"/>
    </row>
    <row r="32" spans="2:6" x14ac:dyDescent="0.3">
      <c r="B32" s="1" t="s">
        <v>79</v>
      </c>
      <c r="C32" s="29">
        <v>1315</v>
      </c>
      <c r="D32" s="29"/>
      <c r="E32" s="29"/>
      <c r="F32" s="29"/>
    </row>
    <row r="33" spans="2:6" x14ac:dyDescent="0.3">
      <c r="B33" s="1" t="s">
        <v>80</v>
      </c>
      <c r="C33" s="29">
        <v>208</v>
      </c>
      <c r="D33" s="29"/>
      <c r="E33" s="29"/>
      <c r="F33" s="29"/>
    </row>
    <row r="34" spans="2:6" x14ac:dyDescent="0.3">
      <c r="B34" s="32" t="s">
        <v>55</v>
      </c>
      <c r="C34" s="33">
        <v>8556</v>
      </c>
      <c r="D34" s="33">
        <v>49656</v>
      </c>
      <c r="E34" s="33">
        <v>133452</v>
      </c>
      <c r="F34" s="33">
        <v>158078</v>
      </c>
    </row>
    <row r="35" spans="2:6" x14ac:dyDescent="0.3">
      <c r="B35" s="3" t="s">
        <v>56</v>
      </c>
      <c r="C35" s="29"/>
      <c r="D35" s="29"/>
      <c r="E35" s="29"/>
      <c r="F35" s="29"/>
    </row>
    <row r="36" spans="2:6" x14ac:dyDescent="0.3">
      <c r="B36" s="1" t="s">
        <v>57</v>
      </c>
      <c r="C36" s="29">
        <v>-1825</v>
      </c>
      <c r="D36" s="29">
        <v>-709</v>
      </c>
      <c r="E36" s="29">
        <v>-4380</v>
      </c>
      <c r="F36" s="29">
        <v>-15536</v>
      </c>
    </row>
    <row r="37" spans="2:6" x14ac:dyDescent="0.3">
      <c r="B37" s="1" t="s">
        <v>58</v>
      </c>
      <c r="C37" s="29"/>
      <c r="D37" s="29"/>
      <c r="E37" s="29">
        <v>462</v>
      </c>
      <c r="F37" s="29">
        <v>2103</v>
      </c>
    </row>
    <row r="38" spans="2:6" x14ac:dyDescent="0.3">
      <c r="B38" s="1" t="s">
        <v>59</v>
      </c>
      <c r="C38" s="29"/>
      <c r="D38" s="29"/>
      <c r="E38" s="29">
        <v>-86629</v>
      </c>
      <c r="F38" s="29"/>
    </row>
    <row r="39" spans="2:6" x14ac:dyDescent="0.3">
      <c r="B39" s="1" t="s">
        <v>60</v>
      </c>
      <c r="C39" s="29"/>
      <c r="D39" s="29"/>
      <c r="E39" s="29"/>
      <c r="F39" s="29">
        <v>-73831</v>
      </c>
    </row>
    <row r="40" spans="2:6" x14ac:dyDescent="0.3">
      <c r="B40" s="1" t="s">
        <v>61</v>
      </c>
      <c r="C40" s="29"/>
      <c r="D40" s="29"/>
      <c r="E40" s="29"/>
      <c r="F40" s="29">
        <v>31845</v>
      </c>
    </row>
    <row r="41" spans="2:6" x14ac:dyDescent="0.3">
      <c r="B41" s="32" t="s">
        <v>62</v>
      </c>
      <c r="C41" s="33">
        <v>-1825</v>
      </c>
      <c r="D41" s="33">
        <v>-709</v>
      </c>
      <c r="E41" s="33">
        <v>-90547</v>
      </c>
      <c r="F41" s="33">
        <v>-55419</v>
      </c>
    </row>
    <row r="42" spans="2:6" x14ac:dyDescent="0.3">
      <c r="B42" s="3" t="s">
        <v>63</v>
      </c>
      <c r="C42" s="29"/>
      <c r="D42" s="29"/>
      <c r="E42" s="29"/>
      <c r="F42" s="29"/>
    </row>
    <row r="43" spans="2:6" x14ac:dyDescent="0.3">
      <c r="B43" s="1" t="s">
        <v>64</v>
      </c>
      <c r="C43" s="29"/>
      <c r="D43" s="29">
        <v>-3624</v>
      </c>
      <c r="E43" s="29">
        <v>-2212</v>
      </c>
      <c r="F43" s="29">
        <v>-1726</v>
      </c>
    </row>
    <row r="44" spans="2:6" x14ac:dyDescent="0.3">
      <c r="B44" s="1" t="s">
        <v>65</v>
      </c>
      <c r="C44" s="29"/>
      <c r="D44" s="29">
        <v>-312</v>
      </c>
      <c r="E44" s="29">
        <v>-197</v>
      </c>
      <c r="F44" s="29"/>
    </row>
    <row r="45" spans="2:6" x14ac:dyDescent="0.3">
      <c r="B45" s="1" t="s">
        <v>66</v>
      </c>
      <c r="C45" s="29"/>
      <c r="D45" s="29"/>
      <c r="E45" s="29">
        <v>-1594</v>
      </c>
      <c r="F45" s="29">
        <v>-23243</v>
      </c>
    </row>
    <row r="46" spans="2:6" x14ac:dyDescent="0.3">
      <c r="B46" s="1" t="s">
        <v>67</v>
      </c>
      <c r="C46" s="29"/>
      <c r="D46" s="29">
        <v>1578</v>
      </c>
      <c r="E46" s="29"/>
      <c r="F46" s="29"/>
    </row>
    <row r="47" spans="2:6" x14ac:dyDescent="0.3">
      <c r="B47" s="1" t="s">
        <v>68</v>
      </c>
      <c r="C47" s="29"/>
      <c r="D47" s="29">
        <v>34245</v>
      </c>
      <c r="E47" s="29"/>
      <c r="F47" s="29"/>
    </row>
    <row r="48" spans="2:6" x14ac:dyDescent="0.3">
      <c r="B48" s="32" t="s">
        <v>106</v>
      </c>
      <c r="C48" s="33">
        <v>-2956</v>
      </c>
      <c r="D48" s="33">
        <v>31887</v>
      </c>
      <c r="E48" s="33">
        <v>-4003</v>
      </c>
      <c r="F48" s="33">
        <v>-24969</v>
      </c>
    </row>
    <row r="49" spans="2:6" x14ac:dyDescent="0.3">
      <c r="B49" s="1" t="s">
        <v>107</v>
      </c>
      <c r="C49" s="29">
        <v>-2110</v>
      </c>
      <c r="D49" s="29">
        <v>380</v>
      </c>
      <c r="E49" s="29">
        <v>190</v>
      </c>
      <c r="F49" s="29">
        <v>-1414</v>
      </c>
    </row>
    <row r="50" spans="2:6" x14ac:dyDescent="0.3">
      <c r="B50" s="1" t="s">
        <v>108</v>
      </c>
      <c r="C50" s="29">
        <v>1665</v>
      </c>
      <c r="D50" s="29">
        <v>81214</v>
      </c>
      <c r="E50" s="29">
        <v>39092</v>
      </c>
      <c r="F50" s="29">
        <v>76276</v>
      </c>
    </row>
    <row r="51" spans="2:6" x14ac:dyDescent="0.3">
      <c r="B51" s="1" t="s">
        <v>109</v>
      </c>
      <c r="C51" s="29">
        <v>62197</v>
      </c>
      <c r="D51" s="29">
        <v>63862</v>
      </c>
      <c r="E51" s="29">
        <v>145076</v>
      </c>
      <c r="F51" s="29">
        <v>184168</v>
      </c>
    </row>
    <row r="52" spans="2:6" x14ac:dyDescent="0.3">
      <c r="B52" s="32" t="s">
        <v>110</v>
      </c>
      <c r="C52" s="33">
        <v>63862</v>
      </c>
      <c r="D52" s="33">
        <v>145076</v>
      </c>
      <c r="E52" s="33">
        <v>184168</v>
      </c>
      <c r="F52" s="33">
        <v>260444</v>
      </c>
    </row>
    <row r="53" spans="2:6" x14ac:dyDescent="0.3">
      <c r="B53" s="1" t="s">
        <v>111</v>
      </c>
      <c r="C53" s="29">
        <v>0</v>
      </c>
      <c r="D53" s="29"/>
      <c r="E53" s="29"/>
      <c r="F53" s="29"/>
    </row>
    <row r="54" spans="2:6" x14ac:dyDescent="0.3">
      <c r="B54" s="1" t="s">
        <v>112</v>
      </c>
      <c r="C54" s="29">
        <v>309</v>
      </c>
      <c r="D54" s="29">
        <v>568</v>
      </c>
      <c r="E54" s="29">
        <v>1240</v>
      </c>
      <c r="F54" s="29">
        <v>256</v>
      </c>
    </row>
    <row r="55" spans="2:6" x14ac:dyDescent="0.3">
      <c r="B55" s="1" t="s">
        <v>113</v>
      </c>
      <c r="C55" s="29">
        <v>7022</v>
      </c>
      <c r="D55" s="29">
        <v>8539</v>
      </c>
      <c r="E55" s="29">
        <v>9512</v>
      </c>
      <c r="F55" s="29">
        <v>26301</v>
      </c>
    </row>
    <row r="56" spans="2:6" x14ac:dyDescent="0.3">
      <c r="B56" s="1" t="s">
        <v>114</v>
      </c>
      <c r="C56" s="29">
        <v>0</v>
      </c>
      <c r="D56" s="29"/>
      <c r="E56" s="29"/>
      <c r="F56" s="29"/>
    </row>
    <row r="57" spans="2:6" x14ac:dyDescent="0.3">
      <c r="B57" s="1" t="s">
        <v>115</v>
      </c>
      <c r="C57" s="29">
        <v>4086</v>
      </c>
      <c r="D57" s="29">
        <v>2719</v>
      </c>
      <c r="E57" s="29" t="s">
        <v>14</v>
      </c>
      <c r="F57" s="29">
        <v>767</v>
      </c>
    </row>
    <row r="58" spans="2:6" x14ac:dyDescent="0.3">
      <c r="B58" s="1" t="s">
        <v>116</v>
      </c>
      <c r="C58" s="29" t="s">
        <v>14</v>
      </c>
      <c r="D58" s="29">
        <v>807</v>
      </c>
      <c r="E58" s="29" t="s">
        <v>14</v>
      </c>
      <c r="F58" s="29" t="s">
        <v>14</v>
      </c>
    </row>
    <row r="59" spans="2:6" x14ac:dyDescent="0.3">
      <c r="B59" s="1" t="s">
        <v>117</v>
      </c>
      <c r="C59" s="29" t="s">
        <v>14</v>
      </c>
      <c r="D59" s="29" t="s">
        <v>14</v>
      </c>
      <c r="E59" s="29">
        <v>312</v>
      </c>
      <c r="F59" s="29" t="s">
        <v>14</v>
      </c>
    </row>
    <row r="60" spans="2:6" x14ac:dyDescent="0.3">
      <c r="B60" s="1" t="s">
        <v>118</v>
      </c>
      <c r="C60" s="29" t="s">
        <v>14</v>
      </c>
      <c r="D60" s="29" t="s">
        <v>14</v>
      </c>
      <c r="E60" s="29">
        <v>273086</v>
      </c>
      <c r="F60" s="29" t="s">
        <v>14</v>
      </c>
    </row>
    <row r="61" spans="2:6" x14ac:dyDescent="0.3">
      <c r="B61" s="1" t="s">
        <v>119</v>
      </c>
      <c r="C61" s="29" t="s">
        <v>14</v>
      </c>
      <c r="D61" s="29" t="s">
        <v>14</v>
      </c>
      <c r="E61" s="29">
        <v>87568</v>
      </c>
      <c r="F61" s="29" t="s">
        <v>14</v>
      </c>
    </row>
    <row r="62" spans="2:6" x14ac:dyDescent="0.3">
      <c r="B62" s="1" t="s">
        <v>120</v>
      </c>
      <c r="C62" s="29" t="s">
        <v>14</v>
      </c>
      <c r="D62" s="29" t="s">
        <v>14</v>
      </c>
      <c r="E62" s="29">
        <v>-185518</v>
      </c>
      <c r="F62" s="29" t="s">
        <v>14</v>
      </c>
    </row>
    <row r="63" spans="2:6" x14ac:dyDescent="0.3">
      <c r="C63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98E4-1706-4247-9A51-1D0C8B0D1922}">
  <dimension ref="A1:K18"/>
  <sheetViews>
    <sheetView showGridLines="0" zoomScaleNormal="100" workbookViewId="0">
      <pane ySplit="4" topLeftCell="A5" activePane="bottomLeft" state="frozen"/>
      <selection pane="bottomLeft" activeCell="B14" sqref="B14"/>
    </sheetView>
  </sheetViews>
  <sheetFormatPr defaultColWidth="0" defaultRowHeight="13.8" zeroHeight="1" outlineLevelRow="1" x14ac:dyDescent="0.25"/>
  <cols>
    <col min="1" max="1" width="3.77734375" style="5" customWidth="1"/>
    <col min="2" max="2" width="21.44140625" style="5" bestFit="1" customWidth="1"/>
    <col min="3" max="5" width="11.44140625" style="5" bestFit="1" customWidth="1"/>
    <col min="6" max="6" width="10.44140625" style="5" bestFit="1" customWidth="1"/>
    <col min="7" max="10" width="11.44140625" style="5" bestFit="1" customWidth="1"/>
    <col min="11" max="11" width="8.88671875" style="5" customWidth="1"/>
    <col min="12" max="16384" width="8.88671875" style="5" hidden="1"/>
  </cols>
  <sheetData>
    <row r="1" spans="2:10" x14ac:dyDescent="0.25">
      <c r="B1" s="9" t="s">
        <v>38</v>
      </c>
    </row>
    <row r="2" spans="2:10" x14ac:dyDescent="0.25">
      <c r="B2" s="9" t="s">
        <v>39</v>
      </c>
    </row>
    <row r="3" spans="2:10" x14ac:dyDescent="0.25">
      <c r="B3" s="9" t="s">
        <v>216</v>
      </c>
    </row>
    <row r="4" spans="2:10" s="7" customFormat="1" x14ac:dyDescent="0.25">
      <c r="B4" s="108" t="s">
        <v>209</v>
      </c>
    </row>
    <row r="5" spans="2:10" x14ac:dyDescent="0.25">
      <c r="B5" s="9"/>
    </row>
    <row r="6" spans="2:10" ht="14.4" x14ac:dyDescent="0.3">
      <c r="B6" s="4" t="s">
        <v>218</v>
      </c>
    </row>
    <row r="7" spans="2:10" s="9" customFormat="1" x14ac:dyDescent="0.25">
      <c r="B7" s="109" t="s">
        <v>210</v>
      </c>
      <c r="C7" s="110">
        <v>2022</v>
      </c>
      <c r="D7" s="110">
        <v>2022</v>
      </c>
      <c r="E7" s="110">
        <v>2022</v>
      </c>
      <c r="F7" s="109" t="s">
        <v>214</v>
      </c>
      <c r="G7" s="111">
        <v>2025</v>
      </c>
      <c r="H7" s="111">
        <f>+G7+1</f>
        <v>2026</v>
      </c>
      <c r="I7" s="111">
        <f t="shared" ref="I7:J7" si="0">+H7+1</f>
        <v>2027</v>
      </c>
      <c r="J7" s="111">
        <f t="shared" si="0"/>
        <v>2028</v>
      </c>
    </row>
    <row r="8" spans="2:10" x14ac:dyDescent="0.25">
      <c r="B8" s="5" t="s">
        <v>211</v>
      </c>
      <c r="C8" s="107">
        <f>-SUM(C10:C11)</f>
        <v>3783</v>
      </c>
      <c r="D8" s="107">
        <f t="shared" ref="D8:E8" si="1">-SUM(D10:D11)</f>
        <v>1777</v>
      </c>
      <c r="E8" s="107">
        <f t="shared" si="1"/>
        <v>522</v>
      </c>
      <c r="F8" s="107"/>
      <c r="G8" s="107">
        <f>+E8*(1-F9)</f>
        <v>199.26998518830578</v>
      </c>
      <c r="H8" s="107">
        <f>+G8*(1-H9)</f>
        <v>76.069975089937941</v>
      </c>
      <c r="I8" s="107">
        <f t="shared" ref="I8:J8" si="2">+H8*(1-I9)</f>
        <v>29.039200784380697</v>
      </c>
      <c r="J8" s="107">
        <f t="shared" si="2"/>
        <v>11.085519368168159</v>
      </c>
    </row>
    <row r="9" spans="2:10" s="61" customFormat="1" x14ac:dyDescent="0.25">
      <c r="B9" s="61" t="s">
        <v>215</v>
      </c>
      <c r="D9" s="61">
        <f>+(C8-D8)/C8</f>
        <v>0.5302669838752313</v>
      </c>
      <c r="E9" s="61">
        <f>+(D8-E8)/D8</f>
        <v>0.70624648283624081</v>
      </c>
      <c r="F9" s="61">
        <f>+AVERAGE(D9:E9)</f>
        <v>0.61825673335573605</v>
      </c>
      <c r="G9" s="61">
        <f>+F9</f>
        <v>0.61825673335573605</v>
      </c>
      <c r="H9" s="61">
        <f>+G9</f>
        <v>0.61825673335573605</v>
      </c>
      <c r="I9" s="61">
        <f>+H9</f>
        <v>0.61825673335573605</v>
      </c>
      <c r="J9" s="61">
        <f>+I9</f>
        <v>0.61825673335573605</v>
      </c>
    </row>
    <row r="10" spans="2:10" hidden="1" outlineLevel="1" x14ac:dyDescent="0.25">
      <c r="B10" s="39" t="s">
        <v>212</v>
      </c>
      <c r="C10" s="107">
        <v>-2916</v>
      </c>
      <c r="D10" s="107">
        <v>-1666</v>
      </c>
      <c r="E10" s="107">
        <v>-140</v>
      </c>
      <c r="F10" s="107"/>
      <c r="G10" s="107"/>
      <c r="H10" s="107"/>
      <c r="I10" s="107"/>
      <c r="J10" s="107"/>
    </row>
    <row r="11" spans="2:10" hidden="1" outlineLevel="1" x14ac:dyDescent="0.25">
      <c r="B11" s="39" t="s">
        <v>213</v>
      </c>
      <c r="C11" s="107">
        <v>-867</v>
      </c>
      <c r="D11" s="107">
        <v>-111</v>
      </c>
      <c r="E11" s="107">
        <v>-382</v>
      </c>
      <c r="F11" s="107"/>
      <c r="G11" s="107"/>
      <c r="H11" s="107"/>
      <c r="I11" s="107"/>
      <c r="J11" s="107"/>
    </row>
    <row r="12" spans="2:10" collapsed="1" x14ac:dyDescent="0.25"/>
    <row r="13" spans="2:10" x14ac:dyDescent="0.25"/>
    <row r="14" spans="2:10" ht="14.4" x14ac:dyDescent="0.3">
      <c r="B14" s="4" t="s">
        <v>219</v>
      </c>
    </row>
    <row r="15" spans="2:10" x14ac:dyDescent="0.25">
      <c r="B15" s="109" t="s">
        <v>217</v>
      </c>
      <c r="C15" s="110">
        <v>2022</v>
      </c>
      <c r="D15" s="110">
        <v>2022</v>
      </c>
      <c r="E15" s="110">
        <v>2022</v>
      </c>
      <c r="F15" s="109" t="s">
        <v>214</v>
      </c>
      <c r="G15" s="111">
        <v>2025</v>
      </c>
      <c r="H15" s="111">
        <f>+G15+1</f>
        <v>2026</v>
      </c>
      <c r="I15" s="111">
        <f t="shared" ref="I15:J15" si="3">+H15+1</f>
        <v>2027</v>
      </c>
      <c r="J15" s="111">
        <f t="shared" si="3"/>
        <v>2028</v>
      </c>
    </row>
    <row r="16" spans="2:10" x14ac:dyDescent="0.25">
      <c r="B16" s="5" t="s">
        <v>220</v>
      </c>
      <c r="C16" s="107">
        <v>143531</v>
      </c>
      <c r="D16" s="107">
        <v>183283</v>
      </c>
      <c r="E16" s="107">
        <v>259759</v>
      </c>
      <c r="F16" s="107"/>
      <c r="G16" s="107">
        <f>+E16*(1+F17)</f>
        <v>349923.16267575527</v>
      </c>
      <c r="H16" s="107">
        <f>+G16*(1+H17)</f>
        <v>471383.93579049461</v>
      </c>
      <c r="I16" s="107">
        <f t="shared" ref="I16:J16" si="4">+H16*(1+I17)</f>
        <v>635004.59135720041</v>
      </c>
      <c r="J16" s="107">
        <f t="shared" si="4"/>
        <v>855419.11895771523</v>
      </c>
    </row>
    <row r="17" spans="2:10" s="24" customFormat="1" x14ac:dyDescent="0.25">
      <c r="B17" s="24" t="s">
        <v>221</v>
      </c>
      <c r="D17" s="61">
        <f>+D16/C16-1</f>
        <v>0.27695759104304996</v>
      </c>
      <c r="E17" s="61">
        <f>+E16/D16-1</f>
        <v>0.41725637402268623</v>
      </c>
      <c r="F17" s="61">
        <f>AVERAGE(D17:E17)</f>
        <v>0.34710698253286809</v>
      </c>
      <c r="G17" s="61">
        <f>+$F$17</f>
        <v>0.34710698253286809</v>
      </c>
      <c r="H17" s="61">
        <f t="shared" ref="H17:J17" si="5">+$F$17</f>
        <v>0.34710698253286809</v>
      </c>
      <c r="I17" s="61">
        <f t="shared" si="5"/>
        <v>0.34710698253286809</v>
      </c>
      <c r="J17" s="61">
        <f t="shared" si="5"/>
        <v>0.34710698253286809</v>
      </c>
    </row>
    <row r="18" spans="2:10" x14ac:dyDescent="0.25"/>
  </sheetData>
  <dataConsolidate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A8F3A4-6291-4132-AC10-B7A121B212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Assumptions</vt:lpstr>
      <vt:lpstr>DCF Model</vt:lpstr>
      <vt:lpstr>WACC</vt:lpstr>
      <vt:lpstr>Income Statement</vt:lpstr>
      <vt:lpstr>Revenue Division</vt:lpstr>
      <vt:lpstr>Cash Flow Statement</vt:lpstr>
      <vt:lpstr>Supplementary Schedule</vt:lpstr>
      <vt:lpstr>TGR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Aritra Banerjee</dc:creator>
  <cp:lastModifiedBy>Aritra Banerjee</cp:lastModifiedBy>
  <dcterms:created xsi:type="dcterms:W3CDTF">2025-06-26T05:56:59Z</dcterms:created>
  <dcterms:modified xsi:type="dcterms:W3CDTF">2025-08-31T06:13:38Z</dcterms:modified>
</cp:coreProperties>
</file>