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F251CB8-B47B-4034-B74D-544BB34EE11D}" xr6:coauthVersionLast="47" xr6:coauthVersionMax="47" xr10:uidLastSave="{00000000-0000-0000-0000-000000000000}"/>
  <bookViews>
    <workbookView xWindow="-120" yWindow="-120" windowWidth="29040" windowHeight="15720" tabRatio="856" firstSheet="15" activeTab="15" xr2:uid="{4CB3E96B-53EA-4ABD-B1E9-F6FEAF54DEC0}"/>
  </bookViews>
  <sheets>
    <sheet name="INDICE" sheetId="35" r:id="rId1"/>
    <sheet name="I. Balanza" sheetId="1" r:id="rId2"/>
    <sheet name="II. Balance general " sheetId="9" r:id="rId3"/>
    <sheet name="III. Estado de Resultados" sheetId="10" r:id="rId4"/>
    <sheet name="IV. Edo de Cambios" sheetId="19" r:id="rId5"/>
    <sheet name="V. Flujo de Efectivo" sheetId="17" r:id="rId6"/>
    <sheet name="VI. Conciliacion Activo" sheetId="3" r:id="rId7"/>
    <sheet name="VII. Conciliacion Pasivo" sheetId="13" r:id="rId8"/>
    <sheet name="VIII. Ajuste Anual  Por Infl" sheetId="24" r:id="rId9"/>
    <sheet name="IX. Ajuste Anual Ctas Dolares" sheetId="30" r:id="rId10"/>
    <sheet name="X. Venta de Activo Fijo" sheetId="26" r:id="rId11"/>
    <sheet name="XI. Regalias Pagadas" sheetId="27" r:id="rId12"/>
    <sheet name="XII. Provisiones" sheetId="23" r:id="rId13"/>
    <sheet name="XIII.Resultado Fiscal" sheetId="21" r:id="rId14"/>
    <sheet name="XIV. Coef Utilidad" sheetId="34" r:id="rId15"/>
    <sheet name="XV. Tasa Efectiva" sheetId="22" r:id="rId16"/>
    <sheet name="XVI. Ej Polizas Cont Impuestos" sheetId="25" r:id="rId17"/>
    <sheet name="XVII. Razones Financieras" sheetId="20" r:id="rId18"/>
    <sheet name="XVIII. Calendario" sheetId="15" r:id="rId19"/>
    <sheet name="XIX. Lista de Revision" sheetId="40" r:id="rId20"/>
    <sheet name="XX. INPC" sheetId="28" r:id="rId21"/>
    <sheet name="XXI. T. Cambio" sheetId="32" r:id="rId22"/>
    <sheet name="XXII. Int Saldos a Favor" sheetId="36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A">#REF!</definedName>
    <definedName name="\B">#REF!</definedName>
    <definedName name="\P" localSheetId="5">#REF!</definedName>
    <definedName name="\P" localSheetId="8">#REF!</definedName>
    <definedName name="\P" localSheetId="11">#REF!</definedName>
    <definedName name="\P" localSheetId="12">#REF!</definedName>
    <definedName name="\P" localSheetId="13">#REF!</definedName>
    <definedName name="\P" localSheetId="19">#REF!</definedName>
    <definedName name="\P" localSheetId="16">#REF!</definedName>
    <definedName name="\P">#REF!</definedName>
    <definedName name="________LI136">#REF!</definedName>
    <definedName name="________MI136">#REF!</definedName>
    <definedName name="_______ART80">[1]TABLAS!$B$28:$E$38</definedName>
    <definedName name="_______LI136" localSheetId="11">#REF!</definedName>
    <definedName name="_______LI136" localSheetId="13">#REF!</definedName>
    <definedName name="_______LI136" localSheetId="19">#REF!</definedName>
    <definedName name="_______LI136" localSheetId="16">#REF!</definedName>
    <definedName name="_______LI136">#REF!</definedName>
    <definedName name="_______MI136" localSheetId="11">#REF!</definedName>
    <definedName name="_______MI136" localSheetId="13">#REF!</definedName>
    <definedName name="_______MI136" localSheetId="19">#REF!</definedName>
    <definedName name="_______MI136" localSheetId="16">#REF!</definedName>
    <definedName name="_______MI136">#REF!</definedName>
    <definedName name="_______tc96" localSheetId="11">#REF!</definedName>
    <definedName name="_______tc96" localSheetId="13">#REF!</definedName>
    <definedName name="_______tc96" localSheetId="19">#REF!</definedName>
    <definedName name="_______tc96" localSheetId="16">#REF!</definedName>
    <definedName name="_______tc96">#REF!</definedName>
    <definedName name="______ART80">[1]TABLAS!$B$28:$E$38</definedName>
    <definedName name="______LI136" localSheetId="11">#REF!</definedName>
    <definedName name="______LI136" localSheetId="13">#REF!</definedName>
    <definedName name="______LI136" localSheetId="19">#REF!</definedName>
    <definedName name="______LI136" localSheetId="16">#REF!</definedName>
    <definedName name="______LI136">#REF!</definedName>
    <definedName name="______MI136" localSheetId="11">#REF!</definedName>
    <definedName name="______MI136" localSheetId="13">#REF!</definedName>
    <definedName name="______MI136" localSheetId="19">#REF!</definedName>
    <definedName name="______MI136" localSheetId="16">#REF!</definedName>
    <definedName name="______MI136">#REF!</definedName>
    <definedName name="______tc96" localSheetId="11">#REF!</definedName>
    <definedName name="______tc96" localSheetId="13">#REF!</definedName>
    <definedName name="______tc96" localSheetId="19">#REF!</definedName>
    <definedName name="______tc96" localSheetId="16">#REF!</definedName>
    <definedName name="______tc96">#REF!</definedName>
    <definedName name="_____ART80">[1]TABLAS!$B$28:$E$38</definedName>
    <definedName name="_____F">#REF!</definedName>
    <definedName name="_____LI136" localSheetId="11">#REF!</definedName>
    <definedName name="_____LI136" localSheetId="13">#REF!</definedName>
    <definedName name="_____LI136" localSheetId="19">#REF!</definedName>
    <definedName name="_____LI136" localSheetId="16">#REF!</definedName>
    <definedName name="_____LI136">#REF!</definedName>
    <definedName name="_____MI136" localSheetId="11">#REF!</definedName>
    <definedName name="_____MI136" localSheetId="13">#REF!</definedName>
    <definedName name="_____MI136" localSheetId="19">#REF!</definedName>
    <definedName name="_____MI136" localSheetId="16">#REF!</definedName>
    <definedName name="_____MI136">#REF!</definedName>
    <definedName name="_____tc96" localSheetId="11">#REF!</definedName>
    <definedName name="_____tc96" localSheetId="13">#REF!</definedName>
    <definedName name="_____tc96" localSheetId="16">#REF!</definedName>
    <definedName name="_____tc96">#REF!</definedName>
    <definedName name="____ART80">[1]TABLAS!$B$28:$E$38</definedName>
    <definedName name="____F">#REF!</definedName>
    <definedName name="____LI136" localSheetId="11">#REF!</definedName>
    <definedName name="____LI136" localSheetId="13">#REF!</definedName>
    <definedName name="____LI136" localSheetId="19">#REF!</definedName>
    <definedName name="____LI136" localSheetId="16">#REF!</definedName>
    <definedName name="____LI136">#REF!</definedName>
    <definedName name="____MI136" localSheetId="11">#REF!</definedName>
    <definedName name="____MI136" localSheetId="13">#REF!</definedName>
    <definedName name="____MI136" localSheetId="19">#REF!</definedName>
    <definedName name="____MI136" localSheetId="16">#REF!</definedName>
    <definedName name="____MI136">#REF!</definedName>
    <definedName name="____tc96" localSheetId="11">#REF!</definedName>
    <definedName name="____tc96" localSheetId="13">#REF!</definedName>
    <definedName name="____tc96" localSheetId="16">#REF!</definedName>
    <definedName name="____tc96">#REF!</definedName>
    <definedName name="___ART80">[1]TABLAS!$B$28:$E$38</definedName>
    <definedName name="___F">#REF!</definedName>
    <definedName name="___LI136" localSheetId="11">#REF!</definedName>
    <definedName name="___LI136" localSheetId="13">#REF!</definedName>
    <definedName name="___LI136" localSheetId="19">#REF!</definedName>
    <definedName name="___LI136" localSheetId="16">#REF!</definedName>
    <definedName name="___LI136">#REF!</definedName>
    <definedName name="___MI136" localSheetId="11">#REF!</definedName>
    <definedName name="___MI136" localSheetId="13">#REF!</definedName>
    <definedName name="___MI136" localSheetId="19">#REF!</definedName>
    <definedName name="___MI136" localSheetId="16">#REF!</definedName>
    <definedName name="___MI136">#REF!</definedName>
    <definedName name="___tc96" localSheetId="11">#REF!</definedName>
    <definedName name="___tc96" localSheetId="13">#REF!</definedName>
    <definedName name="___tc96" localSheetId="16">#REF!</definedName>
    <definedName name="___tc96">#REF!</definedName>
    <definedName name="__123Graph_B" hidden="1">[2]Edificios!#REF!</definedName>
    <definedName name="__123Graph_F" hidden="1">[2]Edificios!#REF!</definedName>
    <definedName name="__123Graph_X" hidden="1">[2]Edificios!#REF!</definedName>
    <definedName name="__ART80">[1]TABLAS!$B$28:$E$38</definedName>
    <definedName name="__F">#REF!</definedName>
    <definedName name="__LI136" localSheetId="11">#REF!</definedName>
    <definedName name="__LI136" localSheetId="13">#REF!</definedName>
    <definedName name="__LI136" localSheetId="19">#REF!</definedName>
    <definedName name="__LI136" localSheetId="16">#REF!</definedName>
    <definedName name="__LI136">#REF!</definedName>
    <definedName name="__MI136" localSheetId="11">#REF!</definedName>
    <definedName name="__MI136" localSheetId="13">#REF!</definedName>
    <definedName name="__MI136" localSheetId="19">#REF!</definedName>
    <definedName name="__MI136" localSheetId="16">#REF!</definedName>
    <definedName name="__MI136">#REF!</definedName>
    <definedName name="__tc96" localSheetId="11">#REF!</definedName>
    <definedName name="__tc96" localSheetId="13">#REF!</definedName>
    <definedName name="__tc96" localSheetId="16">#REF!</definedName>
    <definedName name="__tc96">#REF!</definedName>
    <definedName name="_1" localSheetId="5">#REF!</definedName>
    <definedName name="_1" localSheetId="8">#REF!</definedName>
    <definedName name="_1" localSheetId="11">#REF!</definedName>
    <definedName name="_1" localSheetId="12">#REF!</definedName>
    <definedName name="_1" localSheetId="13">#REF!</definedName>
    <definedName name="_1">#REF!</definedName>
    <definedName name="_1.1" localSheetId="5">#REF!</definedName>
    <definedName name="_1.1">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2" localSheetId="8">#REF!</definedName>
    <definedName name="_2" localSheetId="11">#REF!</definedName>
    <definedName name="_2" localSheetId="12">#REF!</definedName>
    <definedName name="_2" localSheetId="13">#REF!</definedName>
    <definedName name="_2">#REF!</definedName>
    <definedName name="_2.1">#REF!</definedName>
    <definedName name="_2.10">#REF!</definedName>
    <definedName name="_2.2">#REF!</definedName>
    <definedName name="_2.3">#REF!</definedName>
    <definedName name="_2.4">#REF!</definedName>
    <definedName name="_2.5">#REF!</definedName>
    <definedName name="_2.6">#REF!</definedName>
    <definedName name="_2.7">#REF!</definedName>
    <definedName name="_2.8">#REF!</definedName>
    <definedName name="_2.9">#REF!</definedName>
    <definedName name="_3" localSheetId="8">#REF!</definedName>
    <definedName name="_3" localSheetId="11">#REF!</definedName>
    <definedName name="_3" localSheetId="12">#REF!</definedName>
    <definedName name="_3" localSheetId="13">#REF!</definedName>
    <definedName name="_3">#REF!</definedName>
    <definedName name="_4" localSheetId="8">#REF!</definedName>
    <definedName name="_4" localSheetId="11">#REF!</definedName>
    <definedName name="_4" localSheetId="12">#REF!</definedName>
    <definedName name="_4" localSheetId="13">#REF!</definedName>
    <definedName name="_4">#REF!</definedName>
    <definedName name="_4.1">#REF!</definedName>
    <definedName name="_4.2">#REF!</definedName>
    <definedName name="_4.3">#REF!</definedName>
    <definedName name="_4.4">#REF!</definedName>
    <definedName name="_5" localSheetId="8">#REF!</definedName>
    <definedName name="_5" localSheetId="11">#REF!</definedName>
    <definedName name="_5" localSheetId="12">#REF!</definedName>
    <definedName name="_5" localSheetId="13">#REF!</definedName>
    <definedName name="_5">#REF!</definedName>
    <definedName name="_6" localSheetId="8">#REF!</definedName>
    <definedName name="_6" localSheetId="11">#REF!</definedName>
    <definedName name="_6" localSheetId="12">#REF!</definedName>
    <definedName name="_6" localSheetId="13">#REF!</definedName>
    <definedName name="_6">#REF!</definedName>
    <definedName name="_7" localSheetId="8">#REF!</definedName>
    <definedName name="_7" localSheetId="11">#REF!</definedName>
    <definedName name="_7" localSheetId="12">#REF!</definedName>
    <definedName name="_7" localSheetId="13">#REF!</definedName>
    <definedName name="_7">#REF!</definedName>
    <definedName name="_7.1">#REF!</definedName>
    <definedName name="_7.2">#REF!</definedName>
    <definedName name="_7.3">#REF!</definedName>
    <definedName name="_7.4">#REF!</definedName>
    <definedName name="_7.5">#REF!</definedName>
    <definedName name="_7.6">#REF!</definedName>
    <definedName name="_8" localSheetId="8">#REF!</definedName>
    <definedName name="_8" localSheetId="11">#REF!</definedName>
    <definedName name="_8" localSheetId="12">#REF!</definedName>
    <definedName name="_8" localSheetId="13">#REF!</definedName>
    <definedName name="_8">#REF!</definedName>
    <definedName name="_9" localSheetId="8">#REF!</definedName>
    <definedName name="_9" localSheetId="11">#REF!</definedName>
    <definedName name="_9" localSheetId="12">#REF!</definedName>
    <definedName name="_9" localSheetId="13">#REF!</definedName>
    <definedName name="_9">#REF!</definedName>
    <definedName name="_ART80">[1]TABLAS!$B$28:$E$38</definedName>
    <definedName name="_F">#REF!</definedName>
    <definedName name="_Fill" hidden="1">#REF!</definedName>
    <definedName name="_xlnm._FilterDatabase" localSheetId="1" hidden="1">'I. Balanza'!$A$8:$Z$8</definedName>
    <definedName name="_xlnm._FilterDatabase" localSheetId="2" hidden="1">'II. Balance general '!$B$7:$E$47</definedName>
    <definedName name="_xlnm._FilterDatabase" localSheetId="3" hidden="1">'III. Estado de Resultados'!$A$8:$AF$272</definedName>
    <definedName name="_xlnm._FilterDatabase" localSheetId="11" hidden="1">'XI. Regalias Pagadas'!$A$7:$H$11</definedName>
    <definedName name="_xlnm._FilterDatabase" localSheetId="13" hidden="1">'XIII.Resultado Fiscal'!$A$9:$L$274</definedName>
    <definedName name="_ftn1" localSheetId="2">'II. Balance general '!$B$27</definedName>
    <definedName name="_ftn2" localSheetId="2">'II. Balance general '!$B$26</definedName>
    <definedName name="_ftn3" localSheetId="2">'II. Balance general '!$B$35</definedName>
    <definedName name="_ftn4" localSheetId="2">'II. Balance general '!$B$29</definedName>
    <definedName name="_ftn5" localSheetId="2">'II. Balance general '!$B$30</definedName>
    <definedName name="_ftn6" localSheetId="2">'II. Balance general '!$B$36</definedName>
    <definedName name="_ftn7" localSheetId="2">'II. Balance general '!$B$28</definedName>
    <definedName name="_ftnref1" localSheetId="5">'V. Flujo de Efectivo'!$A$9</definedName>
    <definedName name="_ftnref2" localSheetId="5">'V. Flujo de Efectivo'!#REF!</definedName>
    <definedName name="_ftnref3" localSheetId="5">'V. Flujo de Efectivo'!$A$12</definedName>
    <definedName name="_ftnref4" localSheetId="2">'II. Balance general '!$B$8</definedName>
    <definedName name="_ftnref5" localSheetId="2">'II. Balance general '!#REF!</definedName>
    <definedName name="_ftnref6" localSheetId="2">'II. Balance general '!#REF!</definedName>
    <definedName name="_ftnref7" localSheetId="2">'II. Balance general '!#REF!</definedName>
    <definedName name="_Key1" localSheetId="19" hidden="1">#REF!</definedName>
    <definedName name="_Key1" hidden="1">#REF!</definedName>
    <definedName name="_LI136" localSheetId="11">#REF!</definedName>
    <definedName name="_LI136" localSheetId="13">#REF!</definedName>
    <definedName name="_LI136" localSheetId="16">#REF!</definedName>
    <definedName name="_LI136">#REF!</definedName>
    <definedName name="_MI136" localSheetId="11">#REF!</definedName>
    <definedName name="_MI136" localSheetId="13">#REF!</definedName>
    <definedName name="_MI136" localSheetId="16">#REF!</definedName>
    <definedName name="_MI136">#REF!</definedName>
    <definedName name="_Order1" hidden="1">255</definedName>
    <definedName name="_Order2" hidden="1">0</definedName>
    <definedName name="_PYG10">'[3]P&amp;L SAP'!#REF!</definedName>
    <definedName name="_PYG11">'[3]P&amp;L SAP'!#REF!</definedName>
    <definedName name="_PYG12">'[3]P&amp;L SAP'!#REF!</definedName>
    <definedName name="_PYG2">'[3]P&amp;L SAP'!#REF!</definedName>
    <definedName name="_PYG3">'[3]P&amp;L SAP'!#REF!</definedName>
    <definedName name="_PYG4">'[3]P&amp;L SAP'!#REF!</definedName>
    <definedName name="_PYG5">'[3]P&amp;L SAP'!#REF!</definedName>
    <definedName name="_PYG6">'[3]P&amp;L SAP'!#REF!</definedName>
    <definedName name="_PYG7">'[3]P&amp;L SAP'!#REF!</definedName>
    <definedName name="_PYG8">'[3]P&amp;L SAP'!#REF!</definedName>
    <definedName name="_PYG9">'[3]P&amp;L SAP'!#REF!</definedName>
    <definedName name="_Sort" localSheetId="19" hidden="1">#REF!</definedName>
    <definedName name="_Sort" hidden="1">#REF!</definedName>
    <definedName name="_SORT1" localSheetId="19" hidden="1">#REF!</definedName>
    <definedName name="_SORT1" hidden="1">#REF!</definedName>
    <definedName name="_tc96" localSheetId="11">#REF!</definedName>
    <definedName name="_tc96" localSheetId="13">#REF!</definedName>
    <definedName name="_tc96" localSheetId="19">#REF!</definedName>
    <definedName name="_tc96" localSheetId="16">#REF!</definedName>
    <definedName name="_tc96">#REF!</definedName>
    <definedName name="A" localSheetId="5">#REF!</definedName>
    <definedName name="A" localSheetId="8">#REF!</definedName>
    <definedName name="A" localSheetId="11">#REF!</definedName>
    <definedName name="A" localSheetId="12">#REF!</definedName>
    <definedName name="A" localSheetId="13">#REF!</definedName>
    <definedName name="A" localSheetId="16">#REF!</definedName>
    <definedName name="A">#REF!</definedName>
    <definedName name="A_IMPRESIÓN_IM" localSheetId="11">#REF!</definedName>
    <definedName name="A_IMPRESIÓN_IM">#REF!</definedName>
    <definedName name="AAAAAAA" localSheetId="11">#REF!</definedName>
    <definedName name="AAAAAAA" localSheetId="13">#REF!</definedName>
    <definedName name="AAAAAAA">#REF!</definedName>
    <definedName name="ACUMULADO" localSheetId="5">#REF!</definedName>
    <definedName name="ACUMULADO" localSheetId="8">#REF!</definedName>
    <definedName name="ACUMULADO" localSheetId="11">#REF!</definedName>
    <definedName name="ACUMULADO" localSheetId="12">#REF!</definedName>
    <definedName name="ACUMULADO" localSheetId="13">#REF!</definedName>
    <definedName name="ACUMULADO">#REF!</definedName>
    <definedName name="Alex" localSheetId="19" hidden="1">{#N/A,#N/A,FALSE,"Sched2";#N/A,#N/A,FALSE,"Sched5b";#N/A,#N/A,FALSE,"Sheet7";#N/A,#N/A,FALSE,"Sched8";#N/A,#N/A,FALSE,"Sched11";#N/A,#N/A,FALSE,"Sched12";#N/A,#N/A,FALSE,"Sched13";#N/A,#N/A,FALSE,"Sched14";#N/A,#N/A,FALSE,"SOB";#N/A,#N/A,FALSE,"Exposure";#N/A,#N/A,FALSE,"Expense Detail"}</definedName>
    <definedName name="Alex" hidden="1">{#N/A,#N/A,FALSE,"Sched2";#N/A,#N/A,FALSE,"Sched5b";#N/A,#N/A,FALSE,"Sheet7";#N/A,#N/A,FALSE,"Sched8";#N/A,#N/A,FALSE,"Sched11";#N/A,#N/A,FALSE,"Sched12";#N/A,#N/A,FALSE,"Sched13";#N/A,#N/A,FALSE,"Sched14";#N/A,#N/A,FALSE,"SOB";#N/A,#N/A,FALSE,"Exposure";#N/A,#N/A,FALSE,"Expense Detail"}</definedName>
    <definedName name="alonso" localSheetId="11">#REF!</definedName>
    <definedName name="alonso" localSheetId="13">#REF!</definedName>
    <definedName name="alonso" localSheetId="19">#REF!</definedName>
    <definedName name="alonso">#REF!</definedName>
    <definedName name="ANA" localSheetId="19">#REF!</definedName>
    <definedName name="ANA">#REF!</definedName>
    <definedName name="ANITA" localSheetId="19">'[4]Transacc Vtas'!#REF!</definedName>
    <definedName name="ANITA">'[4]Transacc Vtas'!#REF!</definedName>
    <definedName name="anticipated_uncorrected" localSheetId="5">[5]Calculadora!#REF!</definedName>
    <definedName name="anticipated_uncorrected" localSheetId="19">[5]Calculadora!#REF!</definedName>
    <definedName name="anticipated_uncorrected">[5]Calculadora!#REF!</definedName>
    <definedName name="ARA_Threshold" localSheetId="19">#REF!</definedName>
    <definedName name="ARA_Threshold">#REF!</definedName>
    <definedName name="_xlnm.Print_Area" localSheetId="5">#REF!</definedName>
    <definedName name="_xlnm.Print_Area" localSheetId="8">#REF!</definedName>
    <definedName name="_xlnm.Print_Area" localSheetId="11">#REF!</definedName>
    <definedName name="_xlnm.Print_Area" localSheetId="12">#REF!</definedName>
    <definedName name="_xlnm.Print_Area" localSheetId="13">#REF!</definedName>
    <definedName name="_xlnm.Print_Area" localSheetId="19">#REF!</definedName>
    <definedName name="_xlnm.Print_Area" localSheetId="16">#REF!</definedName>
    <definedName name="_xlnm.Print_Area">#REF!</definedName>
    <definedName name="ARP_Threshold" localSheetId="19">#REF!</definedName>
    <definedName name="ARP_Threshold">#REF!</definedName>
    <definedName name="arrendamiento" localSheetId="19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arrendamiento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ART" localSheetId="19" hidden="1">{#N/A,#N/A,FALSE,"BALANCE";#N/A,#N/A,FALSE,"EDORESUL";#N/A,#N/A,FALSE,"TC - EFECTIVO";#N/A,#N/A,FALSE,"CLIENTES";#N/A,#N/A,FALSE,"I.V.A.";#N/A,#N/A,FALSE,"DEUDORES";#N/A,#N/A,FALSE,"ANTICIPO-PROVEEDORES";#N/A,#N/A,FALSE,"ACCIONES";#N/A,#N/A,FALSE,"PROVEEDORES";#N/A,#N/A,FALSE,"ACREEDORES";#N/A,#N/A,FALSE,"SEGUROS";#N/A,#N/A,FALSE,"IMPUESTOS";#N/A,#N/A,FALSE,"DOCUMENTOS";#N/A,#N/A,FALSE,"DOCUMENTOS (2)";#N/A,#N/A,FALSE,"GTOS.ADMON.";#N/A,#N/A,FALSE,"GTOS.FLOTA"}</definedName>
    <definedName name="ART" hidden="1">{#N/A,#N/A,FALSE,"BALANCE";#N/A,#N/A,FALSE,"EDORESUL";#N/A,#N/A,FALSE,"TC - EFECTIVO";#N/A,#N/A,FALSE,"CLIENTES";#N/A,#N/A,FALSE,"I.V.A.";#N/A,#N/A,FALSE,"DEUDORES";#N/A,#N/A,FALSE,"ANTICIPO-PROVEEDORES";#N/A,#N/A,FALSE,"ACCIONES";#N/A,#N/A,FALSE,"PROVEEDORES";#N/A,#N/A,FALSE,"ACREEDORES";#N/A,#N/A,FALSE,"SEGUROS";#N/A,#N/A,FALSE,"IMPUESTOS";#N/A,#N/A,FALSE,"DOCUMENTOS";#N/A,#N/A,FALSE,"DOCUMENTOS (2)";#N/A,#N/A,FALSE,"GTOS.ADMON.";#N/A,#N/A,FALSE,"GTOS.FLOTA"}</definedName>
    <definedName name="ART80A">[1]TABLAS!$G$28:$J$38</definedName>
    <definedName name="as" localSheetId="11">#REF!</definedName>
    <definedName name="as" localSheetId="13">#REF!</definedName>
    <definedName name="as" localSheetId="19">#REF!</definedName>
    <definedName name="as" localSheetId="16">#REF!</definedName>
    <definedName name="as">#REF!</definedName>
    <definedName name="AS2DocOpenMode" hidden="1">"AS2DocumentEdit"</definedName>
    <definedName name="AS2NamedRange" hidden="1">6</definedName>
    <definedName name="AS2ReportLS" hidden="1">2</definedName>
    <definedName name="AS2StaticLS" hidden="1">#REF!</definedName>
    <definedName name="AS2SyncStepLS" hidden="1">3</definedName>
    <definedName name="AS2VersionLS" hidden="1">220</definedName>
    <definedName name="ass" localSheetId="11">#REF!</definedName>
    <definedName name="ass" localSheetId="13">#REF!</definedName>
    <definedName name="ass" localSheetId="19">#REF!</definedName>
    <definedName name="ass" localSheetId="16">#REF!</definedName>
    <definedName name="ass">#REF!</definedName>
    <definedName name="AUBURN" localSheetId="5">#REF!</definedName>
    <definedName name="AUBURN" localSheetId="8">#REF!</definedName>
    <definedName name="AUBURN" localSheetId="11">#REF!</definedName>
    <definedName name="AUBURN" localSheetId="12">#REF!</definedName>
    <definedName name="AUBURN" localSheetId="13">#REF!</definedName>
    <definedName name="AUBURN" localSheetId="19">#REF!</definedName>
    <definedName name="AUBURN" localSheetId="16">#REF!</definedName>
    <definedName name="AUBURN">#REF!</definedName>
    <definedName name="B" localSheetId="19">'[6]Transacc Vtas'!#REF!</definedName>
    <definedName name="B">'[6]Transacc Vtas'!#REF!</definedName>
    <definedName name="_xlnm.Database" localSheetId="11">#REF!</definedName>
    <definedName name="_xlnm.Database" localSheetId="19">#REF!</definedName>
    <definedName name="_xlnm.Database" localSheetId="16">#REF!</definedName>
    <definedName name="_xlnm.Database">#REF!</definedName>
    <definedName name="Benchmark" localSheetId="5">#REF!</definedName>
    <definedName name="Benchmark" localSheetId="13">#REF!</definedName>
    <definedName name="Benchmark" localSheetId="19">#REF!</definedName>
    <definedName name="Benchmark" localSheetId="16">#REF!</definedName>
    <definedName name="Benchmark">#REF!</definedName>
    <definedName name="benchmark_numbers" localSheetId="5">[5]Workings!#REF!</definedName>
    <definedName name="benchmark_numbers" localSheetId="13">[5]Workings!#REF!</definedName>
    <definedName name="benchmark_numbers" localSheetId="19">[5]Workings!#REF!</definedName>
    <definedName name="benchmark_numbers" localSheetId="16">[5]Workings!#REF!</definedName>
    <definedName name="benchmark_numbers">[5]Workings!#REF!</definedName>
    <definedName name="benchmark1">[5]Calculadora!$B$6</definedName>
    <definedName name="benchmark1_bal">[5]Calculadora!$B$8</definedName>
    <definedName name="benchmark2">[5]Calculadora!#REF!</definedName>
    <definedName name="benchmark2_bal">[5]Calculadora!#REF!</definedName>
    <definedName name="benchmark3">[5]Calculadora!#REF!</definedName>
    <definedName name="benchmark3_bal">[5]Calculadora!#REF!</definedName>
    <definedName name="Benchmarks">[5]Workings!$A$3:$A$9</definedName>
    <definedName name="BGER">'[5]Datos Fuente'!$A$2:$A$3</definedName>
    <definedName name="BM_number">[5]Calculadora!#REF!</definedName>
    <definedName name="BM_ref">[5]Calculadora!#REF!</definedName>
    <definedName name="BM2_heading">[5]Calculadora!#REF!</definedName>
    <definedName name="BM3_heading">[5]Calculadora!#REF!</definedName>
    <definedName name="calculation2">[5]Calculadora!#REF!</definedName>
    <definedName name="calculation3">[5]Calculadora!#REF!</definedName>
    <definedName name="Clas1">'[5]Datos Fuente'!$B$2:$B$9</definedName>
    <definedName name="Clas2">'[5]Datos Fuente'!$C$2:$C$8</definedName>
    <definedName name="Clearly_trivial_threshold">[5]Calculadora!#REF!</definedName>
    <definedName name="CLIENTE" localSheetId="5">#REF!</definedName>
    <definedName name="CLIENTE" localSheetId="13">#REF!</definedName>
    <definedName name="CLIENTE" localSheetId="19">#REF!</definedName>
    <definedName name="CLIENTE" localSheetId="16">#REF!</definedName>
    <definedName name="CLIENTE">#REF!</definedName>
    <definedName name="COMPONENTES" localSheetId="19">#REF!</definedName>
    <definedName name="COMPONENTES">#REF!</definedName>
    <definedName name="ComponentPM" localSheetId="5">[5]Workings!#REF!</definedName>
    <definedName name="ComponentPM" localSheetId="13">[5]Workings!#REF!</definedName>
    <definedName name="ComponentPM" localSheetId="19">[5]Workings!#REF!</definedName>
    <definedName name="ComponentPM" localSheetId="16">[5]Workings!#REF!</definedName>
    <definedName name="ComponentPM">[5]Workings!#REF!</definedName>
    <definedName name="comprillas" localSheetId="11">'[7]Transacc Vtas'!#REF!</definedName>
    <definedName name="comprillas" localSheetId="13">'[8]Transacc Vtas'!#REF!</definedName>
    <definedName name="comprillas" localSheetId="19">'[9]Transacc Vtas'!#REF!</definedName>
    <definedName name="comprillas" localSheetId="16">'[8]Transacc Vtas'!#REF!</definedName>
    <definedName name="comprillas">'[9]Transacc Vtas'!#REF!</definedName>
    <definedName name="CONCILIACION" localSheetId="19">#REF!</definedName>
    <definedName name="CONCILIACION">#REF!</definedName>
    <definedName name="CONTRIBUCIONES" localSheetId="19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CONTRIBUCIONES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CREDITO">[1]TABLAS!$L$28:$N$40</definedName>
    <definedName name="csDesignMode">1</definedName>
    <definedName name="CTAS" localSheetId="5">#REF!</definedName>
    <definedName name="CTAS" localSheetId="13">#REF!</definedName>
    <definedName name="CTAS" localSheetId="19">#REF!</definedName>
    <definedName name="CTAS" localSheetId="16">#REF!</definedName>
    <definedName name="CTAS">#REF!</definedName>
    <definedName name="CTT_percent" localSheetId="5">[5]Calculadora!#REF!</definedName>
    <definedName name="CTT_percent" localSheetId="13">[5]Calculadora!#REF!</definedName>
    <definedName name="CTT_percent" localSheetId="19">[5]Calculadora!#REF!</definedName>
    <definedName name="CTT_percent" localSheetId="16">[5]Calculadora!#REF!</definedName>
    <definedName name="CTT_percent">[5]Calculadora!#REF!</definedName>
    <definedName name="CUCA" localSheetId="19" hidden="1">{#N/A,#N/A,FALSE,"BALANCE";#N/A,#N/A,FALSE,"EDORESUL";#N/A,#N/A,FALSE,"TC - EFECTIVO";#N/A,#N/A,FALSE,"CLIENTES";#N/A,#N/A,FALSE,"I.V.A.";#N/A,#N/A,FALSE,"DEUDORES";#N/A,#N/A,FALSE,"ANTICIPO-PROVEEDORES";#N/A,#N/A,FALSE,"ACCIONES";#N/A,#N/A,FALSE,"PROVEEDORES";#N/A,#N/A,FALSE,"ACREEDORES";#N/A,#N/A,FALSE,"SEGUROS";#N/A,#N/A,FALSE,"IMPUESTOS";#N/A,#N/A,FALSE,"DOCUMENTOS";#N/A,#N/A,FALSE,"DOCUMENTOS (2)";#N/A,#N/A,FALSE,"GTOS.ADMON.";#N/A,#N/A,FALSE,"GTOS.FLOTA"}</definedName>
    <definedName name="CUCA" hidden="1">{#N/A,#N/A,FALSE,"BALANCE";#N/A,#N/A,FALSE,"EDORESUL";#N/A,#N/A,FALSE,"TC - EFECTIVO";#N/A,#N/A,FALSE,"CLIENTES";#N/A,#N/A,FALSE,"I.V.A.";#N/A,#N/A,FALSE,"DEUDORES";#N/A,#N/A,FALSE,"ANTICIPO-PROVEEDORES";#N/A,#N/A,FALSE,"ACCIONES";#N/A,#N/A,FALSE,"PROVEEDORES";#N/A,#N/A,FALSE,"ACREEDORES";#N/A,#N/A,FALSE,"SEGUROS";#N/A,#N/A,FALSE,"IMPUESTOS";#N/A,#N/A,FALSE,"DOCUMENTOS";#N/A,#N/A,FALSE,"DOCUMENTOS (2)";#N/A,#N/A,FALSE,"GTOS.ADMON.";#N/A,#N/A,FALSE,"GTOS.FLOTA"}</definedName>
    <definedName name="Cuenta">'[5]Datos Fuente'!$D$2:$D$36</definedName>
    <definedName name="D" localSheetId="19" hidden="1">{#N/A,#N/A,FALSE,"BALANCE";#N/A,#N/A,FALSE,"EDORESUL";#N/A,#N/A,FALSE,"TC - EFECTIVO";#N/A,#N/A,FALSE,"CLIENTES";#N/A,#N/A,FALSE,"I.V.A.";#N/A,#N/A,FALSE,"DEUDORES";#N/A,#N/A,FALSE,"ANTICIPO-PROVEEDORES";#N/A,#N/A,FALSE,"ACCIONES";#N/A,#N/A,FALSE,"PROVEEDORES";#N/A,#N/A,FALSE,"ACREEDORES";#N/A,#N/A,FALSE,"SEGUROS";#N/A,#N/A,FALSE,"IMPUESTOS";#N/A,#N/A,FALSE,"DOCUMENTOS";#N/A,#N/A,FALSE,"DOCUMENTOS (2)";#N/A,#N/A,FALSE,"GTOS.ADMON.";#N/A,#N/A,FALSE,"GTOS.FLOTA"}</definedName>
    <definedName name="D" hidden="1">{#N/A,#N/A,FALSE,"BALANCE";#N/A,#N/A,FALSE,"EDORESUL";#N/A,#N/A,FALSE,"TC - EFECTIVO";#N/A,#N/A,FALSE,"CLIENTES";#N/A,#N/A,FALSE,"I.V.A.";#N/A,#N/A,FALSE,"DEUDORES";#N/A,#N/A,FALSE,"ANTICIPO-PROVEEDORES";#N/A,#N/A,FALSE,"ACCIONES";#N/A,#N/A,FALSE,"PROVEEDORES";#N/A,#N/A,FALSE,"ACREEDORES";#N/A,#N/A,FALSE,"SEGUROS";#N/A,#N/A,FALSE,"IMPUESTOS";#N/A,#N/A,FALSE,"DOCUMENTOS";#N/A,#N/A,FALSE,"DOCUMENTOS (2)";#N/A,#N/A,FALSE,"GTOS.ADMON.";#N/A,#N/A,FALSE,"GTOS.FLOTA"}</definedName>
    <definedName name="DA" localSheetId="5" hidden="1">#REF!</definedName>
    <definedName name="DA" localSheetId="6" hidden="1">#REF!</definedName>
    <definedName name="DA" localSheetId="13" hidden="1">#REF!</definedName>
    <definedName name="DA" localSheetId="19" hidden="1">#REF!</definedName>
    <definedName name="DA" localSheetId="16" hidden="1">#REF!</definedName>
    <definedName name="DA" hidden="1">#REF!</definedName>
    <definedName name="DA_" localSheetId="6" hidden="1">#REF!</definedName>
    <definedName name="DA_" localSheetId="19" hidden="1">#REF!</definedName>
    <definedName name="DA_" localSheetId="16" hidden="1">#REF!</definedName>
    <definedName name="DA_" hidden="1">#REF!</definedName>
    <definedName name="DA_2962180800200000412" localSheetId="6" hidden="1">#REF!</definedName>
    <definedName name="DA_2962180800200000412" localSheetId="19" hidden="1">#REF!</definedName>
    <definedName name="DA_2962180800200000412" localSheetId="16" hidden="1">#REF!</definedName>
    <definedName name="DA_2962180800200000412" hidden="1">#REF!</definedName>
    <definedName name="DA_2962180800200000489" localSheetId="6" hidden="1">#REF!</definedName>
    <definedName name="DA_2962180800200000489" hidden="1">#REF!</definedName>
    <definedName name="DEBER">#REF!</definedName>
    <definedName name="DIARIO">#REF!</definedName>
    <definedName name="e">'[10]S- Transacc Vtas'!#REF!</definedName>
    <definedName name="EDO.FIN.2001" localSheetId="19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EDO.FIN.2001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edo.res.presentación" localSheetId="19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edo.res.presentación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EDORES05" localSheetId="19" hidden="1">{#N/A,#N/A,FALSE,"BALANCE";#N/A,#N/A,FALSE,"LISTA PRECIOS";#N/A,#N/A,FALSE,"EDORESUL";#N/A,#N/A,FALSE,"TC Y EFECTIVO";#N/A,#N/A,FALSE,"CLIENTES";#N/A,#N/A,FALSE,"  IVA  ";#N/A,#N/A,FALSE,"DEUDORES";#N/A,#N/A,FALSE,"ANTICIPADOS";#N/A,#N/A,FALSE,"INVERSIONES";#N/A,#N/A,FALSE,"PROVEEDORES";#N/A,#N/A,FALSE,"CREDITO";#N/A,#N/A,FALSE,"DIQUE";#N/A,#N/A,FALSE,"DOCTOS";#N/A,#N/A,FALSE,"ADMON"}</definedName>
    <definedName name="EDORES05" hidden="1">{#N/A,#N/A,FALSE,"BALANCE";#N/A,#N/A,FALSE,"LISTA PRECIOS";#N/A,#N/A,FALSE,"EDORESUL";#N/A,#N/A,FALSE,"TC Y EFECTIVO";#N/A,#N/A,FALSE,"CLIENTES";#N/A,#N/A,FALSE,"  IVA  ";#N/A,#N/A,FALSE,"DEUDORES";#N/A,#N/A,FALSE,"ANTICIPADOS";#N/A,#N/A,FALSE,"INVERSIONES";#N/A,#N/A,FALSE,"PROVEEDORES";#N/A,#N/A,FALSE,"CREDITO";#N/A,#N/A,FALSE,"DIQUE";#N/A,#N/A,FALSE,"DOCTOS";#N/A,#N/A,FALSE,"ADMON"}</definedName>
    <definedName name="ENERO" localSheetId="19" hidden="1">{#N/A,#N/A,FALSE,"BALANCE";#N/A,#N/A,FALSE,"EDORESUL";#N/A,#N/A,FALSE,"VENTAS";#N/A,#N/A,FALSE,"EFECTIVO E IVA";#N/A,#N/A,FALSE,"CLIENTES";#N/A,#N/A,FALSE,"DEUDORES";#N/A,#N/A,FALSE,"ANTICIPO-PROVEEDORES";#N/A,#N/A,FALSE,"SUPERAVIT";#N/A,#N/A,FALSE,"ACCIONES";#N/A,#N/A,FALSE,"PROVEEDORES";#N/A,#N/A,FALSE,"IMPUESTOS";#N/A,#N/A,FALSE,"ACREDORES";#N/A,#N/A,FALSE,"CREDIPESCA C.P.";#N/A,#N/A,FALSE,"CREDIPESCA L.P. (2)";#N/A,#N/A,FALSE,"GTOS ADMON."}</definedName>
    <definedName name="ENERO" hidden="1">{#N/A,#N/A,FALSE,"BALANCE";#N/A,#N/A,FALSE,"EDORESUL";#N/A,#N/A,FALSE,"VENTAS";#N/A,#N/A,FALSE,"EFECTIVO E IVA";#N/A,#N/A,FALSE,"CLIENTES";#N/A,#N/A,FALSE,"DEUDORES";#N/A,#N/A,FALSE,"ANTICIPO-PROVEEDORES";#N/A,#N/A,FALSE,"SUPERAVIT";#N/A,#N/A,FALSE,"ACCIONES";#N/A,#N/A,FALSE,"PROVEEDORES";#N/A,#N/A,FALSE,"IMPUESTOS";#N/A,#N/A,FALSE,"ACREDORES";#N/A,#N/A,FALSE,"CREDIPESCA C.P.";#N/A,#N/A,FALSE,"CREDIPESCA L.P. (2)";#N/A,#N/A,FALSE,"GTOS ADMON."}</definedName>
    <definedName name="ENERO2003" localSheetId="19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ENERO2003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enrique" localSheetId="19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enrique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EV__LASTREFTIME__" localSheetId="6" hidden="1">38727.4683101852</definedName>
    <definedName name="EV__LASTREFTIME__" hidden="1">38727.4683101852</definedName>
    <definedName name="EYM">[11]Patos!#REF!</definedName>
    <definedName name="factor2" localSheetId="5">[5]Calculadora!#REF!</definedName>
    <definedName name="factor2" localSheetId="13">[5]Calculadora!#REF!</definedName>
    <definedName name="factor2" localSheetId="19">[5]Calculadora!#REF!</definedName>
    <definedName name="factor2" localSheetId="16">[5]Calculadora!#REF!</definedName>
    <definedName name="factor2">[5]Calculadora!#REF!</definedName>
    <definedName name="factor3" localSheetId="5">[5]Calculadora!#REF!</definedName>
    <definedName name="factor3" localSheetId="13">[5]Calculadora!#REF!</definedName>
    <definedName name="factor3" localSheetId="19">[5]Calculadora!#REF!</definedName>
    <definedName name="factor3" localSheetId="16">[5]Calculadora!#REF!</definedName>
    <definedName name="factor3">[5]Calculadora!#REF!</definedName>
    <definedName name="FIXED" localSheetId="11">#REF!</definedName>
    <definedName name="FIXED" localSheetId="19">#REF!</definedName>
    <definedName name="FIXED" localSheetId="16">#REF!</definedName>
    <definedName name="FIXED">#REF!</definedName>
    <definedName name="FORMATO" localSheetId="5">#REF!</definedName>
    <definedName name="FORMATO" localSheetId="13">#REF!</definedName>
    <definedName name="FORMATO" localSheetId="19">#REF!</definedName>
    <definedName name="FORMATO" localSheetId="16">#REF!</definedName>
    <definedName name="FORMATO">#REF!</definedName>
    <definedName name="G" localSheetId="19">[11]Patos!#REF!</definedName>
    <definedName name="G">[11]Patos!#REF!</definedName>
    <definedName name="GIF.2006" localSheetId="19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GIF.2006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GP" localSheetId="5">[12]EXPENSES!#REF!</definedName>
    <definedName name="GP" localSheetId="8">[12]EXPENSES!#REF!</definedName>
    <definedName name="GP" localSheetId="11">[12]EXPENSES!#REF!</definedName>
    <definedName name="GP" localSheetId="12">[12]EXPENSES!#REF!</definedName>
    <definedName name="GP" localSheetId="13">[12]EXPENSES!#REF!</definedName>
    <definedName name="GP" localSheetId="16">[12]EXPENSES!#REF!</definedName>
    <definedName name="GP">[12]EXPENSES!#REF!</definedName>
    <definedName name="group_CTT" localSheetId="5">#REF!</definedName>
    <definedName name="group_CTT" localSheetId="13">#REF!</definedName>
    <definedName name="group_CTT" localSheetId="19">#REF!</definedName>
    <definedName name="group_CTT" localSheetId="16">#REF!</definedName>
    <definedName name="group_CTT">#REF!</definedName>
    <definedName name="group_materiality" localSheetId="5">#REF!</definedName>
    <definedName name="group_materiality" localSheetId="19">#REF!</definedName>
    <definedName name="group_materiality" localSheetId="16">#REF!</definedName>
    <definedName name="group_materiality">#REF!</definedName>
    <definedName name="group_performance_materiality" localSheetId="5">#REF!</definedName>
    <definedName name="group_performance_materiality" localSheetId="19">#REF!</definedName>
    <definedName name="group_performance_materiality" localSheetId="16">#REF!</definedName>
    <definedName name="group_performance_materiality">#REF!</definedName>
    <definedName name="HOJA" hidden="1">#REF!</definedName>
    <definedName name="ICSchedule" localSheetId="8">#REF!</definedName>
    <definedName name="ICSchedule" localSheetId="11">#REF!</definedName>
    <definedName name="ICSchedule" localSheetId="12">#REF!</definedName>
    <definedName name="ICSchedule" localSheetId="13">#REF!</definedName>
    <definedName name="ICSchedule">#REF!</definedName>
    <definedName name="INFFEB" localSheetId="19" hidden="1">{#N/A,#N/A,FALSE,"BALANCE";#N/A,#N/A,FALSE,"LISTA PRECIOS";#N/A,#N/A,FALSE,"EDORESUL";#N/A,#N/A,FALSE,"TC Y EFECTIVO";#N/A,#N/A,FALSE,"CLIENTES";#N/A,#N/A,FALSE,"  IVA  ";#N/A,#N/A,FALSE,"DEUDORES";#N/A,#N/A,FALSE,"ANTICIPADOS";#N/A,#N/A,FALSE,"INVERSIONES";#N/A,#N/A,FALSE,"PROVEEDORES";#N/A,#N/A,FALSE,"CREDITO";#N/A,#N/A,FALSE,"DIQUE";#N/A,#N/A,FALSE,"DOCTOS";#N/A,#N/A,FALSE,"ADMON"}</definedName>
    <definedName name="INFFEB" hidden="1">{#N/A,#N/A,FALSE,"BALANCE";#N/A,#N/A,FALSE,"LISTA PRECIOS";#N/A,#N/A,FALSE,"EDORESUL";#N/A,#N/A,FALSE,"TC Y EFECTIVO";#N/A,#N/A,FALSE,"CLIENTES";#N/A,#N/A,FALSE,"  IVA  ";#N/A,#N/A,FALSE,"DEUDORES";#N/A,#N/A,FALSE,"ANTICIPADOS";#N/A,#N/A,FALSE,"INVERSIONES";#N/A,#N/A,FALSE,"PROVEEDORES";#N/A,#N/A,FALSE,"CREDITO";#N/A,#N/A,FALSE,"DIQUE";#N/A,#N/A,FALSE,"DOCTOS";#N/A,#N/A,FALSE,"ADMON"}</definedName>
    <definedName name="INFLACION">#REF!</definedName>
    <definedName name="INPC_IETU">'[13]INPC IETU'!$A$1:$N$34</definedName>
    <definedName name="INTE" localSheetId="11">#REF!</definedName>
    <definedName name="INTE" localSheetId="13">#REF!</definedName>
    <definedName name="INTE" localSheetId="19">#REF!</definedName>
    <definedName name="INTE">#REF!</definedName>
    <definedName name="iNTEGRA" localSheetId="11">#REF!</definedName>
    <definedName name="iNTEGRA" localSheetId="13">#REF!</definedName>
    <definedName name="iNTEGRA" localSheetId="19">#REF!</definedName>
    <definedName name="iNTEGRA">#REF!</definedName>
    <definedName name="IVCM" localSheetId="19">[11]Patos!#REF!</definedName>
    <definedName name="IVCM">[11]Patos!#REF!</definedName>
    <definedName name="JJKK" localSheetId="11">#REF!</definedName>
    <definedName name="JJKK" localSheetId="13">#REF!</definedName>
    <definedName name="JJKK" localSheetId="19">#REF!</definedName>
    <definedName name="JJKK" localSheetId="16">#REF!</definedName>
    <definedName name="JJKK">#REF!</definedName>
    <definedName name="JKJKJ" localSheetId="11">#REF!</definedName>
    <definedName name="JKJKJ" localSheetId="13">#REF!</definedName>
    <definedName name="JKJKJ" localSheetId="19">#REF!</definedName>
    <definedName name="JKJKJ" localSheetId="16">#REF!</definedName>
    <definedName name="JKJKJ">#REF!</definedName>
    <definedName name="junio" localSheetId="19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junio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KACCT" localSheetId="8">'[14]Balances JGL-KGL'!$A$5:$A$1914</definedName>
    <definedName name="KACCT" localSheetId="11">'[15]Balances JGL-KGL'!$A$5:$A$1914</definedName>
    <definedName name="KACCT" localSheetId="12">'[14]Balances JGL-KGL'!$A$5:$A$1914</definedName>
    <definedName name="KACCT" localSheetId="13">'[14]Balances JGL-KGL'!$A$5:$A$1914</definedName>
    <definedName name="KACCT">'[16]Balances JGL-KGL'!$A$5:$A$1914</definedName>
    <definedName name="KK" localSheetId="19" hidden="1">{#N/A,#N/A,FALSE,"BALANCE";#N/A,#N/A,FALSE,"LISTA PRECIOS";#N/A,#N/A,FALSE,"EDORESUL";#N/A,#N/A,FALSE,"TC Y EFECTIVO";#N/A,#N/A,FALSE,"CLIENTES";#N/A,#N/A,FALSE,"  IVA  ";#N/A,#N/A,FALSE,"DEUDORES";#N/A,#N/A,FALSE,"ANTICIPADOS";#N/A,#N/A,FALSE,"INVERSIONES";#N/A,#N/A,FALSE,"PROVEEDORES";#N/A,#N/A,FALSE,"CREDITO";#N/A,#N/A,FALSE,"DIQUE";#N/A,#N/A,FALSE,"DOCTOS";#N/A,#N/A,FALSE,"ADMON"}</definedName>
    <definedName name="KK" hidden="1">{#N/A,#N/A,FALSE,"BALANCE";#N/A,#N/A,FALSE,"LISTA PRECIOS";#N/A,#N/A,FALSE,"EDORESUL";#N/A,#N/A,FALSE,"TC Y EFECTIVO";#N/A,#N/A,FALSE,"CLIENTES";#N/A,#N/A,FALSE,"  IVA  ";#N/A,#N/A,FALSE,"DEUDORES";#N/A,#N/A,FALSE,"ANTICIPADOS";#N/A,#N/A,FALSE,"INVERSIONES";#N/A,#N/A,FALSE,"PROVEEDORES";#N/A,#N/A,FALSE,"CREDITO";#N/A,#N/A,FALSE,"DIQUE";#N/A,#N/A,FALSE,"DOCTOS";#N/A,#N/A,FALSE,"ADMON"}</definedName>
    <definedName name="LL" localSheetId="19" hidden="1">{#N/A,#N/A,FALSE,"BALANCE";#N/A,#N/A,FALSE,"EDORESUL";#N/A,#N/A,FALSE,"VENTAS";#N/A,#N/A,FALSE,"EFECTIVO E IVA";#N/A,#N/A,FALSE,"CLIENTES";#N/A,#N/A,FALSE,"DEUDORES";#N/A,#N/A,FALSE,"ANTICIPO-PROVEEDORES";#N/A,#N/A,FALSE,"SUPERAVIT";#N/A,#N/A,FALSE,"ACCIONES";#N/A,#N/A,FALSE,"PROVEEDORES";#N/A,#N/A,FALSE,"IMPUESTOS";#N/A,#N/A,FALSE,"ACREDORES";#N/A,#N/A,FALSE,"CREDIPESCA C.P.";#N/A,#N/A,FALSE,"CREDIPESCA L.P. (2)";#N/A,#N/A,FALSE,"GTOS ADMON."}</definedName>
    <definedName name="LL" hidden="1">{#N/A,#N/A,FALSE,"BALANCE";#N/A,#N/A,FALSE,"EDORESUL";#N/A,#N/A,FALSE,"VENTAS";#N/A,#N/A,FALSE,"EFECTIVO E IVA";#N/A,#N/A,FALSE,"CLIENTES";#N/A,#N/A,FALSE,"DEUDORES";#N/A,#N/A,FALSE,"ANTICIPO-PROVEEDORES";#N/A,#N/A,FALSE,"SUPERAVIT";#N/A,#N/A,FALSE,"ACCIONES";#N/A,#N/A,FALSE,"PROVEEDORES";#N/A,#N/A,FALSE,"IMPUESTOS";#N/A,#N/A,FALSE,"ACREDORES";#N/A,#N/A,FALSE,"CREDIPESCA C.P.";#N/A,#N/A,FALSE,"CREDIPESCA L.P. (2)";#N/A,#N/A,FALSE,"GTOS ADMON."}</definedName>
    <definedName name="LLLL" localSheetId="19" hidden="1">{#N/A,#N/A,FALSE,"BALANCE";#N/A,#N/A,FALSE,"EDORESUL";#N/A,#N/A,FALSE,"TC - EFECTIVO";#N/A,#N/A,FALSE,"CLIENTES";#N/A,#N/A,FALSE,"I.V.A.";#N/A,#N/A,FALSE,"DEUDORES";#N/A,#N/A,FALSE,"ANTICIPO-PROVEEDORES";#N/A,#N/A,FALSE,"ACCIONES";#N/A,#N/A,FALSE,"PROVEEDORES";#N/A,#N/A,FALSE,"ACREEDORES";#N/A,#N/A,FALSE,"SEGUROS";#N/A,#N/A,FALSE,"IMPUESTOS";#N/A,#N/A,FALSE,"DOCUMENTOS";#N/A,#N/A,FALSE,"DOCUMENTOS (2)";#N/A,#N/A,FALSE,"GTOS.ADMON.";#N/A,#N/A,FALSE,"GTOS.FLOTA"}</definedName>
    <definedName name="LLLL" hidden="1">{#N/A,#N/A,FALSE,"BALANCE";#N/A,#N/A,FALSE,"EDORESUL";#N/A,#N/A,FALSE,"TC - EFECTIVO";#N/A,#N/A,FALSE,"CLIENTES";#N/A,#N/A,FALSE,"I.V.A.";#N/A,#N/A,FALSE,"DEUDORES";#N/A,#N/A,FALSE,"ANTICIPO-PROVEEDORES";#N/A,#N/A,FALSE,"ACCIONES";#N/A,#N/A,FALSE,"PROVEEDORES";#N/A,#N/A,FALSE,"ACREEDORES";#N/A,#N/A,FALSE,"SEGUROS";#N/A,#N/A,FALSE,"IMPUESTOS";#N/A,#N/A,FALSE,"DOCUMENTOS";#N/A,#N/A,FALSE,"DOCUMENTOS (2)";#N/A,#N/A,FALSE,"GTOS.ADMON.";#N/A,#N/A,FALSE,"GTOS.FLOTA"}</definedName>
    <definedName name="mar" localSheetId="19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mar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MARZO" localSheetId="19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MARZO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Materiality">[5]Calculadora!#REF!</definedName>
    <definedName name="max_CTT">[5]Workings!#REF!</definedName>
    <definedName name="MES" localSheetId="5">#REF!</definedName>
    <definedName name="MES" localSheetId="8">#REF!</definedName>
    <definedName name="MES" localSheetId="11">#REF!</definedName>
    <definedName name="MES" localSheetId="12">#REF!</definedName>
    <definedName name="MES" localSheetId="13">#REF!</definedName>
    <definedName name="MES" localSheetId="19">#REF!</definedName>
    <definedName name="MES" localSheetId="16">#REF!</definedName>
    <definedName name="MES">#REF!</definedName>
    <definedName name="mireya" localSheetId="19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mireya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nana" localSheetId="6" hidden="1">#REF!</definedName>
    <definedName name="nana" localSheetId="19" hidden="1">#REF!</definedName>
    <definedName name="nana" localSheetId="16" hidden="1">#REF!</definedName>
    <definedName name="nana" hidden="1">#REF!</definedName>
    <definedName name="neeer" localSheetId="6" hidden="1">#REF!</definedName>
    <definedName name="neeer" localSheetId="19" hidden="1">#REF!</definedName>
    <definedName name="neeer" localSheetId="16" hidden="1">#REF!</definedName>
    <definedName name="neeer" hidden="1">#REF!</definedName>
    <definedName name="nena" localSheetId="19" hidden="1">{#N/A,#N/A,FALSE,"Sched2";#N/A,#N/A,FALSE,"Sched5b";#N/A,#N/A,FALSE,"Sheet7";#N/A,#N/A,FALSE,"Sched8";#N/A,#N/A,FALSE,"Sched11";#N/A,#N/A,FALSE,"Sched12";#N/A,#N/A,FALSE,"Sched13";#N/A,#N/A,FALSE,"Sched14";#N/A,#N/A,FALSE,"SOB";#N/A,#N/A,FALSE,"Exposure";#N/A,#N/A,FALSE,"Expense Detail"}</definedName>
    <definedName name="nena" hidden="1">{#N/A,#N/A,FALSE,"Sched2";#N/A,#N/A,FALSE,"Sched5b";#N/A,#N/A,FALSE,"Sheet7";#N/A,#N/A,FALSE,"Sched8";#N/A,#N/A,FALSE,"Sched11";#N/A,#N/A,FALSE,"Sched12";#N/A,#N/A,FALSE,"Sched13";#N/A,#N/A,FALSE,"Sched14";#N/A,#N/A,FALSE,"SOB";#N/A,#N/A,FALSE,"Exposure";#N/A,#N/A,FALSE,"Expense Detail"}</definedName>
    <definedName name="new" localSheetId="6" hidden="1">#REF!</definedName>
    <definedName name="new" localSheetId="19" hidden="1">#REF!</definedName>
    <definedName name="new" hidden="1">#REF!</definedName>
    <definedName name="Note_1" localSheetId="19">#REF!</definedName>
    <definedName name="Note_1">#REF!</definedName>
    <definedName name="Note_2" localSheetId="19">#REF!</definedName>
    <definedName name="Note_2">#REF!</definedName>
    <definedName name="Note_3">#REF!</definedName>
    <definedName name="Note_4">#REF!</definedName>
    <definedName name="Note_5">#REF!</definedName>
    <definedName name="Note_6">#REF!</definedName>
    <definedName name="ÑÑÑÑÑ" localSheetId="19" hidden="1">{#N/A,#N/A,FALSE,"BALANCE";#N/A,#N/A,FALSE,"EDORESUL";#N/A,#N/A,FALSE,"TC - EFECTIVO";#N/A,#N/A,FALSE,"CLIENTES";#N/A,#N/A,FALSE,"I.V.A.";#N/A,#N/A,FALSE,"DEUDORES";#N/A,#N/A,FALSE,"ANTICIPO-PROVEEDORES";#N/A,#N/A,FALSE,"ACCIONES";#N/A,#N/A,FALSE,"PROVEEDORES";#N/A,#N/A,FALSE,"ACREEDORES";#N/A,#N/A,FALSE,"SEGUROS";#N/A,#N/A,FALSE,"IMPUESTOS";#N/A,#N/A,FALSE,"DOCUMENTOS";#N/A,#N/A,FALSE,"DOCUMENTOS (2)";#N/A,#N/A,FALSE,"GTOS.ADMON.";#N/A,#N/A,FALSE,"GTOS.FLOTA"}</definedName>
    <definedName name="ÑÑÑÑÑ" hidden="1">{#N/A,#N/A,FALSE,"BALANCE";#N/A,#N/A,FALSE,"EDORESUL";#N/A,#N/A,FALSE,"TC - EFECTIVO";#N/A,#N/A,FALSE,"CLIENTES";#N/A,#N/A,FALSE,"I.V.A.";#N/A,#N/A,FALSE,"DEUDORES";#N/A,#N/A,FALSE,"ANTICIPO-PROVEEDORES";#N/A,#N/A,FALSE,"ACCIONES";#N/A,#N/A,FALSE,"PROVEEDORES";#N/A,#N/A,FALSE,"ACREEDORES";#N/A,#N/A,FALSE,"SEGUROS";#N/A,#N/A,FALSE,"IMPUESTOS";#N/A,#N/A,FALSE,"DOCUMENTOS";#N/A,#N/A,FALSE,"DOCUMENTOS (2)";#N/A,#N/A,FALSE,"GTOS.ADMON.";#N/A,#N/A,FALSE,"GTOS.FLOTA"}</definedName>
    <definedName name="ODESC" localSheetId="19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ODESC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OO">#REF!</definedName>
    <definedName name="OTROCUPP" hidden="1">#REF!</definedName>
    <definedName name="PAGE_ALL">#REF!</definedName>
    <definedName name="PAGE1A">[17]summary!$A$1:$M$30</definedName>
    <definedName name="PerdAmort">[18]Pérdidas!$L$94</definedName>
    <definedName name="perdidanua" localSheetId="19" hidden="1">{#N/A,#N/A,FALSE,"BALANCE";#N/A,#N/A,FALSE,"EDORESUL";#N/A,#N/A,FALSE,"VENTAS";#N/A,#N/A,FALSE,"EFECTIVO E IVA";#N/A,#N/A,FALSE,"CLIENTES";#N/A,#N/A,FALSE,"DEUDORES";#N/A,#N/A,FALSE,"ANTICIPO-PROVEEDORES";#N/A,#N/A,FALSE,"SUPERAVIT";#N/A,#N/A,FALSE,"ACCIONES";#N/A,#N/A,FALSE,"PROVEEDORES";#N/A,#N/A,FALSE,"IMPUESTOS";#N/A,#N/A,FALSE,"ACREDORES";#N/A,#N/A,FALSE,"CREDIPESCA C.P.";#N/A,#N/A,FALSE,"CREDIPESCA L.P. (2)";#N/A,#N/A,FALSE,"GTOS ADMON."}</definedName>
    <definedName name="perdidanua" hidden="1">{#N/A,#N/A,FALSE,"BALANCE";#N/A,#N/A,FALSE,"EDORESUL";#N/A,#N/A,FALSE,"VENTAS";#N/A,#N/A,FALSE,"EFECTIVO E IVA";#N/A,#N/A,FALSE,"CLIENTES";#N/A,#N/A,FALSE,"DEUDORES";#N/A,#N/A,FALSE,"ANTICIPO-PROVEEDORES";#N/A,#N/A,FALSE,"SUPERAVIT";#N/A,#N/A,FALSE,"ACCIONES";#N/A,#N/A,FALSE,"PROVEEDORES";#N/A,#N/A,FALSE,"IMPUESTOS";#N/A,#N/A,FALSE,"ACREDORES";#N/A,#N/A,FALSE,"CREDIPESCA C.P.";#N/A,#N/A,FALSE,"CREDIPESCA L.P. (2)";#N/A,#N/A,FALSE,"GTOS ADMON."}</definedName>
    <definedName name="perdidanual" localSheetId="19" hidden="1">{#N/A,#N/A,FALSE,"BALANCE";#N/A,#N/A,FALSE,"EDORESUL";#N/A,#N/A,FALSE,"VENTAS";#N/A,#N/A,FALSE,"EFECTIVO E IVA";#N/A,#N/A,FALSE,"CLIENTES";#N/A,#N/A,FALSE,"DEUDORES";#N/A,#N/A,FALSE,"ANTICIPO-PROVEEDORES";#N/A,#N/A,FALSE,"SUPERAVIT";#N/A,#N/A,FALSE,"ACCIONES";#N/A,#N/A,FALSE,"PROVEEDORES";#N/A,#N/A,FALSE,"IMPUESTOS";#N/A,#N/A,FALSE,"ACREDORES";#N/A,#N/A,FALSE,"CREDIPESCA C.P.";#N/A,#N/A,FALSE,"CREDIPESCA L.P. (2)";#N/A,#N/A,FALSE,"GTOS ADMON."}</definedName>
    <definedName name="perdidanual" hidden="1">{#N/A,#N/A,FALSE,"BALANCE";#N/A,#N/A,FALSE,"EDORESUL";#N/A,#N/A,FALSE,"VENTAS";#N/A,#N/A,FALSE,"EFECTIVO E IVA";#N/A,#N/A,FALSE,"CLIENTES";#N/A,#N/A,FALSE,"DEUDORES";#N/A,#N/A,FALSE,"ANTICIPO-PROVEEDORES";#N/A,#N/A,FALSE,"SUPERAVIT";#N/A,#N/A,FALSE,"ACCIONES";#N/A,#N/A,FALSE,"PROVEEDORES";#N/A,#N/A,FALSE,"IMPUESTOS";#N/A,#N/A,FALSE,"ACREDORES";#N/A,#N/A,FALSE,"CREDIPESCA C.P.";#N/A,#N/A,FALSE,"CREDIPESCA L.P. (2)";#N/A,#N/A,FALSE,"GTOS ADMON."}</definedName>
    <definedName name="Performance_materiality" localSheetId="5">[5]Calculadora!#REF!</definedName>
    <definedName name="Performance_materiality" localSheetId="13">[5]Calculadora!#REF!</definedName>
    <definedName name="Performance_materiality" localSheetId="16">[5]Calculadora!#REF!</definedName>
    <definedName name="Performance_materiality">[5]Calculadora!#REF!</definedName>
    <definedName name="PLAN" localSheetId="5">#REF!</definedName>
    <definedName name="PLAN" localSheetId="13">#REF!</definedName>
    <definedName name="PLAN" localSheetId="19">#REF!</definedName>
    <definedName name="PLAN" localSheetId="16">#REF!</definedName>
    <definedName name="PLAN">#REF!</definedName>
    <definedName name="planc">[19]PLANC!$A$1:$B$541</definedName>
    <definedName name="porcentajes" localSheetId="5">#REF!</definedName>
    <definedName name="porcentajes" localSheetId="13">#REF!</definedName>
    <definedName name="porcentajes" localSheetId="19">#REF!</definedName>
    <definedName name="porcentajes" localSheetId="16">#REF!</definedName>
    <definedName name="porcentajes">#REF!</definedName>
    <definedName name="PRINT" localSheetId="5">#REF!</definedName>
    <definedName name="PRINT" localSheetId="8">#REF!</definedName>
    <definedName name="PRINT" localSheetId="11">#REF!</definedName>
    <definedName name="PRINT" localSheetId="12">#REF!</definedName>
    <definedName name="PRINT" localSheetId="13">#REF!</definedName>
    <definedName name="PRINT" localSheetId="19">#REF!</definedName>
    <definedName name="PRINT" localSheetId="16">#REF!</definedName>
    <definedName name="PRINT">#REF!</definedName>
    <definedName name="proveedor" localSheetId="5">#REF!</definedName>
    <definedName name="proveedor" localSheetId="13">#REF!</definedName>
    <definedName name="proveedor" localSheetId="19">#REF!</definedName>
    <definedName name="proveedor" localSheetId="16">#REF!</definedName>
    <definedName name="proveedor">#REF!</definedName>
    <definedName name="PruebaCosto">#REF!</definedName>
    <definedName name="PYGTOTAL">'[3]P&amp;L SAP'!#REF!</definedName>
    <definedName name="QTRLOOK" localSheetId="5">#REF!</definedName>
    <definedName name="QTRLOOK" localSheetId="8">#REF!</definedName>
    <definedName name="QTRLOOK" localSheetId="11">#REF!</definedName>
    <definedName name="QTRLOOK" localSheetId="12">#REF!</definedName>
    <definedName name="QTRLOOK" localSheetId="13">#REF!</definedName>
    <definedName name="QTRLOOK" localSheetId="19">#REF!</definedName>
    <definedName name="QTRLOOK" localSheetId="16">#REF!</definedName>
    <definedName name="QTRLOOK">#REF!</definedName>
    <definedName name="Ref_1" localSheetId="19">#REF!</definedName>
    <definedName name="Ref_1">#REF!</definedName>
    <definedName name="Ref_10" localSheetId="19">'[20] IMSS'!#REF!</definedName>
    <definedName name="Ref_10">'[20] IMSS'!#REF!</definedName>
    <definedName name="Ref_13">'[21]SAR-Infonavit'!$F$13</definedName>
    <definedName name="Ref_14">'[20]SAR-Infonavit'!#REF!</definedName>
    <definedName name="Ref_15">'[20] IMSS'!#REF!</definedName>
    <definedName name="Ref_2" localSheetId="19">#REF!</definedName>
    <definedName name="Ref_2">#REF!</definedName>
    <definedName name="Ref_21">'[22] 2% Nomina'!#REF!</definedName>
    <definedName name="Ref_3" localSheetId="19">#REF!</definedName>
    <definedName name="Ref_3">#REF!</definedName>
    <definedName name="Ref_4" localSheetId="19">#REF!</definedName>
    <definedName name="Ref_4">#REF!</definedName>
    <definedName name="Ref_5" localSheetId="19">#REF!</definedName>
    <definedName name="Ref_5">#REF!</definedName>
    <definedName name="Ref_8" localSheetId="19">[21]Suficiencia!#REF!</definedName>
    <definedName name="Ref_8">[21]Suficiencia!#REF!</definedName>
    <definedName name="Ref_9" localSheetId="19">[21]Suficiencia!#REF!</definedName>
    <definedName name="Ref_9">[21]Suficiencia!#REF!</definedName>
    <definedName name="RICARDO" localSheetId="19" hidden="1">{#N/A,#N/A,FALSE,"Sched2";#N/A,#N/A,FALSE,"Sched5b";#N/A,#N/A,FALSE,"Sheet7";#N/A,#N/A,FALSE,"Sched8";#N/A,#N/A,FALSE,"Sched11";#N/A,#N/A,FALSE,"Sched12";#N/A,#N/A,FALSE,"Sched13";#N/A,#N/A,FALSE,"Sched14";#N/A,#N/A,FALSE,"SOB";#N/A,#N/A,FALSE,"Exposure";#N/A,#N/A,FALSE,"Expense Detail"}</definedName>
    <definedName name="RICARDO" hidden="1">{#N/A,#N/A,FALSE,"Sched2";#N/A,#N/A,FALSE,"Sched5b";#N/A,#N/A,FALSE,"Sheet7";#N/A,#N/A,FALSE,"Sched8";#N/A,#N/A,FALSE,"Sched11";#N/A,#N/A,FALSE,"Sched12";#N/A,#N/A,FALSE,"Sched13";#N/A,#N/A,FALSE,"Sched14";#N/A,#N/A,FALSE,"SOB";#N/A,#N/A,FALSE,"Exposure";#N/A,#N/A,FALSE,"Expense Detail"}</definedName>
    <definedName name="RICARDOB" localSheetId="19" hidden="1">{#N/A,#N/A,FALSE,"Sched2";#N/A,#N/A,FALSE,"Sched5b";#N/A,#N/A,FALSE,"Sheet7";#N/A,#N/A,FALSE,"Sched8";#N/A,#N/A,FALSE,"Sched11";#N/A,#N/A,FALSE,"Sched12";#N/A,#N/A,FALSE,"Sched13";#N/A,#N/A,FALSE,"Sched14";#N/A,#N/A,FALSE,"SOB";#N/A,#N/A,FALSE,"Exposure";#N/A,#N/A,FALSE,"Expense Detail"}</definedName>
    <definedName name="RICARDOB" hidden="1">{#N/A,#N/A,FALSE,"Sched2";#N/A,#N/A,FALSE,"Sched5b";#N/A,#N/A,FALSE,"Sheet7";#N/A,#N/A,FALSE,"Sched8";#N/A,#N/A,FALSE,"Sched11";#N/A,#N/A,FALSE,"Sched12";#N/A,#N/A,FALSE,"Sched13";#N/A,#N/A,FALSE,"Sched14";#N/A,#N/A,FALSE,"SOB";#N/A,#N/A,FALSE,"Exposure";#N/A,#N/A,FALSE,"Expense Detail"}</definedName>
    <definedName name="RICHIE" localSheetId="19" hidden="1">{#N/A,#N/A,FALSE,"Sched2";#N/A,#N/A,FALSE,"Sched5b";#N/A,#N/A,FALSE,"Sheet7";#N/A,#N/A,FALSE,"Sched8";#N/A,#N/A,FALSE,"Sched11";#N/A,#N/A,FALSE,"Sched12";#N/A,#N/A,FALSE,"Sched13";#N/A,#N/A,FALSE,"Sched14";#N/A,#N/A,FALSE,"SOB";#N/A,#N/A,FALSE,"Exposure";#N/A,#N/A,FALSE,"Expense Detail"}</definedName>
    <definedName name="RICHIE" hidden="1">{#N/A,#N/A,FALSE,"Sched2";#N/A,#N/A,FALSE,"Sched5b";#N/A,#N/A,FALSE,"Sheet7";#N/A,#N/A,FALSE,"Sched8";#N/A,#N/A,FALSE,"Sched11";#N/A,#N/A,FALSE,"Sched12";#N/A,#N/A,FALSE,"Sched13";#N/A,#N/A,FALSE,"Sched14";#N/A,#N/A,FALSE,"SOB";#N/A,#N/A,FALSE,"Exposure";#N/A,#N/A,FALSE,"Expense Detail"}</definedName>
    <definedName name="rl" localSheetId="5">[12]EXPENSES!#REF!</definedName>
    <definedName name="rl" localSheetId="8">[12]EXPENSES!#REF!</definedName>
    <definedName name="rl" localSheetId="11">[12]EXPENSES!#REF!</definedName>
    <definedName name="rl" localSheetId="12">[12]EXPENSES!#REF!</definedName>
    <definedName name="rl" localSheetId="13">[12]EXPENSES!#REF!</definedName>
    <definedName name="rl" localSheetId="16">[12]EXPENSES!#REF!</definedName>
    <definedName name="rl">[12]EXPENSES!#REF!</definedName>
    <definedName name="ROGER" localSheetId="19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ROGER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rre">#REF!</definedName>
    <definedName name="RT">[11]Patos!#REF!</definedName>
    <definedName name="S" localSheetId="11">#REF!</definedName>
    <definedName name="S" localSheetId="13">#REF!</definedName>
    <definedName name="S" localSheetId="19">#REF!</definedName>
    <definedName name="S" localSheetId="16">#REF!</definedName>
    <definedName name="S">#REF!</definedName>
    <definedName name="S_AcctDes" localSheetId="19">#REF!</definedName>
    <definedName name="S_AcctDes">#REF!</definedName>
    <definedName name="S_AcctNum" localSheetId="19">#REF!</definedName>
    <definedName name="S_AcctNum">#REF!</definedName>
    <definedName name="S_CY_Beg">#REF!</definedName>
    <definedName name="S_CY_End">#REF!</definedName>
    <definedName name="S_Diff_Amt">#REF!</definedName>
    <definedName name="S_Diff_Pct">#REF!</definedName>
    <definedName name="S_Headings">#REF!</definedName>
    <definedName name="S_LSRange1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LSRange3">#REF!</definedName>
    <definedName name="S_LSRange3Balance">#REF!</definedName>
    <definedName name="S_LSRange3Balance1">#REF!</definedName>
    <definedName name="S_LSRange3Balance2">#REF!</definedName>
    <definedName name="S_LSRange3Balance3">#REF!</definedName>
    <definedName name="S_LSRange4">#REF!</definedName>
    <definedName name="S_LSRange4Balance">#REF!</definedName>
    <definedName name="S_LSRange4Balance1">#REF!</definedName>
    <definedName name="S_LSRange4Balance2">#REF!</definedName>
    <definedName name="S_LSRange4Balance3">#REF!</definedName>
    <definedName name="S_LSRange5">#REF!</definedName>
    <definedName name="S_LSRange5Balance">#REF!</definedName>
    <definedName name="S_LSRange5Balance1">#REF!</definedName>
    <definedName name="S_LSRange5Balance2">#REF!</definedName>
    <definedName name="S_LSRange5Balance3">#REF!</definedName>
    <definedName name="S_LSRange6">#REF!</definedName>
    <definedName name="S_LSRange6Balance">#REF!</definedName>
    <definedName name="S_LSRange6Balance1">#REF!</definedName>
    <definedName name="S_LSRange6Balance2">#REF!</definedName>
    <definedName name="S_LSRange6Balance3">#REF!</definedName>
    <definedName name="S_PY_End">#REF!</definedName>
    <definedName name="S_Total">#REF!</definedName>
    <definedName name="S_Total1">#REF!</definedName>
    <definedName name="S_Total2">#REF!</definedName>
    <definedName name="S_Total3">#REF!</definedName>
    <definedName name="segurod" localSheetId="19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segurod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selected_BM" localSheetId="5">[5]Calculadora!#REF!</definedName>
    <definedName name="selected_BM" localSheetId="13">[5]Calculadora!#REF!</definedName>
    <definedName name="selected_BM" localSheetId="16">[5]Calculadora!#REF!</definedName>
    <definedName name="selected_BM">[5]Calculadora!#REF!</definedName>
    <definedName name="SERVICES" localSheetId="11">#REF!</definedName>
    <definedName name="SERVICES" localSheetId="13">#REF!</definedName>
    <definedName name="SERVICES" localSheetId="19">#REF!</definedName>
    <definedName name="SERVICES" localSheetId="16">#REF!</definedName>
    <definedName name="SERVICES">#REF!</definedName>
    <definedName name="source2" localSheetId="13">[5]Calculadora!#REF!</definedName>
    <definedName name="source2" localSheetId="16">[5]Calculadora!#REF!</definedName>
    <definedName name="source2">[5]Calculadora!#REF!</definedName>
    <definedName name="source3" localSheetId="13">[5]Calculadora!#REF!</definedName>
    <definedName name="source3" localSheetId="16">[5]Calculadora!#REF!</definedName>
    <definedName name="source3">[5]Calculadora!#REF!</definedName>
    <definedName name="TextRefCopy25" localSheetId="19">#REF!</definedName>
    <definedName name="TextRefCopy25">#REF!</definedName>
    <definedName name="TextRefCopy7">'[20] IMSS'!#REF!</definedName>
    <definedName name="TextRefCopy8">'[20] IMSS'!#REF!</definedName>
    <definedName name="TextRefCopyRangeCount" localSheetId="14" hidden="1">5</definedName>
    <definedName name="TextRefCopyRangeCount" hidden="1">8</definedName>
    <definedName name="_xlnm.Print_Titles">#N/A</definedName>
    <definedName name="VALOR" localSheetId="5">#REF!</definedName>
    <definedName name="VALOR" localSheetId="13">#REF!</definedName>
    <definedName name="VALOR" localSheetId="19">#REF!</definedName>
    <definedName name="VALOR" localSheetId="16">#REF!</definedName>
    <definedName name="VALOR">#REF!</definedName>
    <definedName name="VALOR1" localSheetId="5">#REF!</definedName>
    <definedName name="VALOR1" localSheetId="19">#REF!</definedName>
    <definedName name="VALOR1" localSheetId="16">#REF!</definedName>
    <definedName name="VALOR1">#REF!</definedName>
    <definedName name="VALUE" localSheetId="8">'[14]Balances JGL-KGL'!$D$5:$D$1914</definedName>
    <definedName name="VALUE" localSheetId="11">'[15]Balances JGL-KGL'!$D$5:$D$1914</definedName>
    <definedName name="VALUE" localSheetId="12">'[14]Balances JGL-KGL'!$D$5:$D$1914</definedName>
    <definedName name="VALUE" localSheetId="13">'[14]Balances JGL-KGL'!$D$5:$D$1914</definedName>
    <definedName name="VALUE">'[16]Balances JGL-KGL'!$D$5:$D$1914</definedName>
    <definedName name="VENCII">[23]CRONOGRAMA!$C$83:$D$452</definedName>
    <definedName name="wrn.Aging._.and._.Trend._.Analysis." localSheetId="1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ntact._.report." localSheetId="19" hidden="1">{#N/A,#N/A,FALSE,"Sched2";#N/A,#N/A,FALSE,"Sched5b";#N/A,#N/A,FALSE,"Sheet7";#N/A,#N/A,FALSE,"Sched8";#N/A,#N/A,FALSE,"Sched11";#N/A,#N/A,FALSE,"Sched12";#N/A,#N/A,FALSE,"Sched13";#N/A,#N/A,FALSE,"Sched14";#N/A,#N/A,FALSE,"SOB";#N/A,#N/A,FALSE,"Exposure";#N/A,#N/A,FALSE,"Expense Detail"}</definedName>
    <definedName name="wrn.contact._.report." hidden="1">{#N/A,#N/A,FALSE,"Sched2";#N/A,#N/A,FALSE,"Sched5b";#N/A,#N/A,FALSE,"Sheet7";#N/A,#N/A,FALSE,"Sched8";#N/A,#N/A,FALSE,"Sched11";#N/A,#N/A,FALSE,"Sched12";#N/A,#N/A,FALSE,"Sched13";#N/A,#N/A,FALSE,"Sched14";#N/A,#N/A,FALSE,"SOB";#N/A,#N/A,FALSE,"Exposure";#N/A,#N/A,FALSE,"Expense Detail"}</definedName>
    <definedName name="wrn.ENERO97." localSheetId="19" hidden="1">{#N/A,#N/A,FALSE,"BALANCE";#N/A,#N/A,FALSE,"EDORESUL";#N/A,#N/A,FALSE,"VENTAS";#N/A,#N/A,FALSE,"EFECTIVO E IVA";#N/A,#N/A,FALSE,"CLIENTES";#N/A,#N/A,FALSE,"DEUDORES";#N/A,#N/A,FALSE,"ANTICIPO-PROVEEDORES";#N/A,#N/A,FALSE,"SUPERAVIT";#N/A,#N/A,FALSE,"ACCIONES";#N/A,#N/A,FALSE,"PROVEEDORES";#N/A,#N/A,FALSE,"IMPUESTOS";#N/A,#N/A,FALSE,"ACREDORES";#N/A,#N/A,FALSE,"CREDIPESCA C.P.";#N/A,#N/A,FALSE,"CREDIPESCA L.P. (2)";#N/A,#N/A,FALSE,"GTOS ADMON."}</definedName>
    <definedName name="wrn.ENERO97." hidden="1">{#N/A,#N/A,FALSE,"BALANCE";#N/A,#N/A,FALSE,"EDORESUL";#N/A,#N/A,FALSE,"VENTAS";#N/A,#N/A,FALSE,"EFECTIVO E IVA";#N/A,#N/A,FALSE,"CLIENTES";#N/A,#N/A,FALSE,"DEUDORES";#N/A,#N/A,FALSE,"ANTICIPO-PROVEEDORES";#N/A,#N/A,FALSE,"SUPERAVIT";#N/A,#N/A,FALSE,"ACCIONES";#N/A,#N/A,FALSE,"PROVEEDORES";#N/A,#N/A,FALSE,"IMPUESTOS";#N/A,#N/A,FALSE,"ACREDORES";#N/A,#N/A,FALSE,"CREDIPESCA C.P.";#N/A,#N/A,FALSE,"CREDIPESCA L.P. (2)";#N/A,#N/A,FALSE,"GTOS ADMON."}</definedName>
    <definedName name="wrn.INFINEN97." localSheetId="19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wrn.INFINEN97." hidden="1">{#N/A,#N/A,FALSE,"INDICE MARIN";#N/A,#N/A,FALSE,"Edo SituaciónFina1 97";#N/A,#N/A,FALSE,"Resumen Vtas13-14 97";#N/A,#N/A,FALSE,"ResumGtosComercial17-18  97";#N/A,#N/A,FALSE,"Edo ResAcum2 97";#N/A,#N/A,FALSE,"RelaciónGtoOpFlota18 96";#N/A,#N/A,FALSE,"RelaciónGtosAdmon19-20  96";#N/A,#N/A,FALSE,"AnaGastoAdmcion 20a";#N/A,#N/A,FALSE,"Relación FinancieIng21-22 96";#N/A,#N/A,FALSE,"ANA GTOS FINAN";#N/A,#N/A,FALSE,"CLIENTES";#N/A,#N/A,FALSE,"RelacIntercompañ(Activo)27  96";#N/A,#N/A,FALSE,"Relación DeudsDiver28  96";#N/A,#N/A,FALSE,"RelaciónAnticipProv29 96";#N/A,#N/A,FALSE,"RelaciónEmpleados30-31-32 96 ";#N/A,#N/A,FALSE,"RelacActivoFijo35 96";#N/A,#N/A,FALSE,"RelaciónOtrosAct.36 96";#N/A,#N/A,FALSE,"Relación ProvNac37-38 96";#N/A,#N/A,FALSE,"Relacion de Prov-Dls 39";#N/A,#N/A,FALSE,"RelacIntercompañiasPasivo39  96";#N/A,#N/A,FALSE,"RelaciónImpxPagar41 96";#N/A,#N/A,FALSE,"Relación AcredDivs42-43 96";#N/A,#N/A,FALSE,"RelaciónOtrasProvPorPagar44  96";#N/A,#N/A,FALSE,"RelaciónInterPorPagar45  96"}</definedName>
    <definedName name="wrn.INFOJUN." localSheetId="19" hidden="1">{#N/A,#N/A,FALSE,"BALANCE";#N/A,#N/A,FALSE,"LISTA PRECIOS";#N/A,#N/A,FALSE,"EDORESUL";#N/A,#N/A,FALSE,"TC Y EFECTIVO";#N/A,#N/A,FALSE,"CLIENTES";#N/A,#N/A,FALSE,"  IVA  ";#N/A,#N/A,FALSE,"DEUDORES";#N/A,#N/A,FALSE,"ANTICIPADOS";#N/A,#N/A,FALSE,"INVERSIONES";#N/A,#N/A,FALSE,"PROVEEDORES";#N/A,#N/A,FALSE,"CREDITO";#N/A,#N/A,FALSE,"DIQUE";#N/A,#N/A,FALSE,"DOCTOS";#N/A,#N/A,FALSE,"ADMON"}</definedName>
    <definedName name="wrn.INFOJUN." hidden="1">{#N/A,#N/A,FALSE,"BALANCE";#N/A,#N/A,FALSE,"LISTA PRECIOS";#N/A,#N/A,FALSE,"EDORESUL";#N/A,#N/A,FALSE,"TC Y EFECTIVO";#N/A,#N/A,FALSE,"CLIENTES";#N/A,#N/A,FALSE,"  IVA  ";#N/A,#N/A,FALSE,"DEUDORES";#N/A,#N/A,FALSE,"ANTICIPADOS";#N/A,#N/A,FALSE,"INVERSIONES";#N/A,#N/A,FALSE,"PROVEEDORES";#N/A,#N/A,FALSE,"CREDITO";#N/A,#N/A,FALSE,"DIQUE";#N/A,#N/A,FALSE,"DOCTOS";#N/A,#N/A,FALSE,"ADMON"}</definedName>
    <definedName name="wrn.JUNIO96." localSheetId="19" hidden="1">{#N/A,#N/A,FALSE,"BALANCE";#N/A,#N/A,FALSE,"EDORESUL";#N/A,#N/A,FALSE,"TC - EFECTIVO";#N/A,#N/A,FALSE,"CLIENTES";#N/A,#N/A,FALSE,"I.V.A.";#N/A,#N/A,FALSE,"DEUDORES";#N/A,#N/A,FALSE,"ANTICIPO-PROVEEDORES";#N/A,#N/A,FALSE,"ACCIONES";#N/A,#N/A,FALSE,"PROVEEDORES";#N/A,#N/A,FALSE,"ACREEDORES";#N/A,#N/A,FALSE,"SEGUROS";#N/A,#N/A,FALSE,"IMPUESTOS";#N/A,#N/A,FALSE,"DOCUMENTOS";#N/A,#N/A,FALSE,"DOCUMENTOS (2)";#N/A,#N/A,FALSE,"GTOS.ADMON.";#N/A,#N/A,FALSE,"GTOS.FLOTA"}</definedName>
    <definedName name="wrn.JUNIO96." hidden="1">{#N/A,#N/A,FALSE,"BALANCE";#N/A,#N/A,FALSE,"EDORESUL";#N/A,#N/A,FALSE,"TC - EFECTIVO";#N/A,#N/A,FALSE,"CLIENTES";#N/A,#N/A,FALSE,"I.V.A.";#N/A,#N/A,FALSE,"DEUDORES";#N/A,#N/A,FALSE,"ANTICIPO-PROVEEDORES";#N/A,#N/A,FALSE,"ACCIONES";#N/A,#N/A,FALSE,"PROVEEDORES";#N/A,#N/A,FALSE,"ACREEDORES";#N/A,#N/A,FALSE,"SEGUROS";#N/A,#N/A,FALSE,"IMPUESTOS";#N/A,#N/A,FALSE,"DOCUMENTOS";#N/A,#N/A,FALSE,"DOCUMENTOS (2)";#N/A,#N/A,FALSE,"GTOS.ADMON.";#N/A,#N/A,FALSE,"GTOS.FLOTA"}</definedName>
    <definedName name="X" localSheetId="19" hidden="1">{#N/A,#N/A,FALSE,"BALANCE";#N/A,#N/A,FALSE,"EDORESUL";#N/A,#N/A,FALSE,"VENTAS";#N/A,#N/A,FALSE,"EFECTIVO E IVA";#N/A,#N/A,FALSE,"CLIENTES";#N/A,#N/A,FALSE,"DEUDORES";#N/A,#N/A,FALSE,"ANTICIPO-PROVEEDORES";#N/A,#N/A,FALSE,"SUPERAVIT";#N/A,#N/A,FALSE,"ACCIONES";#N/A,#N/A,FALSE,"PROVEEDORES";#N/A,#N/A,FALSE,"IMPUESTOS";#N/A,#N/A,FALSE,"ACREDORES";#N/A,#N/A,FALSE,"CREDIPESCA C.P.";#N/A,#N/A,FALSE,"CREDIPESCA L.P. (2)";#N/A,#N/A,FALSE,"GTOS ADMON."}</definedName>
    <definedName name="X" hidden="1">{#N/A,#N/A,FALSE,"BALANCE";#N/A,#N/A,FALSE,"EDORESUL";#N/A,#N/A,FALSE,"VENTAS";#N/A,#N/A,FALSE,"EFECTIVO E IVA";#N/A,#N/A,FALSE,"CLIENTES";#N/A,#N/A,FALSE,"DEUDORES";#N/A,#N/A,FALSE,"ANTICIPO-PROVEEDORES";#N/A,#N/A,FALSE,"SUPERAVIT";#N/A,#N/A,FALSE,"ACCIONES";#N/A,#N/A,FALSE,"PROVEEDORES";#N/A,#N/A,FALSE,"IMPUESTOS";#N/A,#N/A,FALSE,"ACREDORES";#N/A,#N/A,FALSE,"CREDIPESCA C.P.";#N/A,#N/A,FALSE,"CREDIPESCA L.P. (2)";#N/A,#N/A,FALSE,"GTOS ADMON."}</definedName>
    <definedName name="XREF_COLUMN_1" localSheetId="14" hidden="1">'[24]Prima Antig. (Final)'!$L:$L</definedName>
    <definedName name="XREF_COLUMN_1" localSheetId="19" hidden="1">#REF!</definedName>
    <definedName name="XREF_COLUMN_1" hidden="1">#REF!</definedName>
    <definedName name="XREF_COLUMN_11" localSheetId="19" hidden="1">'[20]SAR-Infonavit'!#REF!</definedName>
    <definedName name="XREF_COLUMN_11" hidden="1">'[20]SAR-Infonavit'!#REF!</definedName>
    <definedName name="XREF_COLUMN_13" localSheetId="19" hidden="1">#REF!</definedName>
    <definedName name="XREF_COLUMN_13" hidden="1">#REF!</definedName>
    <definedName name="XREF_COLUMN_14" localSheetId="19" hidden="1">'[22]Vaciado PP'!#REF!</definedName>
    <definedName name="XREF_COLUMN_14" hidden="1">'[22]Vaciado PP'!#REF!</definedName>
    <definedName name="XREF_COLUMN_16" localSheetId="19" hidden="1">'[20] IMSS'!#REF!</definedName>
    <definedName name="XREF_COLUMN_16" hidden="1">'[20] IMSS'!#REF!</definedName>
    <definedName name="XREF_COLUMN_17" localSheetId="19" hidden="1">'[20] IMSS'!#REF!</definedName>
    <definedName name="XREF_COLUMN_17" hidden="1">'[20] IMSS'!#REF!</definedName>
    <definedName name="XREF_COLUMN_18" localSheetId="19" hidden="1">'[20] IMSS'!#REF!</definedName>
    <definedName name="XREF_COLUMN_18" hidden="1">'[20] IMSS'!#REF!</definedName>
    <definedName name="XREF_COLUMN_19" localSheetId="19" hidden="1">'[20] IMSS'!#REF!</definedName>
    <definedName name="XREF_COLUMN_19" hidden="1">'[20] IMSS'!#REF!</definedName>
    <definedName name="XREF_COLUMN_2" localSheetId="14" hidden="1">'[24]Prima Antig. (Final)'!$C:$C</definedName>
    <definedName name="XREF_COLUMN_2" localSheetId="19" hidden="1">#REF!</definedName>
    <definedName name="XREF_COLUMN_2" hidden="1">#REF!</definedName>
    <definedName name="XREF_COLUMN_20" localSheetId="19" hidden="1">'[20] IMSS'!#REF!</definedName>
    <definedName name="XREF_COLUMN_20" hidden="1">'[20] IMSS'!#REF!</definedName>
    <definedName name="XREF_COLUMN_21" localSheetId="19" hidden="1">'[20] IMSS'!#REF!</definedName>
    <definedName name="XREF_COLUMN_21" hidden="1">'[20] IMSS'!#REF!</definedName>
    <definedName name="XREF_COLUMN_22" localSheetId="19" hidden="1">'[20] IMSS'!#REF!</definedName>
    <definedName name="XREF_COLUMN_22" hidden="1">'[20] IMSS'!#REF!</definedName>
    <definedName name="XREF_COLUMN_24" localSheetId="19" hidden="1">'[20] IMSS'!#REF!</definedName>
    <definedName name="XREF_COLUMN_24" hidden="1">'[20] IMSS'!#REF!</definedName>
    <definedName name="XREF_COLUMN_25" localSheetId="19" hidden="1">'[22] 2% Nomina'!#REF!</definedName>
    <definedName name="XREF_COLUMN_25" hidden="1">'[22] 2% Nomina'!#REF!</definedName>
    <definedName name="XREF_COLUMN_30" localSheetId="19" hidden="1">'[20] IMSS'!#REF!</definedName>
    <definedName name="XREF_COLUMN_30" hidden="1">'[20] IMSS'!#REF!</definedName>
    <definedName name="XREF_COLUMN_4" localSheetId="19" hidden="1">'[25]Multiples '!#REF!</definedName>
    <definedName name="XREF_COLUMN_4" hidden="1">'[25]Multiples '!#REF!</definedName>
    <definedName name="XREF_COLUMN_5" localSheetId="19" hidden="1">'[25]Multiples '!#REF!</definedName>
    <definedName name="XREF_COLUMN_5" hidden="1">'[25]Multiples '!#REF!</definedName>
    <definedName name="XREF_COLUMN_6" localSheetId="19" hidden="1">'[25]Multiples '!#REF!</definedName>
    <definedName name="XREF_COLUMN_6" hidden="1">'[25]Multiples '!#REF!</definedName>
    <definedName name="XREF_COLUMN_7" localSheetId="19" hidden="1">'[20] IMSS'!#REF!</definedName>
    <definedName name="XREF_COLUMN_7" hidden="1">'[20] IMSS'!#REF!</definedName>
    <definedName name="XREF_COLUMN_8" localSheetId="19" hidden="1">'[20]SAR-Infonavit'!#REF!</definedName>
    <definedName name="XREF_COLUMN_8" hidden="1">'[20]SAR-Infonavit'!#REF!</definedName>
    <definedName name="XRefActiveRow" localSheetId="19" hidden="1">#REF!</definedName>
    <definedName name="XRefActiveRow" hidden="1">#REF!</definedName>
    <definedName name="XRefColumnsCount" hidden="1">2</definedName>
    <definedName name="XRefCopy1" hidden="1">'[24]Prima Antig. (Final)'!$K$10</definedName>
    <definedName name="XRefCopy13" hidden="1">'[20]SAR-Infonavit'!#REF!</definedName>
    <definedName name="XRefCopy14" hidden="1">'[20]SAR-Infonavit'!#REF!</definedName>
    <definedName name="XRefCopy14Row" localSheetId="19" hidden="1">#REF!</definedName>
    <definedName name="XRefCopy14Row" hidden="1">#REF!</definedName>
    <definedName name="XRefCopy16" localSheetId="19" hidden="1">#REF!</definedName>
    <definedName name="XRefCopy16" hidden="1">#REF!</definedName>
    <definedName name="XRefCopy1Row" localSheetId="14" hidden="1">#REF!</definedName>
    <definedName name="XRefCopy1Row" localSheetId="19" hidden="1">#REF!</definedName>
    <definedName name="XRefCopy1Row" hidden="1">#REF!</definedName>
    <definedName name="XRefCopy2" localSheetId="14" hidden="1">'[24]Prima Antig. (Final)'!$B$10</definedName>
    <definedName name="XRefCopy2" localSheetId="19" hidden="1">#REF!</definedName>
    <definedName name="XRefCopy2" hidden="1">#REF!</definedName>
    <definedName name="XRefCopy20Row" localSheetId="19" hidden="1">#REF!</definedName>
    <definedName name="XRefCopy20Row" hidden="1">#REF!</definedName>
    <definedName name="XRefCopy21" localSheetId="19" hidden="1">'[20] IMSS'!#REF!</definedName>
    <definedName name="XRefCopy21" hidden="1">'[20] IMSS'!#REF!</definedName>
    <definedName name="XRefCopy21Row" localSheetId="19" hidden="1">#REF!</definedName>
    <definedName name="XRefCopy21Row" hidden="1">#REF!</definedName>
    <definedName name="XRefCopy22" localSheetId="19" hidden="1">'[20] IMSS'!#REF!</definedName>
    <definedName name="XRefCopy22" hidden="1">'[20] IMSS'!#REF!</definedName>
    <definedName name="XRefCopy23" localSheetId="19" hidden="1">'[20] IMSS'!#REF!</definedName>
    <definedName name="XRefCopy23" hidden="1">'[20] IMSS'!#REF!</definedName>
    <definedName name="XRefCopy24" localSheetId="19" hidden="1">'[20] IMSS'!#REF!</definedName>
    <definedName name="XRefCopy24" hidden="1">'[20] IMSS'!#REF!</definedName>
    <definedName name="XRefCopy24Row" localSheetId="19" hidden="1">#REF!</definedName>
    <definedName name="XRefCopy24Row" hidden="1">#REF!</definedName>
    <definedName name="XRefCopy25" localSheetId="19" hidden="1">'[20]SAR-Infonavit'!#REF!</definedName>
    <definedName name="XRefCopy25" hidden="1">'[20]SAR-Infonavit'!#REF!</definedName>
    <definedName name="XRefCopy25Row" localSheetId="19" hidden="1">#REF!</definedName>
    <definedName name="XRefCopy25Row" hidden="1">#REF!</definedName>
    <definedName name="XRefCopy26" localSheetId="19" hidden="1">'[20]SAR-Infonavit'!#REF!</definedName>
    <definedName name="XRefCopy26" hidden="1">'[20]SAR-Infonavit'!#REF!</definedName>
    <definedName name="XRefCopy26Row" localSheetId="19" hidden="1">#REF!</definedName>
    <definedName name="XRefCopy26Row" hidden="1">#REF!</definedName>
    <definedName name="XRefCopy27" localSheetId="19" hidden="1">'[20]SAR-Infonavit'!#REF!</definedName>
    <definedName name="XRefCopy27" hidden="1">'[20]SAR-Infonavit'!#REF!</definedName>
    <definedName name="XRefCopy27Row" localSheetId="19" hidden="1">#REF!</definedName>
    <definedName name="XRefCopy27Row" hidden="1">#REF!</definedName>
    <definedName name="XRefCopy28" localSheetId="19" hidden="1">#REF!</definedName>
    <definedName name="XRefCopy28" hidden="1">#REF!</definedName>
    <definedName name="XRefCopy28Row" localSheetId="19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'[22]Vaciado PP'!#REF!</definedName>
    <definedName name="XRefCopy37Row" localSheetId="19" hidden="1">#REF!</definedName>
    <definedName name="XRefCopy37Row" hidden="1">#REF!</definedName>
    <definedName name="XRefCopy38" localSheetId="19" hidden="1">#REF!</definedName>
    <definedName name="XRefCopy38" hidden="1">#REF!</definedName>
    <definedName name="XRefCopy38Row" localSheetId="19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'[20]SAR-Infonavit'!#REF!</definedName>
    <definedName name="XRefCopy45" hidden="1">'[22] 2% Nomina'!#REF!</definedName>
    <definedName name="XRefCopy46" hidden="1">'[20] IMSS'!#REF!</definedName>
    <definedName name="XRefCopy46Row" localSheetId="19" hidden="1">#REF!</definedName>
    <definedName name="XRefCopy46Row" hidden="1">#REF!</definedName>
    <definedName name="XRefCopy47" hidden="1">'[20]SAR-Infonavit'!#REF!</definedName>
    <definedName name="XRefCopy47Row" localSheetId="19" hidden="1">#REF!</definedName>
    <definedName name="XRefCopy47Row" hidden="1">#REF!</definedName>
    <definedName name="XRefCopy48" hidden="1">'[20]SAR-Infonavit'!#REF!</definedName>
    <definedName name="XRefCopy48Row" localSheetId="19" hidden="1">#REF!</definedName>
    <definedName name="XRefCopy48Row" hidden="1">#REF!</definedName>
    <definedName name="XRefCopy4Row" localSheetId="19" hidden="1">#REF!</definedName>
    <definedName name="XRefCopy4Row" hidden="1">#REF!</definedName>
    <definedName name="XRefCopy5" localSheetId="19" hidden="1">#REF!</definedName>
    <definedName name="XRefCopy5" hidden="1">#REF!</definedName>
    <definedName name="XRefCopy5Row" hidden="1">#REF!</definedName>
    <definedName name="XRefCopy6" hidden="1">#REF!</definedName>
    <definedName name="XRefCopy67" hidden="1">'[20] IMSS'!#REF!</definedName>
    <definedName name="XRefCopy68" hidden="1">'[20] IMSS'!#REF!</definedName>
    <definedName name="XRefCopy69" hidden="1">'[20] IMSS'!#REF!</definedName>
    <definedName name="XRefCopy7" localSheetId="19" hidden="1">#REF!</definedName>
    <definedName name="XRefCopy7" hidden="1">#REF!</definedName>
    <definedName name="XRefCopy70" hidden="1">'[20] IMSS'!#REF!</definedName>
    <definedName name="XRefCopy71" hidden="1">'[20] IMSS'!#REF!</definedName>
    <definedName name="XRefCopy72" hidden="1">'[20] IMSS'!#REF!</definedName>
    <definedName name="XRefCopy73" hidden="1">'[20]SAR-Infonavit'!#REF!</definedName>
    <definedName name="XRefCopy8" localSheetId="19" hidden="1">#REF!</definedName>
    <definedName name="XRefCopy8" hidden="1">#REF!</definedName>
    <definedName name="XRefCopy9" localSheetId="19" hidden="1">#REF!</definedName>
    <definedName name="XRefCopy9" hidden="1">#REF!</definedName>
    <definedName name="XRefCopy9Row" localSheetId="19" hidden="1">#REF!</definedName>
    <definedName name="XRefCopy9Row" hidden="1">#REF!</definedName>
    <definedName name="XRefCopyRangeCount" localSheetId="14" hidden="1">2</definedName>
    <definedName name="XRefCopyRangeCount" hidden="1">9</definedName>
    <definedName name="XRefPaste1" hidden="1">'[24]Prima Antig. (Final)'!$K$10</definedName>
    <definedName name="XRefPaste10" localSheetId="19" hidden="1">#REF!</definedName>
    <definedName name="XRefPaste10" hidden="1">#REF!</definedName>
    <definedName name="XRefPaste14" hidden="1">'[20]SAR-Infonavit'!#REF!</definedName>
    <definedName name="XRefPaste14Row" localSheetId="19" hidden="1">#REF!</definedName>
    <definedName name="XRefPaste14Row" hidden="1">#REF!</definedName>
    <definedName name="XRefPaste15" hidden="1">'[22] 2% Nomina'!#REF!</definedName>
    <definedName name="XRefPaste15Row" localSheetId="19" hidden="1">#REF!</definedName>
    <definedName name="XRefPaste15Row" hidden="1">#REF!</definedName>
    <definedName name="XRefPaste16" localSheetId="19" hidden="1">#REF!</definedName>
    <definedName name="XRefPaste16" hidden="1">#REF!</definedName>
    <definedName name="XRefPaste16Row" localSheetId="19" hidden="1">#REF!</definedName>
    <definedName name="XRefPaste16Row" hidden="1">#REF!</definedName>
    <definedName name="XRefPaste17" localSheetId="19" hidden="1">'[22]Vaciado PP'!#REF!</definedName>
    <definedName name="XRefPaste17" hidden="1">'[22]Vaciado PP'!#REF!</definedName>
    <definedName name="XRefPaste17Row" localSheetId="19" hidden="1">#REF!</definedName>
    <definedName name="XRefPaste17Row" hidden="1">#REF!</definedName>
    <definedName name="XRefPaste18Row" localSheetId="19" hidden="1">#REF!</definedName>
    <definedName name="XRefPaste18Row" hidden="1">#REF!</definedName>
    <definedName name="XRefPaste19" localSheetId="19" hidden="1">#REF!</definedName>
    <definedName name="XRefPaste19" hidden="1">#REF!</definedName>
    <definedName name="XRefPaste19Row" hidden="1">#REF!</definedName>
    <definedName name="XRefPaste1Row" hidden="1">#REF!</definedName>
    <definedName name="XRefPaste20" hidden="1">'[20] IMSS'!#REF!</definedName>
    <definedName name="XRefPaste21" hidden="1">'[20] IMSS'!#REF!</definedName>
    <definedName name="XRefPaste22" hidden="1">'[20] IMSS'!#REF!</definedName>
    <definedName name="XRefPaste23" hidden="1">'[20]SAR-Infonavit'!#REF!</definedName>
    <definedName name="XRefPaste24" hidden="1">'[20]SAR-Infonavit'!#REF!</definedName>
    <definedName name="XRefPaste26" hidden="1">'[20]SAR-Infonavit'!#REF!</definedName>
    <definedName name="XRefPaste2Row" localSheetId="19" hidden="1">#REF!</definedName>
    <definedName name="XRefPaste2Row" hidden="1">#REF!</definedName>
    <definedName name="XRefPaste3" hidden="1">'[24]Prima Antig. (Final)'!$K$21</definedName>
    <definedName name="XRefPaste30" hidden="1">'[22] 2% Nomina'!#REF!</definedName>
    <definedName name="XRefPaste30Row" localSheetId="19" hidden="1">#REF!</definedName>
    <definedName name="XRefPaste30Row" hidden="1">#REF!</definedName>
    <definedName name="XRefPaste35" hidden="1">'[20] IMSS'!#REF!</definedName>
    <definedName name="XRefPaste36" hidden="1">'[20]SAR-Infonavit'!#REF!</definedName>
    <definedName name="XRefPaste37" hidden="1">'[20]SAR-Infonavit'!#REF!</definedName>
    <definedName name="XRefPaste3Row" localSheetId="19" hidden="1">#REF!</definedName>
    <definedName name="XRefPaste3Row" hidden="1">#REF!</definedName>
    <definedName name="XRefPaste4" hidden="1">'[24]Prima Antig. (Final)'!$K$20</definedName>
    <definedName name="XRefPaste4Row" localSheetId="19" hidden="1">#REF!</definedName>
    <definedName name="XRefPaste4Row" hidden="1">#REF!</definedName>
    <definedName name="XRefPaste5" hidden="1">'[24]Prima Antig. (Final)'!$K$19</definedName>
    <definedName name="XRefPaste6" localSheetId="14" hidden="1">'[24]Prima Antig. (Final)'!$K$22</definedName>
    <definedName name="XRefPaste6" localSheetId="19" hidden="1">#REF!</definedName>
    <definedName name="XRefPaste6" hidden="1">#REF!</definedName>
    <definedName name="XRefPaste7" localSheetId="19" hidden="1">#REF!</definedName>
    <definedName name="XRefPaste7" hidden="1">#REF!</definedName>
    <definedName name="XRefPaste8" localSheetId="19" hidden="1">#REF!</definedName>
    <definedName name="XRefPaste8" hidden="1">#REF!</definedName>
    <definedName name="XRefPaste8Row" hidden="1">#REF!</definedName>
    <definedName name="XRefPasteRangeCount" localSheetId="14" hidden="1">6</definedName>
    <definedName name="XRefPasteRangeCount" hidden="1">10</definedName>
    <definedName name="XX" localSheetId="19" hidden="1">{#N/A,#N/A,FALSE,"BALANCE";#N/A,#N/A,FALSE,"EDORESUL";#N/A,#N/A,FALSE,"VENTAS";#N/A,#N/A,FALSE,"EFECTIVO E IVA";#N/A,#N/A,FALSE,"CLIENTES";#N/A,#N/A,FALSE,"DEUDORES";#N/A,#N/A,FALSE,"ANTICIPO-PROVEEDORES";#N/A,#N/A,FALSE,"SUPERAVIT";#N/A,#N/A,FALSE,"ACCIONES";#N/A,#N/A,FALSE,"PROVEEDORES";#N/A,#N/A,FALSE,"IMPUESTOS";#N/A,#N/A,FALSE,"ACREDORES";#N/A,#N/A,FALSE,"CREDIPESCA C.P.";#N/A,#N/A,FALSE,"CREDIPESCA L.P. (2)";#N/A,#N/A,FALSE,"GTOS ADMON."}</definedName>
    <definedName name="XX" hidden="1">{#N/A,#N/A,FALSE,"BALANCE";#N/A,#N/A,FALSE,"EDORESUL";#N/A,#N/A,FALSE,"VENTAS";#N/A,#N/A,FALSE,"EFECTIVO E IVA";#N/A,#N/A,FALSE,"CLIENTES";#N/A,#N/A,FALSE,"DEUDORES";#N/A,#N/A,FALSE,"ANTICIPO-PROVEEDORES";#N/A,#N/A,FALSE,"SUPERAVIT";#N/A,#N/A,FALSE,"ACCIONES";#N/A,#N/A,FALSE,"PROVEEDORES";#N/A,#N/A,FALSE,"IMPUESTOS";#N/A,#N/A,FALSE,"ACREDORES";#N/A,#N/A,FALSE,"CREDIPESCA C.P.";#N/A,#N/A,FALSE,"CREDIPESCA L.P. (2)";#N/A,#N/A,FALSE,"GTOS ADMON."}</definedName>
    <definedName name="year">'[26]Trial Balance'!$A$2</definedName>
    <definedName name="yesno" localSheetId="5">[5]Workings!#REF!</definedName>
    <definedName name="yesno">[5]Workings!#REF!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9" i="24" l="1"/>
  <c r="M59" i="24"/>
  <c r="L59" i="24"/>
  <c r="K59" i="24"/>
  <c r="J59" i="24"/>
  <c r="I59" i="24"/>
  <c r="H59" i="24"/>
  <c r="G59" i="24"/>
  <c r="F59" i="24"/>
  <c r="E59" i="24"/>
  <c r="D59" i="24"/>
  <c r="C59" i="24"/>
  <c r="N60" i="24" l="1"/>
  <c r="M60" i="24"/>
  <c r="L60" i="24"/>
  <c r="K60" i="24"/>
  <c r="J60" i="24"/>
  <c r="I60" i="24"/>
  <c r="H60" i="24"/>
  <c r="G60" i="24"/>
  <c r="F60" i="24"/>
  <c r="E60" i="24"/>
  <c r="D60" i="24"/>
  <c r="C60" i="24"/>
  <c r="N8" i="30" l="1"/>
  <c r="N11" i="30"/>
  <c r="M8" i="30"/>
  <c r="M11" i="30"/>
  <c r="L8" i="30"/>
  <c r="L11" i="30"/>
  <c r="K8" i="30"/>
  <c r="K11" i="30"/>
  <c r="J8" i="30"/>
  <c r="J11" i="30"/>
  <c r="I8" i="30"/>
  <c r="I11" i="30"/>
  <c r="H8" i="30"/>
  <c r="H11" i="30"/>
  <c r="G8" i="30"/>
  <c r="G11" i="30"/>
  <c r="F8" i="30"/>
  <c r="F11" i="30"/>
  <c r="E8" i="30"/>
  <c r="E11" i="30"/>
  <c r="D8" i="30"/>
  <c r="D11" i="30"/>
  <c r="C11" i="30"/>
  <c r="C8" i="30"/>
  <c r="C227" i="3" l="1"/>
  <c r="C228" i="3"/>
  <c r="C22" i="30" l="1"/>
  <c r="C33" i="30" s="1"/>
  <c r="C19" i="30"/>
  <c r="C30" i="30" s="1"/>
  <c r="C10" i="30"/>
  <c r="H150" i="3"/>
  <c r="C13" i="30" l="1"/>
  <c r="S44" i="10"/>
  <c r="G210" i="1"/>
  <c r="G223" i="1"/>
  <c r="F223" i="1"/>
  <c r="E223" i="1"/>
  <c r="F78" i="21" l="1"/>
  <c r="D23" i="21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E24" i="22" s="1"/>
  <c r="P12" i="23" l="1"/>
  <c r="E31" i="21" s="1"/>
  <c r="H31" i="21" s="1"/>
  <c r="D24" i="22"/>
  <c r="E243" i="21" l="1"/>
  <c r="C32" i="36" l="1"/>
  <c r="D32" i="36" s="1"/>
  <c r="C30" i="36"/>
  <c r="C31" i="36" s="1"/>
  <c r="C29" i="36"/>
  <c r="C28" i="36"/>
  <c r="B26" i="36"/>
  <c r="B25" i="36"/>
  <c r="C25" i="36" s="1"/>
  <c r="C23" i="36"/>
  <c r="C24" i="36" s="1"/>
  <c r="C22" i="36"/>
  <c r="C21" i="36"/>
  <c r="C20" i="36"/>
  <c r="B17" i="36"/>
  <c r="C17" i="36" s="1"/>
  <c r="C18" i="36" s="1"/>
  <c r="C19" i="36" s="1"/>
  <c r="C14" i="36"/>
  <c r="C15" i="36" s="1"/>
  <c r="C16" i="36" s="1"/>
  <c r="C13" i="36"/>
  <c r="D13" i="36" s="1"/>
  <c r="Q210" i="1"/>
  <c r="P210" i="1"/>
  <c r="O210" i="1"/>
  <c r="N210" i="1"/>
  <c r="M210" i="1"/>
  <c r="L210" i="1"/>
  <c r="K210" i="1"/>
  <c r="J210" i="1"/>
  <c r="I210" i="1"/>
  <c r="H210" i="1"/>
  <c r="F210" i="1"/>
  <c r="C26" i="36" l="1"/>
  <c r="C27" i="36" s="1"/>
  <c r="D16" i="36"/>
  <c r="D19" i="36" s="1"/>
  <c r="D20" i="36" s="1"/>
  <c r="D21" i="36" s="1"/>
  <c r="D22" i="36" s="1"/>
  <c r="D24" i="36" s="1"/>
  <c r="D64" i="21"/>
  <c r="D53" i="21"/>
  <c r="D36" i="22"/>
  <c r="D23" i="22"/>
  <c r="E23" i="22"/>
  <c r="E44" i="21"/>
  <c r="E26" i="22"/>
  <c r="D26" i="22"/>
  <c r="C25" i="23"/>
  <c r="E17" i="22" s="1"/>
  <c r="C26" i="23"/>
  <c r="E18" i="22" s="1"/>
  <c r="O25" i="23"/>
  <c r="D17" i="22" s="1"/>
  <c r="N25" i="23"/>
  <c r="M25" i="23"/>
  <c r="L25" i="23"/>
  <c r="K25" i="23"/>
  <c r="J25" i="23"/>
  <c r="I25" i="23"/>
  <c r="H25" i="23"/>
  <c r="G25" i="23"/>
  <c r="F25" i="23"/>
  <c r="E25" i="23"/>
  <c r="D25" i="23"/>
  <c r="I78" i="21"/>
  <c r="F72" i="21"/>
  <c r="E263" i="21"/>
  <c r="E262" i="21"/>
  <c r="E258" i="21"/>
  <c r="E257" i="21"/>
  <c r="E256" i="21"/>
  <c r="E108" i="21"/>
  <c r="E107" i="21"/>
  <c r="C44" i="30"/>
  <c r="C55" i="30" s="1"/>
  <c r="N22" i="30"/>
  <c r="M22" i="30"/>
  <c r="M33" i="30" s="1"/>
  <c r="M47" i="30" s="1"/>
  <c r="M58" i="30" s="1"/>
  <c r="L22" i="30"/>
  <c r="L33" i="30" s="1"/>
  <c r="L47" i="30" s="1"/>
  <c r="L58" i="30" s="1"/>
  <c r="K22" i="30"/>
  <c r="K33" i="30" s="1"/>
  <c r="K47" i="30" s="1"/>
  <c r="K58" i="30" s="1"/>
  <c r="J22" i="30"/>
  <c r="J33" i="30" s="1"/>
  <c r="J47" i="30" s="1"/>
  <c r="J58" i="30" s="1"/>
  <c r="I22" i="30"/>
  <c r="I33" i="30" s="1"/>
  <c r="I47" i="30" s="1"/>
  <c r="I58" i="30" s="1"/>
  <c r="H22" i="30"/>
  <c r="H33" i="30" s="1"/>
  <c r="H47" i="30" s="1"/>
  <c r="H58" i="30" s="1"/>
  <c r="G22" i="30"/>
  <c r="G33" i="30" s="1"/>
  <c r="G47" i="30" s="1"/>
  <c r="G58" i="30" s="1"/>
  <c r="F22" i="30"/>
  <c r="F33" i="30" s="1"/>
  <c r="F47" i="30" s="1"/>
  <c r="F58" i="30" s="1"/>
  <c r="E22" i="30"/>
  <c r="E33" i="30" s="1"/>
  <c r="E47" i="30" s="1"/>
  <c r="E58" i="30" s="1"/>
  <c r="D22" i="30"/>
  <c r="D33" i="30" s="1"/>
  <c r="D47" i="30" s="1"/>
  <c r="D58" i="30" s="1"/>
  <c r="C47" i="30"/>
  <c r="C58" i="30" s="1"/>
  <c r="M10" i="30"/>
  <c r="M13" i="30" s="1"/>
  <c r="M11" i="24" s="1"/>
  <c r="L10" i="30"/>
  <c r="L13" i="30" s="1"/>
  <c r="L11" i="24" s="1"/>
  <c r="K10" i="30"/>
  <c r="J10" i="30"/>
  <c r="I10" i="30"/>
  <c r="H10" i="30"/>
  <c r="H13" i="30" s="1"/>
  <c r="H11" i="24" s="1"/>
  <c r="G10" i="30"/>
  <c r="F10" i="30"/>
  <c r="E10" i="30"/>
  <c r="D10" i="30"/>
  <c r="D13" i="30" s="1"/>
  <c r="D11" i="24" s="1"/>
  <c r="N46" i="24"/>
  <c r="M46" i="24"/>
  <c r="L46" i="24"/>
  <c r="K46" i="24"/>
  <c r="J46" i="24"/>
  <c r="I46" i="24"/>
  <c r="H46" i="24"/>
  <c r="G46" i="24"/>
  <c r="F46" i="24"/>
  <c r="E46" i="24"/>
  <c r="D46" i="24"/>
  <c r="C46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N37" i="24"/>
  <c r="L37" i="24"/>
  <c r="J37" i="24"/>
  <c r="H37" i="24"/>
  <c r="F37" i="24"/>
  <c r="D37" i="24"/>
  <c r="N36" i="24"/>
  <c r="L36" i="24"/>
  <c r="J36" i="24"/>
  <c r="H36" i="24"/>
  <c r="F36" i="24"/>
  <c r="D36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N54" i="30"/>
  <c r="M54" i="30"/>
  <c r="L54" i="30"/>
  <c r="K54" i="30"/>
  <c r="J54" i="30"/>
  <c r="I54" i="30"/>
  <c r="H54" i="30"/>
  <c r="G54" i="30"/>
  <c r="F54" i="30"/>
  <c r="E54" i="30"/>
  <c r="D54" i="30"/>
  <c r="C54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N31" i="24"/>
  <c r="M31" i="24"/>
  <c r="L31" i="24"/>
  <c r="K31" i="24"/>
  <c r="J31" i="24"/>
  <c r="I31" i="24"/>
  <c r="H31" i="24"/>
  <c r="G31" i="24"/>
  <c r="F31" i="24"/>
  <c r="E31" i="24"/>
  <c r="D31" i="24"/>
  <c r="C31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29" i="30"/>
  <c r="M29" i="30"/>
  <c r="L29" i="30"/>
  <c r="K29" i="30"/>
  <c r="J29" i="30"/>
  <c r="I29" i="30"/>
  <c r="H29" i="30"/>
  <c r="G29" i="30"/>
  <c r="F29" i="30"/>
  <c r="E29" i="30"/>
  <c r="D29" i="30"/>
  <c r="C29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N12" i="24"/>
  <c r="M12" i="24"/>
  <c r="L12" i="24"/>
  <c r="K12" i="24"/>
  <c r="J12" i="24"/>
  <c r="I12" i="24"/>
  <c r="H12" i="24"/>
  <c r="G12" i="24"/>
  <c r="F12" i="24"/>
  <c r="E12" i="24"/>
  <c r="D12" i="24"/>
  <c r="C12" i="24"/>
  <c r="N10" i="24"/>
  <c r="M10" i="24"/>
  <c r="L10" i="24"/>
  <c r="K10" i="24"/>
  <c r="J10" i="24"/>
  <c r="H10" i="24"/>
  <c r="I10" i="24"/>
  <c r="G10" i="24"/>
  <c r="F10" i="24"/>
  <c r="E10" i="24"/>
  <c r="D10" i="24"/>
  <c r="C10" i="24"/>
  <c r="J43" i="28"/>
  <c r="I43" i="28"/>
  <c r="H43" i="28"/>
  <c r="G43" i="28"/>
  <c r="F43" i="28"/>
  <c r="E43" i="28"/>
  <c r="D43" i="28"/>
  <c r="C43" i="28"/>
  <c r="K43" i="28"/>
  <c r="D27" i="36" l="1"/>
  <c r="D28" i="36" s="1"/>
  <c r="D29" i="36" s="1"/>
  <c r="D31" i="36" s="1"/>
  <c r="L43" i="28"/>
  <c r="M43" i="28" s="1"/>
  <c r="N33" i="30"/>
  <c r="N47" i="30" s="1"/>
  <c r="N58" i="30" s="1"/>
  <c r="C21" i="30"/>
  <c r="C24" i="30" s="1"/>
  <c r="C15" i="24" s="1"/>
  <c r="C57" i="30"/>
  <c r="C60" i="30" s="1"/>
  <c r="C29" i="24" s="1"/>
  <c r="P18" i="24"/>
  <c r="Q18" i="24" s="1"/>
  <c r="P19" i="24"/>
  <c r="Q19" i="24" s="1"/>
  <c r="P25" i="23"/>
  <c r="C46" i="30"/>
  <c r="C49" i="30" s="1"/>
  <c r="C28" i="24" s="1"/>
  <c r="P46" i="24"/>
  <c r="Q46" i="24" s="1"/>
  <c r="C32" i="30"/>
  <c r="C35" i="30" s="1"/>
  <c r="C16" i="24" s="1"/>
  <c r="F13" i="30"/>
  <c r="F11" i="24" s="1"/>
  <c r="G13" i="30"/>
  <c r="G11" i="24" s="1"/>
  <c r="G19" i="30"/>
  <c r="G30" i="30" s="1"/>
  <c r="K19" i="30"/>
  <c r="K30" i="30" s="1"/>
  <c r="D19" i="30"/>
  <c r="H19" i="30"/>
  <c r="L19" i="30"/>
  <c r="E19" i="30"/>
  <c r="I19" i="30"/>
  <c r="M19" i="30"/>
  <c r="F19" i="30"/>
  <c r="J19" i="30"/>
  <c r="J30" i="30" s="1"/>
  <c r="K13" i="30"/>
  <c r="K11" i="24" s="1"/>
  <c r="E13" i="30"/>
  <c r="E11" i="24" s="1"/>
  <c r="I13" i="30"/>
  <c r="I11" i="24" s="1"/>
  <c r="C11" i="24"/>
  <c r="J13" i="30"/>
  <c r="J11" i="24" s="1"/>
  <c r="P44" i="24"/>
  <c r="Q44" i="24" s="1"/>
  <c r="P30" i="24"/>
  <c r="Q30" i="24" s="1"/>
  <c r="P31" i="24"/>
  <c r="Q31" i="24" s="1"/>
  <c r="P45" i="24"/>
  <c r="Q45" i="24" s="1"/>
  <c r="C62" i="24"/>
  <c r="C47" i="24" l="1"/>
  <c r="K32" i="30"/>
  <c r="K35" i="30" s="1"/>
  <c r="K16" i="24" s="1"/>
  <c r="K44" i="30"/>
  <c r="J32" i="30"/>
  <c r="J35" i="30" s="1"/>
  <c r="J16" i="24" s="1"/>
  <c r="J44" i="30"/>
  <c r="K21" i="30"/>
  <c r="K24" i="30" s="1"/>
  <c r="K15" i="24" s="1"/>
  <c r="G21" i="30"/>
  <c r="G24" i="30" s="1"/>
  <c r="G15" i="24" s="1"/>
  <c r="G32" i="30"/>
  <c r="G35" i="30" s="1"/>
  <c r="G16" i="24" s="1"/>
  <c r="G44" i="30"/>
  <c r="J21" i="30"/>
  <c r="J24" i="30" s="1"/>
  <c r="J15" i="24" s="1"/>
  <c r="M21" i="30"/>
  <c r="M24" i="30" s="1"/>
  <c r="M15" i="24" s="1"/>
  <c r="M30" i="30"/>
  <c r="M44" i="30" s="1"/>
  <c r="M55" i="30" s="1"/>
  <c r="M57" i="30" s="1"/>
  <c r="M60" i="30" s="1"/>
  <c r="M29" i="24" s="1"/>
  <c r="L21" i="30"/>
  <c r="L24" i="30" s="1"/>
  <c r="L15" i="24" s="1"/>
  <c r="L30" i="30"/>
  <c r="I21" i="30"/>
  <c r="I24" i="30" s="1"/>
  <c r="I15" i="24" s="1"/>
  <c r="I30" i="30"/>
  <c r="H21" i="30"/>
  <c r="H24" i="30" s="1"/>
  <c r="H15" i="24" s="1"/>
  <c r="H30" i="30"/>
  <c r="E21" i="30"/>
  <c r="E24" i="30" s="1"/>
  <c r="E15" i="24" s="1"/>
  <c r="E30" i="30"/>
  <c r="D21" i="30"/>
  <c r="D24" i="30" s="1"/>
  <c r="D15" i="24" s="1"/>
  <c r="D30" i="30"/>
  <c r="F21" i="30"/>
  <c r="F24" i="30" s="1"/>
  <c r="F15" i="24" s="1"/>
  <c r="F30" i="30"/>
  <c r="N10" i="30"/>
  <c r="N13" i="30" s="1"/>
  <c r="N11" i="24" s="1"/>
  <c r="N19" i="30"/>
  <c r="C21" i="24"/>
  <c r="K21" i="24" l="1"/>
  <c r="N21" i="30"/>
  <c r="N24" i="30" s="1"/>
  <c r="N15" i="24" s="1"/>
  <c r="P15" i="24" s="1"/>
  <c r="Q15" i="24" s="1"/>
  <c r="N30" i="30"/>
  <c r="N44" i="30" s="1"/>
  <c r="N55" i="30" s="1"/>
  <c r="N57" i="30" s="1"/>
  <c r="N60" i="30" s="1"/>
  <c r="N29" i="24" s="1"/>
  <c r="K46" i="30"/>
  <c r="K49" i="30" s="1"/>
  <c r="K28" i="24" s="1"/>
  <c r="K55" i="30"/>
  <c r="K57" i="30" s="1"/>
  <c r="K60" i="30" s="1"/>
  <c r="K29" i="24" s="1"/>
  <c r="J46" i="30"/>
  <c r="J49" i="30" s="1"/>
  <c r="J28" i="24" s="1"/>
  <c r="J55" i="30"/>
  <c r="J57" i="30" s="1"/>
  <c r="J60" i="30" s="1"/>
  <c r="J29" i="24" s="1"/>
  <c r="G46" i="30"/>
  <c r="G49" i="30" s="1"/>
  <c r="G28" i="24" s="1"/>
  <c r="G55" i="30"/>
  <c r="G57" i="30" s="1"/>
  <c r="G60" i="30" s="1"/>
  <c r="G29" i="24" s="1"/>
  <c r="G21" i="24"/>
  <c r="J21" i="24"/>
  <c r="D32" i="30"/>
  <c r="D35" i="30" s="1"/>
  <c r="D16" i="24" s="1"/>
  <c r="D21" i="24" s="1"/>
  <c r="D44" i="30"/>
  <c r="L32" i="30"/>
  <c r="L35" i="30" s="1"/>
  <c r="L16" i="24" s="1"/>
  <c r="L21" i="24" s="1"/>
  <c r="L44" i="30"/>
  <c r="F32" i="30"/>
  <c r="F35" i="30" s="1"/>
  <c r="F16" i="24" s="1"/>
  <c r="F21" i="24" s="1"/>
  <c r="F44" i="30"/>
  <c r="E32" i="30"/>
  <c r="E35" i="30" s="1"/>
  <c r="E16" i="24" s="1"/>
  <c r="E21" i="24" s="1"/>
  <c r="E44" i="30"/>
  <c r="I32" i="30"/>
  <c r="I35" i="30" s="1"/>
  <c r="I16" i="24" s="1"/>
  <c r="I21" i="24" s="1"/>
  <c r="I44" i="30"/>
  <c r="M46" i="30"/>
  <c r="M49" i="30" s="1"/>
  <c r="M28" i="24" s="1"/>
  <c r="M47" i="24" s="1"/>
  <c r="H32" i="30"/>
  <c r="H35" i="30" s="1"/>
  <c r="H16" i="24" s="1"/>
  <c r="H21" i="24" s="1"/>
  <c r="H44" i="30"/>
  <c r="M32" i="30"/>
  <c r="M35" i="30" s="1"/>
  <c r="M16" i="24" s="1"/>
  <c r="M21" i="24" s="1"/>
  <c r="N32" i="30" l="1"/>
  <c r="N35" i="30" s="1"/>
  <c r="N16" i="24" s="1"/>
  <c r="N21" i="24" s="1"/>
  <c r="N46" i="30"/>
  <c r="N49" i="30" s="1"/>
  <c r="N28" i="24" s="1"/>
  <c r="N47" i="24" s="1"/>
  <c r="L46" i="30"/>
  <c r="L49" i="30" s="1"/>
  <c r="L28" i="24" s="1"/>
  <c r="L55" i="30"/>
  <c r="L57" i="30" s="1"/>
  <c r="L60" i="30" s="1"/>
  <c r="L29" i="24" s="1"/>
  <c r="K47" i="24"/>
  <c r="J47" i="24"/>
  <c r="I46" i="30"/>
  <c r="I49" i="30" s="1"/>
  <c r="I28" i="24" s="1"/>
  <c r="I55" i="30"/>
  <c r="I57" i="30" s="1"/>
  <c r="I60" i="30" s="1"/>
  <c r="I29" i="24" s="1"/>
  <c r="H46" i="30"/>
  <c r="H49" i="30" s="1"/>
  <c r="H28" i="24" s="1"/>
  <c r="H55" i="30"/>
  <c r="H57" i="30" s="1"/>
  <c r="H60" i="30" s="1"/>
  <c r="H29" i="24" s="1"/>
  <c r="G47" i="24"/>
  <c r="F46" i="30"/>
  <c r="F49" i="30" s="1"/>
  <c r="F28" i="24" s="1"/>
  <c r="F55" i="30"/>
  <c r="F57" i="30" s="1"/>
  <c r="F60" i="30" s="1"/>
  <c r="F29" i="24" s="1"/>
  <c r="E46" i="30"/>
  <c r="E49" i="30" s="1"/>
  <c r="E28" i="24" s="1"/>
  <c r="E55" i="30"/>
  <c r="E57" i="30" s="1"/>
  <c r="E60" i="30" s="1"/>
  <c r="E29" i="24" s="1"/>
  <c r="D46" i="30"/>
  <c r="D49" i="30" s="1"/>
  <c r="D28" i="24" s="1"/>
  <c r="D55" i="30"/>
  <c r="D57" i="30" s="1"/>
  <c r="D60" i="30" s="1"/>
  <c r="D29" i="24" s="1"/>
  <c r="G15" i="27"/>
  <c r="G19" i="27" s="1"/>
  <c r="H44" i="21"/>
  <c r="D25" i="22" l="1"/>
  <c r="E53" i="21"/>
  <c r="E259" i="21" s="1"/>
  <c r="L47" i="24"/>
  <c r="I47" i="24"/>
  <c r="H47" i="24"/>
  <c r="F47" i="24"/>
  <c r="E47" i="24"/>
  <c r="D47" i="24"/>
  <c r="P18" i="26"/>
  <c r="E239" i="21" l="1"/>
  <c r="E106" i="21"/>
  <c r="E105" i="21"/>
  <c r="E104" i="21"/>
  <c r="E103" i="21"/>
  <c r="E102" i="21"/>
  <c r="E101" i="21"/>
  <c r="E100" i="21"/>
  <c r="E99" i="21"/>
  <c r="E238" i="21"/>
  <c r="E237" i="21"/>
  <c r="E46" i="21"/>
  <c r="H46" i="21" s="1"/>
  <c r="E236" i="21"/>
  <c r="E98" i="21"/>
  <c r="E235" i="21"/>
  <c r="E234" i="21"/>
  <c r="E233" i="21"/>
  <c r="E232" i="21"/>
  <c r="E231" i="21"/>
  <c r="E230" i="21"/>
  <c r="E229" i="21"/>
  <c r="E228" i="21"/>
  <c r="E227" i="21"/>
  <c r="E226" i="21"/>
  <c r="E225" i="21"/>
  <c r="E224" i="21"/>
  <c r="E223" i="21"/>
  <c r="E222" i="21"/>
  <c r="E221" i="21"/>
  <c r="E220" i="21"/>
  <c r="E219" i="21"/>
  <c r="E218" i="21"/>
  <c r="E217" i="21"/>
  <c r="E216" i="21"/>
  <c r="E215" i="21"/>
  <c r="E214" i="21"/>
  <c r="E213" i="21"/>
  <c r="E212" i="21"/>
  <c r="E211" i="21"/>
  <c r="E210" i="21"/>
  <c r="E209" i="21"/>
  <c r="E208" i="21"/>
  <c r="E207" i="21"/>
  <c r="E206" i="21"/>
  <c r="E205" i="21"/>
  <c r="E204" i="21"/>
  <c r="E203" i="21"/>
  <c r="E202" i="21"/>
  <c r="E201" i="21"/>
  <c r="E200" i="21"/>
  <c r="E199" i="21"/>
  <c r="E198" i="21"/>
  <c r="E197" i="21"/>
  <c r="E196" i="21"/>
  <c r="E195" i="21"/>
  <c r="E194" i="21"/>
  <c r="E193" i="21"/>
  <c r="E192" i="21"/>
  <c r="E191" i="21"/>
  <c r="E190" i="21"/>
  <c r="E189" i="21"/>
  <c r="E188" i="21"/>
  <c r="E187" i="21"/>
  <c r="E186" i="21"/>
  <c r="E185" i="21"/>
  <c r="E184" i="21"/>
  <c r="E183" i="21"/>
  <c r="E182" i="21"/>
  <c r="E181" i="21"/>
  <c r="E180" i="21"/>
  <c r="E179" i="21"/>
  <c r="E178" i="21"/>
  <c r="E177" i="21"/>
  <c r="E176" i="21"/>
  <c r="E175" i="21"/>
  <c r="E174" i="21"/>
  <c r="E173" i="21"/>
  <c r="E172" i="21"/>
  <c r="E171" i="21"/>
  <c r="E170" i="21"/>
  <c r="E169" i="21"/>
  <c r="E168" i="21"/>
  <c r="E167" i="21"/>
  <c r="E166" i="21"/>
  <c r="E165" i="21"/>
  <c r="E164" i="21"/>
  <c r="E163" i="21"/>
  <c r="E162" i="21"/>
  <c r="E161" i="21"/>
  <c r="E160" i="21"/>
  <c r="E159" i="21"/>
  <c r="E158" i="21"/>
  <c r="E157" i="21"/>
  <c r="E156" i="21"/>
  <c r="E155" i="21"/>
  <c r="E154" i="21"/>
  <c r="E153" i="21"/>
  <c r="E152" i="21"/>
  <c r="E151" i="21"/>
  <c r="E150" i="21"/>
  <c r="E149" i="21"/>
  <c r="E148" i="21"/>
  <c r="E147" i="21"/>
  <c r="E146" i="21"/>
  <c r="E145" i="21"/>
  <c r="E144" i="21"/>
  <c r="E143" i="21"/>
  <c r="E142" i="21"/>
  <c r="E141" i="21"/>
  <c r="E140" i="21"/>
  <c r="E139" i="21"/>
  <c r="E138" i="21"/>
  <c r="E137" i="21"/>
  <c r="E136" i="21"/>
  <c r="E135" i="21"/>
  <c r="E134" i="21"/>
  <c r="E133" i="21"/>
  <c r="E132" i="21"/>
  <c r="E131" i="21"/>
  <c r="E130" i="21"/>
  <c r="E129" i="21"/>
  <c r="E128" i="21"/>
  <c r="E127" i="21"/>
  <c r="E126" i="21"/>
  <c r="E125" i="21"/>
  <c r="E124" i="21"/>
  <c r="E123" i="21"/>
  <c r="E122" i="21"/>
  <c r="E121" i="21"/>
  <c r="E120" i="21"/>
  <c r="E119" i="21"/>
  <c r="E118" i="21"/>
  <c r="E117" i="21"/>
  <c r="E116" i="21"/>
  <c r="E115" i="21"/>
  <c r="E114" i="21"/>
  <c r="E97" i="21"/>
  <c r="E96" i="21"/>
  <c r="E95" i="21"/>
  <c r="E94" i="21"/>
  <c r="E93" i="21"/>
  <c r="E92" i="21"/>
  <c r="E91" i="21"/>
  <c r="E43" i="21"/>
  <c r="H43" i="21" s="1"/>
  <c r="E42" i="21"/>
  <c r="H42" i="21" s="1"/>
  <c r="D24" i="21"/>
  <c r="D25" i="21" s="1"/>
  <c r="D26" i="21" s="1"/>
  <c r="D27" i="21" s="1"/>
  <c r="D28" i="21" s="1"/>
  <c r="D29" i="21" s="1"/>
  <c r="D30" i="21" s="1"/>
  <c r="D31" i="21" s="1"/>
  <c r="D32" i="21" s="1"/>
  <c r="D33" i="21" s="1"/>
  <c r="D34" i="21" s="1"/>
  <c r="D35" i="21" s="1"/>
  <c r="D36" i="21" s="1"/>
  <c r="D37" i="21" s="1"/>
  <c r="D38" i="21" s="1"/>
  <c r="D39" i="21" s="1"/>
  <c r="D40" i="21" s="1"/>
  <c r="D41" i="21" s="1"/>
  <c r="D42" i="21" s="1"/>
  <c r="D43" i="21" s="1"/>
  <c r="D44" i="21" s="1"/>
  <c r="D45" i="21" s="1"/>
  <c r="D46" i="21" s="1"/>
  <c r="D47" i="21" s="1"/>
  <c r="O29" i="23"/>
  <c r="D22" i="22" s="1"/>
  <c r="N29" i="23"/>
  <c r="M29" i="23"/>
  <c r="L29" i="23"/>
  <c r="K29" i="23"/>
  <c r="J29" i="23"/>
  <c r="I29" i="23"/>
  <c r="H29" i="23"/>
  <c r="G29" i="23"/>
  <c r="F29" i="23"/>
  <c r="E29" i="23"/>
  <c r="D29" i="23"/>
  <c r="C29" i="23"/>
  <c r="O28" i="23"/>
  <c r="D21" i="22" s="1"/>
  <c r="N28" i="23"/>
  <c r="M28" i="23"/>
  <c r="L28" i="23"/>
  <c r="K28" i="23"/>
  <c r="J28" i="23"/>
  <c r="I28" i="23"/>
  <c r="H28" i="23"/>
  <c r="G28" i="23"/>
  <c r="F28" i="23"/>
  <c r="E28" i="23"/>
  <c r="D28" i="23"/>
  <c r="C28" i="23"/>
  <c r="O27" i="23"/>
  <c r="D20" i="22" s="1"/>
  <c r="N27" i="23"/>
  <c r="M27" i="23"/>
  <c r="L27" i="23"/>
  <c r="K27" i="23"/>
  <c r="J27" i="23"/>
  <c r="I27" i="23"/>
  <c r="H27" i="23"/>
  <c r="G27" i="23"/>
  <c r="F27" i="23"/>
  <c r="E27" i="23"/>
  <c r="D27" i="23"/>
  <c r="C27" i="23"/>
  <c r="O26" i="23"/>
  <c r="D18" i="22" s="1"/>
  <c r="N26" i="23"/>
  <c r="M26" i="23"/>
  <c r="L26" i="23"/>
  <c r="K26" i="23"/>
  <c r="J26" i="23"/>
  <c r="I26" i="23"/>
  <c r="H26" i="23"/>
  <c r="G26" i="23"/>
  <c r="F26" i="23"/>
  <c r="E26" i="23"/>
  <c r="D26" i="23"/>
  <c r="O17" i="23"/>
  <c r="D15" i="22" s="1"/>
  <c r="N17" i="23"/>
  <c r="M17" i="23"/>
  <c r="L17" i="23"/>
  <c r="K17" i="23"/>
  <c r="J17" i="23"/>
  <c r="I17" i="23"/>
  <c r="H17" i="23"/>
  <c r="G17" i="23"/>
  <c r="F17" i="23"/>
  <c r="E17" i="23"/>
  <c r="D17" i="23"/>
  <c r="C17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M8" i="23"/>
  <c r="L8" i="23"/>
  <c r="K8" i="23"/>
  <c r="O8" i="23"/>
  <c r="D10" i="22" s="1"/>
  <c r="N8" i="23"/>
  <c r="J8" i="23"/>
  <c r="I8" i="23"/>
  <c r="H8" i="23"/>
  <c r="G8" i="23"/>
  <c r="E8" i="23"/>
  <c r="F8" i="23"/>
  <c r="D8" i="23"/>
  <c r="C8" i="23"/>
  <c r="P11" i="23" l="1"/>
  <c r="D12" i="22"/>
  <c r="P10" i="23"/>
  <c r="P15" i="23"/>
  <c r="D19" i="22"/>
  <c r="D14" i="22"/>
  <c r="P16" i="23"/>
  <c r="D16" i="22"/>
  <c r="P13" i="23"/>
  <c r="P8" i="23"/>
  <c r="D11" i="22"/>
  <c r="P9" i="23"/>
  <c r="P14" i="23"/>
  <c r="E21" i="22"/>
  <c r="E19" i="22"/>
  <c r="E22" i="22"/>
  <c r="E20" i="22"/>
  <c r="E11" i="22"/>
  <c r="E12" i="22"/>
  <c r="E15" i="22"/>
  <c r="E63" i="21"/>
  <c r="E64" i="21"/>
  <c r="E37" i="21"/>
  <c r="H37" i="21" s="1"/>
  <c r="E28" i="21"/>
  <c r="H28" i="21" s="1"/>
  <c r="E27" i="21"/>
  <c r="H27" i="21" s="1"/>
  <c r="E24" i="21"/>
  <c r="H24" i="21" s="1"/>
  <c r="E23" i="21"/>
  <c r="E15" i="21"/>
  <c r="F23" i="26"/>
  <c r="B23" i="26"/>
  <c r="P19" i="26"/>
  <c r="J19" i="26"/>
  <c r="L19" i="26" s="1"/>
  <c r="C19" i="26"/>
  <c r="L18" i="26"/>
  <c r="D18" i="26"/>
  <c r="E18" i="26" s="1"/>
  <c r="G18" i="26" s="1"/>
  <c r="C18" i="26"/>
  <c r="P17" i="26"/>
  <c r="L17" i="26"/>
  <c r="D17" i="26"/>
  <c r="E17" i="26" s="1"/>
  <c r="G17" i="26" s="1"/>
  <c r="C17" i="26"/>
  <c r="P16" i="26"/>
  <c r="J16" i="26"/>
  <c r="L16" i="26" s="1"/>
  <c r="C16" i="26"/>
  <c r="P15" i="26"/>
  <c r="J15" i="26"/>
  <c r="D15" i="26" s="1"/>
  <c r="E15" i="26" s="1"/>
  <c r="G15" i="26" s="1"/>
  <c r="C15" i="26"/>
  <c r="P14" i="26"/>
  <c r="J14" i="26"/>
  <c r="D14" i="26" s="1"/>
  <c r="E14" i="26" s="1"/>
  <c r="G14" i="26" s="1"/>
  <c r="C14" i="26"/>
  <c r="P13" i="26"/>
  <c r="J13" i="26"/>
  <c r="L13" i="26" s="1"/>
  <c r="C13" i="26"/>
  <c r="P12" i="26"/>
  <c r="J12" i="26"/>
  <c r="L12" i="26" s="1"/>
  <c r="C12" i="26"/>
  <c r="D12" i="26" l="1"/>
  <c r="E12" i="26" s="1"/>
  <c r="G12" i="26" s="1"/>
  <c r="G25" i="26" s="1"/>
  <c r="M19" i="26"/>
  <c r="Q19" i="26" s="1"/>
  <c r="R19" i="26" s="1"/>
  <c r="D13" i="26"/>
  <c r="E13" i="26" s="1"/>
  <c r="G13" i="26" s="1"/>
  <c r="D16" i="26"/>
  <c r="E16" i="26" s="1"/>
  <c r="G16" i="26" s="1"/>
  <c r="M12" i="26"/>
  <c r="Q12" i="26" s="1"/>
  <c r="R12" i="26" s="1"/>
  <c r="L14" i="26"/>
  <c r="M14" i="26" s="1"/>
  <c r="Q14" i="26" s="1"/>
  <c r="R14" i="26" s="1"/>
  <c r="M17" i="26"/>
  <c r="Q17" i="26" s="1"/>
  <c r="R17" i="26" s="1"/>
  <c r="M16" i="26"/>
  <c r="Q16" i="26" s="1"/>
  <c r="R16" i="26" s="1"/>
  <c r="D27" i="22"/>
  <c r="D29" i="22" s="1"/>
  <c r="H64" i="21"/>
  <c r="E29" i="21"/>
  <c r="E241" i="21"/>
  <c r="L15" i="26"/>
  <c r="M15" i="26" s="1"/>
  <c r="Q15" i="26" s="1"/>
  <c r="R15" i="26" s="1"/>
  <c r="M18" i="26"/>
  <c r="Q18" i="26" s="1"/>
  <c r="R18" i="26" s="1"/>
  <c r="C23" i="26"/>
  <c r="M13" i="26"/>
  <c r="Q13" i="26" s="1"/>
  <c r="R13" i="26" s="1"/>
  <c r="D19" i="26"/>
  <c r="E19" i="26" s="1"/>
  <c r="G19" i="26" s="1"/>
  <c r="G24" i="26" l="1"/>
  <c r="M23" i="26"/>
  <c r="R25" i="26"/>
  <c r="E16" i="21" s="1"/>
  <c r="E109" i="21" s="1"/>
  <c r="E110" i="21" s="1"/>
  <c r="C12" i="34" s="1"/>
  <c r="C14" i="34" s="1"/>
  <c r="H29" i="21"/>
  <c r="D23" i="26"/>
  <c r="E23" i="26"/>
  <c r="R26" i="26"/>
  <c r="Q23" i="26"/>
  <c r="G23" i="26"/>
  <c r="S23" i="26" l="1"/>
  <c r="R23" i="26"/>
  <c r="E55" i="21"/>
  <c r="R27" i="26"/>
  <c r="H63" i="21"/>
  <c r="H15" i="21"/>
  <c r="D171" i="25"/>
  <c r="C171" i="25"/>
  <c r="D163" i="25"/>
  <c r="C163" i="25"/>
  <c r="D151" i="25"/>
  <c r="C151" i="25"/>
  <c r="D142" i="25"/>
  <c r="C142" i="25"/>
  <c r="D123" i="25"/>
  <c r="C123" i="25"/>
  <c r="C114" i="25"/>
  <c r="D109" i="25"/>
  <c r="D114" i="25" s="1"/>
  <c r="D103" i="25"/>
  <c r="C103" i="25"/>
  <c r="D93" i="25"/>
  <c r="C93" i="25"/>
  <c r="D81" i="25"/>
  <c r="C81" i="25"/>
  <c r="D72" i="25"/>
  <c r="C72" i="25"/>
  <c r="D61" i="25"/>
  <c r="C61" i="25"/>
  <c r="C52" i="25"/>
  <c r="D49" i="25"/>
  <c r="D52" i="25" s="1"/>
  <c r="D43" i="25"/>
  <c r="C43" i="25"/>
  <c r="D35" i="25"/>
  <c r="C35" i="25"/>
  <c r="D27" i="25"/>
  <c r="C27" i="25"/>
  <c r="D19" i="25"/>
  <c r="C19" i="25"/>
  <c r="D11" i="25"/>
  <c r="C11" i="25"/>
  <c r="M62" i="24"/>
  <c r="M54" i="24" s="1"/>
  <c r="L62" i="24"/>
  <c r="L54" i="24" s="1"/>
  <c r="K62" i="24"/>
  <c r="K54" i="24" s="1"/>
  <c r="J62" i="24"/>
  <c r="J54" i="24" s="1"/>
  <c r="I62" i="24"/>
  <c r="I54" i="24" s="1"/>
  <c r="H62" i="24"/>
  <c r="H54" i="24" s="1"/>
  <c r="G62" i="24"/>
  <c r="G54" i="24" s="1"/>
  <c r="F62" i="24"/>
  <c r="F54" i="24" s="1"/>
  <c r="E62" i="24"/>
  <c r="E54" i="24" s="1"/>
  <c r="D62" i="24"/>
  <c r="D54" i="24" s="1"/>
  <c r="C54" i="24"/>
  <c r="N62" i="24"/>
  <c r="Q51" i="24"/>
  <c r="Q50" i="24"/>
  <c r="Q48" i="24"/>
  <c r="I49" i="24"/>
  <c r="M49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P13" i="24"/>
  <c r="Q13" i="24" s="1"/>
  <c r="P30" i="23"/>
  <c r="P29" i="23"/>
  <c r="P28" i="23"/>
  <c r="P27" i="23"/>
  <c r="P26" i="23"/>
  <c r="P24" i="23"/>
  <c r="P23" i="23"/>
  <c r="P22" i="23"/>
  <c r="P21" i="23"/>
  <c r="P20" i="23"/>
  <c r="P19" i="23"/>
  <c r="P18" i="23"/>
  <c r="P17" i="23"/>
  <c r="C31" i="23"/>
  <c r="M31" i="23"/>
  <c r="I31" i="23"/>
  <c r="E31" i="23"/>
  <c r="E244" i="21"/>
  <c r="E16" i="22"/>
  <c r="E14" i="22"/>
  <c r="E13" i="22"/>
  <c r="E10" i="22"/>
  <c r="H57" i="21"/>
  <c r="H56" i="21"/>
  <c r="H53" i="21"/>
  <c r="D54" i="21"/>
  <c r="D55" i="21" s="1"/>
  <c r="D56" i="21" s="1"/>
  <c r="H52" i="21"/>
  <c r="H45" i="21"/>
  <c r="H25" i="21"/>
  <c r="H23" i="21"/>
  <c r="H17" i="21"/>
  <c r="H16" i="21"/>
  <c r="F18" i="21"/>
  <c r="N54" i="24" l="1"/>
  <c r="P54" i="24" s="1"/>
  <c r="Q54" i="24" s="1"/>
  <c r="E27" i="22"/>
  <c r="E29" i="22" s="1"/>
  <c r="D30" i="22" s="1"/>
  <c r="E35" i="21"/>
  <c r="H35" i="21" s="1"/>
  <c r="E247" i="21"/>
  <c r="E40" i="21"/>
  <c r="H40" i="21" s="1"/>
  <c r="E250" i="21"/>
  <c r="E33" i="21"/>
  <c r="H33" i="21" s="1"/>
  <c r="E245" i="21"/>
  <c r="E36" i="21"/>
  <c r="H36" i="21" s="1"/>
  <c r="E248" i="21"/>
  <c r="E41" i="21"/>
  <c r="H41" i="21" s="1"/>
  <c r="E251" i="21"/>
  <c r="E39" i="21"/>
  <c r="H39" i="21" s="1"/>
  <c r="E249" i="21"/>
  <c r="E38" i="21"/>
  <c r="H38" i="21" s="1"/>
  <c r="E254" i="21"/>
  <c r="E30" i="21"/>
  <c r="E242" i="21"/>
  <c r="E34" i="21"/>
  <c r="H34" i="21" s="1"/>
  <c r="E246" i="21"/>
  <c r="H55" i="21"/>
  <c r="E261" i="21"/>
  <c r="E49" i="24"/>
  <c r="P14" i="24"/>
  <c r="Q14" i="24" s="1"/>
  <c r="P16" i="24"/>
  <c r="Q16" i="24" s="1"/>
  <c r="P17" i="24"/>
  <c r="Q17" i="24" s="1"/>
  <c r="P28" i="24"/>
  <c r="Q28" i="24" s="1"/>
  <c r="P29" i="24"/>
  <c r="Q29" i="24" s="1"/>
  <c r="P35" i="24"/>
  <c r="Q35" i="24" s="1"/>
  <c r="P36" i="24"/>
  <c r="Q36" i="24" s="1"/>
  <c r="P37" i="24"/>
  <c r="Q37" i="24" s="1"/>
  <c r="P39" i="24"/>
  <c r="Q39" i="24" s="1"/>
  <c r="P42" i="24"/>
  <c r="Q42" i="24" s="1"/>
  <c r="F49" i="24"/>
  <c r="N49" i="24"/>
  <c r="J49" i="24"/>
  <c r="P40" i="24"/>
  <c r="Q40" i="24" s="1"/>
  <c r="P43" i="24"/>
  <c r="Q43" i="24" s="1"/>
  <c r="P27" i="24"/>
  <c r="P34" i="24"/>
  <c r="Q34" i="24" s="1"/>
  <c r="P38" i="24"/>
  <c r="Q38" i="24" s="1"/>
  <c r="P41" i="24"/>
  <c r="Q41" i="24" s="1"/>
  <c r="G49" i="24"/>
  <c r="P11" i="24"/>
  <c r="Q11" i="24" s="1"/>
  <c r="P12" i="24"/>
  <c r="Q12" i="24" s="1"/>
  <c r="D49" i="24"/>
  <c r="H49" i="24"/>
  <c r="L49" i="24"/>
  <c r="E32" i="21"/>
  <c r="H32" i="21" s="1"/>
  <c r="F31" i="23"/>
  <c r="J31" i="23"/>
  <c r="N31" i="23"/>
  <c r="G31" i="23"/>
  <c r="K31" i="23"/>
  <c r="O31" i="23"/>
  <c r="P31" i="23" s="1"/>
  <c r="P32" i="23" s="1"/>
  <c r="D31" i="23"/>
  <c r="H31" i="23"/>
  <c r="L31" i="23"/>
  <c r="F67" i="21"/>
  <c r="I67" i="21"/>
  <c r="I18" i="21"/>
  <c r="P10" i="24"/>
  <c r="D37" i="22" l="1"/>
  <c r="H30" i="21"/>
  <c r="P21" i="24"/>
  <c r="P47" i="24"/>
  <c r="Q47" i="24" s="1"/>
  <c r="Q27" i="24"/>
  <c r="K49" i="24"/>
  <c r="C49" i="24"/>
  <c r="I52" i="24" s="1"/>
  <c r="I55" i="24" s="1"/>
  <c r="Q10" i="24"/>
  <c r="Q21" i="24" l="1"/>
  <c r="P49" i="24"/>
  <c r="Q49" i="24" s="1"/>
  <c r="H52" i="24"/>
  <c r="H55" i="24" s="1"/>
  <c r="C52" i="24"/>
  <c r="C55" i="24" s="1"/>
  <c r="M52" i="24"/>
  <c r="M55" i="24" s="1"/>
  <c r="F52" i="24"/>
  <c r="F55" i="24" s="1"/>
  <c r="G52" i="24"/>
  <c r="G55" i="24" s="1"/>
  <c r="L52" i="24"/>
  <c r="L55" i="24" s="1"/>
  <c r="E52" i="24"/>
  <c r="E55" i="24" s="1"/>
  <c r="J52" i="24"/>
  <c r="J55" i="24" s="1"/>
  <c r="K52" i="24"/>
  <c r="K55" i="24" s="1"/>
  <c r="N52" i="24"/>
  <c r="N55" i="24" s="1"/>
  <c r="D52" i="24"/>
  <c r="D55" i="24" s="1"/>
  <c r="P52" i="24" l="1"/>
  <c r="Q52" i="24" s="1"/>
  <c r="Q55" i="24" s="1"/>
  <c r="E54" i="21" l="1"/>
  <c r="P55" i="24"/>
  <c r="E260" i="21" l="1"/>
  <c r="E268" i="21" s="1"/>
  <c r="F271" i="21" s="1"/>
  <c r="E22" i="1"/>
  <c r="AI90" i="10" l="1"/>
  <c r="AI89" i="10"/>
  <c r="H37" i="9" l="1"/>
  <c r="H15" i="9"/>
  <c r="O202" i="10" l="1"/>
  <c r="M202" i="10"/>
  <c r="K202" i="10"/>
  <c r="G202" i="10"/>
  <c r="E202" i="10"/>
  <c r="AE179" i="10"/>
  <c r="AC179" i="10"/>
  <c r="AA179" i="10"/>
  <c r="W179" i="10"/>
  <c r="U179" i="10"/>
  <c r="S179" i="10"/>
  <c r="O179" i="10"/>
  <c r="M179" i="10"/>
  <c r="K179" i="10"/>
  <c r="G179" i="10"/>
  <c r="E179" i="10"/>
  <c r="C179" i="10"/>
  <c r="AG259" i="10"/>
  <c r="AI259" i="10" s="1"/>
  <c r="AE262" i="10"/>
  <c r="AC262" i="10"/>
  <c r="AA262" i="10"/>
  <c r="W262" i="10"/>
  <c r="U262" i="10"/>
  <c r="S262" i="10"/>
  <c r="O262" i="10"/>
  <c r="M262" i="10"/>
  <c r="K262" i="10"/>
  <c r="G262" i="10"/>
  <c r="E262" i="10"/>
  <c r="C262" i="10"/>
  <c r="AG200" i="10"/>
  <c r="AG199" i="10"/>
  <c r="Y200" i="10"/>
  <c r="Y199" i="10"/>
  <c r="Q200" i="10"/>
  <c r="Q199" i="10"/>
  <c r="I200" i="10"/>
  <c r="I199" i="10"/>
  <c r="AG177" i="10"/>
  <c r="Y177" i="10"/>
  <c r="Q177" i="10"/>
  <c r="I177" i="10"/>
  <c r="C93" i="10"/>
  <c r="E33" i="9"/>
  <c r="H45" i="9"/>
  <c r="H22" i="9"/>
  <c r="B23" i="17" s="1"/>
  <c r="B43" i="17"/>
  <c r="B37" i="17"/>
  <c r="B13" i="17"/>
  <c r="B10" i="17"/>
  <c r="B36" i="17"/>
  <c r="G8" i="17"/>
  <c r="B29" i="17" s="1"/>
  <c r="H54" i="21" l="1"/>
  <c r="AI199" i="10"/>
  <c r="AI177" i="10"/>
  <c r="AI200" i="10"/>
  <c r="I202" i="10"/>
  <c r="AJ199" i="10"/>
  <c r="AJ259" i="10"/>
  <c r="AJ200" i="10"/>
  <c r="G10" i="17"/>
  <c r="E13" i="17"/>
  <c r="B38" i="17"/>
  <c r="G13" i="17" l="1"/>
  <c r="H7" i="17"/>
  <c r="C208" i="13"/>
  <c r="B205" i="13" s="1"/>
  <c r="C207" i="13"/>
  <c r="C148" i="13" l="1"/>
  <c r="C147" i="13"/>
  <c r="P552" i="1" l="1"/>
  <c r="O552" i="1"/>
  <c r="N552" i="1"/>
  <c r="M552" i="1"/>
  <c r="L552" i="1"/>
  <c r="K552" i="1"/>
  <c r="J552" i="1"/>
  <c r="I552" i="1"/>
  <c r="H552" i="1"/>
  <c r="G552" i="1"/>
  <c r="F552" i="1"/>
  <c r="E552" i="1"/>
  <c r="Q552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C36" i="9" s="1"/>
  <c r="Q277" i="1"/>
  <c r="E36" i="9" s="1"/>
  <c r="H36" i="9" l="1"/>
  <c r="B31" i="17" s="1"/>
  <c r="C128" i="13"/>
  <c r="C127" i="13"/>
  <c r="C108" i="13" l="1"/>
  <c r="C107" i="13"/>
  <c r="C88" i="13" l="1"/>
  <c r="B85" i="13" s="1"/>
  <c r="C87" i="13"/>
  <c r="E87" i="13"/>
  <c r="C28" i="13" l="1"/>
  <c r="B25" i="13" s="1"/>
  <c r="E27" i="13"/>
  <c r="C187" i="13" l="1"/>
  <c r="C188" i="13"/>
  <c r="B185" i="13" s="1"/>
  <c r="E499" i="1" l="1"/>
  <c r="Q530" i="1"/>
  <c r="P530" i="1"/>
  <c r="O530" i="1"/>
  <c r="N530" i="1"/>
  <c r="M530" i="1"/>
  <c r="L530" i="1"/>
  <c r="K530" i="1"/>
  <c r="J530" i="1"/>
  <c r="I530" i="1"/>
  <c r="H530" i="1"/>
  <c r="G530" i="1"/>
  <c r="F267" i="1" l="1"/>
  <c r="F176" i="1"/>
  <c r="F499" i="1"/>
  <c r="F530" i="1"/>
  <c r="G499" i="1"/>
  <c r="C268" i="3"/>
  <c r="B265" i="3" s="1"/>
  <c r="E267" i="3"/>
  <c r="H499" i="1" l="1"/>
  <c r="I499" i="1" l="1"/>
  <c r="J499" i="1" l="1"/>
  <c r="K499" i="1" l="1"/>
  <c r="L499" i="1" l="1"/>
  <c r="M499" i="1" l="1"/>
  <c r="N499" i="1" l="1"/>
  <c r="O499" i="1" l="1"/>
  <c r="Q499" i="1" l="1"/>
  <c r="P499" i="1"/>
  <c r="C248" i="3" l="1"/>
  <c r="B245" i="3" s="1"/>
  <c r="E247" i="3"/>
  <c r="C208" i="3"/>
  <c r="B205" i="3" l="1"/>
  <c r="E207" i="3"/>
  <c r="C188" i="3"/>
  <c r="H172" i="3" l="1"/>
  <c r="H168" i="3"/>
  <c r="H171" i="3" s="1"/>
  <c r="B90" i="1"/>
  <c r="C166" i="3"/>
  <c r="C167" i="3"/>
  <c r="B164" i="3" s="1"/>
  <c r="E166" i="3"/>
  <c r="H173" i="3" l="1"/>
  <c r="H175" i="3" s="1"/>
  <c r="H178" i="3" s="1"/>
  <c r="Q114" i="1" l="1"/>
  <c r="G233" i="1" l="1"/>
  <c r="F60" i="3" l="1"/>
  <c r="F58" i="3"/>
  <c r="C58" i="3"/>
  <c r="AJ177" i="10" l="1"/>
  <c r="AJ202" i="10"/>
  <c r="AG14" i="10"/>
  <c r="AG13" i="10"/>
  <c r="AG12" i="10"/>
  <c r="AG260" i="10"/>
  <c r="AG258" i="10"/>
  <c r="AG248" i="10"/>
  <c r="AG241" i="10"/>
  <c r="AG240" i="10"/>
  <c r="AG239" i="10"/>
  <c r="AG234" i="10"/>
  <c r="AG233" i="10"/>
  <c r="AG228" i="10"/>
  <c r="AG227" i="10"/>
  <c r="AG226" i="10"/>
  <c r="AG221" i="10"/>
  <c r="AG220" i="10"/>
  <c r="AG210" i="10"/>
  <c r="AG205" i="10"/>
  <c r="AG202" i="10"/>
  <c r="AG193" i="10"/>
  <c r="AG188" i="10"/>
  <c r="AG176" i="10"/>
  <c r="AG175" i="10"/>
  <c r="AG174" i="10"/>
  <c r="AG173" i="10"/>
  <c r="AG172" i="10"/>
  <c r="AG171" i="10"/>
  <c r="AG170" i="10"/>
  <c r="AG169" i="10"/>
  <c r="AG168" i="10"/>
  <c r="AG167" i="10"/>
  <c r="AG166" i="10"/>
  <c r="AG165" i="10"/>
  <c r="AG164" i="10"/>
  <c r="AG163" i="10"/>
  <c r="AG162" i="10"/>
  <c r="AG161" i="10"/>
  <c r="AG160" i="10"/>
  <c r="AG159" i="10"/>
  <c r="AG158" i="10"/>
  <c r="AG157" i="10"/>
  <c r="AG156" i="10"/>
  <c r="AG155" i="10"/>
  <c r="AG154" i="10"/>
  <c r="AG153" i="10"/>
  <c r="AG152" i="10"/>
  <c r="AG151" i="10"/>
  <c r="AG150" i="10"/>
  <c r="AG149" i="10"/>
  <c r="AG148" i="10"/>
  <c r="AG147" i="10"/>
  <c r="AG146" i="10"/>
  <c r="AG145" i="10"/>
  <c r="AG144" i="10"/>
  <c r="AG143" i="10"/>
  <c r="AG138" i="10"/>
  <c r="AG137" i="10"/>
  <c r="AG136" i="10"/>
  <c r="AG135" i="10"/>
  <c r="AG134" i="10"/>
  <c r="AG133" i="10"/>
  <c r="AG132" i="10"/>
  <c r="AG131" i="10"/>
  <c r="AG130" i="10"/>
  <c r="AG129" i="10"/>
  <c r="AG128" i="10"/>
  <c r="AG127" i="10"/>
  <c r="AG126" i="10"/>
  <c r="AG125" i="10"/>
  <c r="AG124" i="10"/>
  <c r="AG123" i="10"/>
  <c r="AG122" i="10"/>
  <c r="AG121" i="10"/>
  <c r="AG120" i="10"/>
  <c r="AG119" i="10"/>
  <c r="AG118" i="10"/>
  <c r="AG117" i="10"/>
  <c r="AG116" i="10"/>
  <c r="AG115" i="10"/>
  <c r="AG114" i="10"/>
  <c r="AG113" i="10"/>
  <c r="AG112" i="10"/>
  <c r="AG111" i="10"/>
  <c r="AG110" i="10"/>
  <c r="AG109" i="10"/>
  <c r="AG108" i="10"/>
  <c r="AG107" i="10"/>
  <c r="AG106" i="10"/>
  <c r="AG105" i="10"/>
  <c r="AG104" i="10"/>
  <c r="AG103" i="10"/>
  <c r="AG102" i="10"/>
  <c r="AG101" i="10"/>
  <c r="AG92" i="10"/>
  <c r="AG91" i="10"/>
  <c r="AG87" i="10"/>
  <c r="AG86" i="10"/>
  <c r="AG85" i="10"/>
  <c r="AG84" i="10"/>
  <c r="AG83" i="10"/>
  <c r="AG82" i="10"/>
  <c r="AG81" i="10"/>
  <c r="AG80" i="10"/>
  <c r="AG79" i="10"/>
  <c r="AG78" i="10"/>
  <c r="AG77" i="10"/>
  <c r="AG76" i="10"/>
  <c r="AG75" i="10"/>
  <c r="AG74" i="10"/>
  <c r="AG73" i="10"/>
  <c r="AG72" i="10"/>
  <c r="AG71" i="10"/>
  <c r="AG70" i="10"/>
  <c r="AG69" i="10"/>
  <c r="AG68" i="10"/>
  <c r="AG67" i="10"/>
  <c r="AG66" i="10"/>
  <c r="AG65" i="10"/>
  <c r="AG64" i="10"/>
  <c r="AG63" i="10"/>
  <c r="AG62" i="10"/>
  <c r="AG61" i="10"/>
  <c r="AG60" i="10"/>
  <c r="AG59" i="10"/>
  <c r="AG58" i="10"/>
  <c r="AG57" i="10"/>
  <c r="AG56" i="10"/>
  <c r="AG55" i="10"/>
  <c r="AG54" i="10"/>
  <c r="AG53" i="10"/>
  <c r="AG52" i="10"/>
  <c r="AG51" i="10"/>
  <c r="AG50" i="10"/>
  <c r="AG49" i="10"/>
  <c r="AG48" i="10"/>
  <c r="AG47" i="10"/>
  <c r="AG42" i="10"/>
  <c r="AG41" i="10"/>
  <c r="AG40" i="10"/>
  <c r="AG39" i="10"/>
  <c r="AG38" i="10"/>
  <c r="AG37" i="10"/>
  <c r="AG27" i="10"/>
  <c r="AG26" i="10"/>
  <c r="AG25" i="10"/>
  <c r="AG24" i="10"/>
  <c r="AG23" i="10"/>
  <c r="AG22" i="10"/>
  <c r="AG16" i="10"/>
  <c r="AG15" i="10"/>
  <c r="Y260" i="10"/>
  <c r="Y258" i="10"/>
  <c r="Y248" i="10"/>
  <c r="Y250" i="10" s="1"/>
  <c r="Y252" i="10" s="1"/>
  <c r="Y241" i="10"/>
  <c r="Y240" i="10"/>
  <c r="Y239" i="10"/>
  <c r="Y234" i="10"/>
  <c r="Y233" i="10"/>
  <c r="Y228" i="10"/>
  <c r="Y227" i="10"/>
  <c r="Y226" i="10"/>
  <c r="Y221" i="10"/>
  <c r="Y220" i="10"/>
  <c r="Y210" i="10"/>
  <c r="Y212" i="10" s="1"/>
  <c r="Y205" i="10"/>
  <c r="Y207" i="10" s="1"/>
  <c r="Y202" i="10"/>
  <c r="Y193" i="10"/>
  <c r="Y195" i="10" s="1"/>
  <c r="Y188" i="10"/>
  <c r="Y190" i="10" s="1"/>
  <c r="Y176" i="10"/>
  <c r="Y175" i="10"/>
  <c r="Y174" i="10"/>
  <c r="Y173" i="10"/>
  <c r="Y172" i="10"/>
  <c r="Y171" i="10"/>
  <c r="Y170" i="10"/>
  <c r="Y169" i="10"/>
  <c r="Y168" i="10"/>
  <c r="Y167" i="10"/>
  <c r="Y166" i="10"/>
  <c r="Y165" i="10"/>
  <c r="Y164" i="10"/>
  <c r="Y163" i="10"/>
  <c r="Y162" i="10"/>
  <c r="Y161" i="10"/>
  <c r="Y160" i="10"/>
  <c r="Y159" i="10"/>
  <c r="Y158" i="10"/>
  <c r="Y157" i="10"/>
  <c r="Y156" i="10"/>
  <c r="Y155" i="10"/>
  <c r="Y154" i="10"/>
  <c r="Y153" i="10"/>
  <c r="Y152" i="10"/>
  <c r="Y151" i="10"/>
  <c r="Y150" i="10"/>
  <c r="Y149" i="10"/>
  <c r="Y148" i="10"/>
  <c r="Y147" i="10"/>
  <c r="Y146" i="10"/>
  <c r="Y145" i="10"/>
  <c r="Y144" i="10"/>
  <c r="Y143" i="10"/>
  <c r="Y138" i="10"/>
  <c r="Y137" i="10"/>
  <c r="Y136" i="10"/>
  <c r="Y135" i="10"/>
  <c r="Y134" i="10"/>
  <c r="Y133" i="10"/>
  <c r="Y132" i="10"/>
  <c r="Y131" i="10"/>
  <c r="Y130" i="10"/>
  <c r="Y129" i="10"/>
  <c r="Y128" i="10"/>
  <c r="Y127" i="10"/>
  <c r="Y126" i="10"/>
  <c r="Y125" i="10"/>
  <c r="Y124" i="10"/>
  <c r="Y123" i="10"/>
  <c r="Y122" i="10"/>
  <c r="Y121" i="10"/>
  <c r="Y120" i="10"/>
  <c r="Y119" i="10"/>
  <c r="Y118" i="10"/>
  <c r="Y117" i="10"/>
  <c r="Y116" i="10"/>
  <c r="Y115" i="10"/>
  <c r="Y114" i="10"/>
  <c r="Y113" i="10"/>
  <c r="Y112" i="10"/>
  <c r="Y111" i="10"/>
  <c r="Y110" i="10"/>
  <c r="Y109" i="10"/>
  <c r="Y108" i="10"/>
  <c r="Y107" i="10"/>
  <c r="Y106" i="10"/>
  <c r="Y105" i="10"/>
  <c r="Y104" i="10"/>
  <c r="Y103" i="10"/>
  <c r="Y102" i="10"/>
  <c r="Y101" i="10"/>
  <c r="Y92" i="10"/>
  <c r="Y91" i="10"/>
  <c r="Y87" i="10"/>
  <c r="Y86" i="10"/>
  <c r="Y85" i="10"/>
  <c r="Y84" i="10"/>
  <c r="Y83" i="10"/>
  <c r="Y82" i="10"/>
  <c r="Y81" i="10"/>
  <c r="Y80" i="10"/>
  <c r="Y79" i="10"/>
  <c r="Y78" i="10"/>
  <c r="Y77" i="10"/>
  <c r="Y76" i="10"/>
  <c r="Y75" i="10"/>
  <c r="Y74" i="10"/>
  <c r="Y73" i="10"/>
  <c r="Y72" i="10"/>
  <c r="Y71" i="10"/>
  <c r="Y70" i="10"/>
  <c r="Y69" i="10"/>
  <c r="Y68" i="10"/>
  <c r="Y67" i="10"/>
  <c r="Y66" i="10"/>
  <c r="Y65" i="10"/>
  <c r="Y64" i="10"/>
  <c r="Y63" i="10"/>
  <c r="Y62" i="10"/>
  <c r="Y61" i="10"/>
  <c r="Y60" i="10"/>
  <c r="Y59" i="10"/>
  <c r="Y58" i="10"/>
  <c r="Y57" i="10"/>
  <c r="Y56" i="10"/>
  <c r="Y55" i="10"/>
  <c r="Y54" i="10"/>
  <c r="Y53" i="10"/>
  <c r="Y52" i="10"/>
  <c r="Y51" i="10"/>
  <c r="Y50" i="10"/>
  <c r="Y49" i="10"/>
  <c r="Y48" i="10"/>
  <c r="Y47" i="10"/>
  <c r="Y42" i="10"/>
  <c r="Y41" i="10"/>
  <c r="Y40" i="10"/>
  <c r="Y39" i="10"/>
  <c r="Y38" i="10"/>
  <c r="Y37" i="10"/>
  <c r="Y27" i="10"/>
  <c r="Y26" i="10"/>
  <c r="Y25" i="10"/>
  <c r="Y24" i="10"/>
  <c r="Y23" i="10"/>
  <c r="Y22" i="10"/>
  <c r="Y16" i="10"/>
  <c r="Y15" i="10"/>
  <c r="Y14" i="10"/>
  <c r="Y13" i="10"/>
  <c r="Y12" i="10"/>
  <c r="Q14" i="10"/>
  <c r="Q13" i="10"/>
  <c r="Q12" i="10"/>
  <c r="Q260" i="10"/>
  <c r="Q258" i="10"/>
  <c r="Q248" i="10"/>
  <c r="Q250" i="10" s="1"/>
  <c r="Q252" i="10" s="1"/>
  <c r="Q241" i="10"/>
  <c r="Q240" i="10"/>
  <c r="Q239" i="10"/>
  <c r="Q234" i="10"/>
  <c r="Q233" i="10"/>
  <c r="Q228" i="10"/>
  <c r="Q227" i="10"/>
  <c r="Q226" i="10"/>
  <c r="Q221" i="10"/>
  <c r="Q220" i="10"/>
  <c r="Q210" i="10"/>
  <c r="Q212" i="10" s="1"/>
  <c r="Q205" i="10"/>
  <c r="Q207" i="10" s="1"/>
  <c r="Q202" i="10"/>
  <c r="Q193" i="10"/>
  <c r="Q195" i="10" s="1"/>
  <c r="Q188" i="10"/>
  <c r="Q190" i="10" s="1"/>
  <c r="Q176" i="10"/>
  <c r="Q175" i="10"/>
  <c r="Q174" i="10"/>
  <c r="Q173" i="10"/>
  <c r="Q172" i="10"/>
  <c r="Q171" i="10"/>
  <c r="Q170" i="10"/>
  <c r="Q169" i="10"/>
  <c r="Q168" i="10"/>
  <c r="Q167" i="10"/>
  <c r="Q166" i="10"/>
  <c r="Q165" i="10"/>
  <c r="Q164" i="10"/>
  <c r="Q163" i="10"/>
  <c r="Q162" i="10"/>
  <c r="Q161" i="10"/>
  <c r="Q160" i="10"/>
  <c r="Q159" i="10"/>
  <c r="Q158" i="10"/>
  <c r="Q157" i="10"/>
  <c r="Q156" i="10"/>
  <c r="Q155" i="10"/>
  <c r="Q154" i="10"/>
  <c r="Q153" i="10"/>
  <c r="Q152" i="10"/>
  <c r="Q151" i="10"/>
  <c r="Q150" i="10"/>
  <c r="Q149" i="10"/>
  <c r="Q148" i="10"/>
  <c r="Q147" i="10"/>
  <c r="Q146" i="10"/>
  <c r="Q145" i="10"/>
  <c r="Q144" i="10"/>
  <c r="Q143" i="10"/>
  <c r="Q138" i="10"/>
  <c r="Q137" i="10"/>
  <c r="Q136" i="10"/>
  <c r="Q135" i="10"/>
  <c r="Q134" i="10"/>
  <c r="Q133" i="10"/>
  <c r="Q132" i="10"/>
  <c r="Q131" i="10"/>
  <c r="Q130" i="10"/>
  <c r="Q129" i="10"/>
  <c r="Q128" i="10"/>
  <c r="Q127" i="10"/>
  <c r="Q126" i="10"/>
  <c r="Q125" i="10"/>
  <c r="Q124" i="10"/>
  <c r="Q123" i="10"/>
  <c r="Q122" i="10"/>
  <c r="Q121" i="10"/>
  <c r="Q120" i="10"/>
  <c r="Q119" i="10"/>
  <c r="Q118" i="10"/>
  <c r="Q117" i="10"/>
  <c r="Q116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92" i="10"/>
  <c r="Q91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2" i="10"/>
  <c r="Q41" i="10"/>
  <c r="Q40" i="10"/>
  <c r="Q39" i="10"/>
  <c r="Q38" i="10"/>
  <c r="Q37" i="10"/>
  <c r="Q27" i="10"/>
  <c r="Q26" i="10"/>
  <c r="Q25" i="10"/>
  <c r="Q24" i="10"/>
  <c r="Q23" i="10"/>
  <c r="Q22" i="10"/>
  <c r="Q16" i="10"/>
  <c r="Q15" i="10"/>
  <c r="I260" i="10"/>
  <c r="I258" i="10"/>
  <c r="I248" i="10"/>
  <c r="I250" i="10" s="1"/>
  <c r="I252" i="10" s="1"/>
  <c r="I241" i="10"/>
  <c r="I240" i="10"/>
  <c r="I239" i="10"/>
  <c r="I234" i="10"/>
  <c r="I233" i="10"/>
  <c r="I228" i="10"/>
  <c r="I227" i="10"/>
  <c r="I226" i="10"/>
  <c r="I221" i="10"/>
  <c r="I220" i="10"/>
  <c r="I210" i="10"/>
  <c r="I212" i="10" s="1"/>
  <c r="I205" i="10"/>
  <c r="I207" i="10" s="1"/>
  <c r="I193" i="10"/>
  <c r="I195" i="10" s="1"/>
  <c r="I188" i="10"/>
  <c r="I190" i="10" s="1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92" i="10"/>
  <c r="I91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2" i="10"/>
  <c r="I41" i="10"/>
  <c r="I40" i="10"/>
  <c r="I39" i="10"/>
  <c r="I38" i="10"/>
  <c r="I37" i="10"/>
  <c r="I27" i="10"/>
  <c r="I26" i="10"/>
  <c r="I25" i="10"/>
  <c r="I24" i="10"/>
  <c r="I23" i="10"/>
  <c r="I22" i="10"/>
  <c r="I16" i="10"/>
  <c r="I15" i="10"/>
  <c r="I14" i="10"/>
  <c r="I13" i="10"/>
  <c r="I12" i="10"/>
  <c r="V161" i="10"/>
  <c r="T161" i="10"/>
  <c r="N176" i="10"/>
  <c r="L154" i="10"/>
  <c r="H171" i="10"/>
  <c r="F175" i="10"/>
  <c r="AE202" i="10"/>
  <c r="AC202" i="10"/>
  <c r="AA202" i="10"/>
  <c r="W202" i="10"/>
  <c r="U202" i="10"/>
  <c r="S202" i="10"/>
  <c r="C202" i="10"/>
  <c r="C264" i="10"/>
  <c r="C243" i="10"/>
  <c r="E223" i="10"/>
  <c r="C223" i="10"/>
  <c r="M207" i="10"/>
  <c r="K207" i="10"/>
  <c r="G207" i="10"/>
  <c r="E207" i="10"/>
  <c r="C207" i="10"/>
  <c r="AE195" i="10"/>
  <c r="AC195" i="10"/>
  <c r="AA195" i="10"/>
  <c r="W195" i="10"/>
  <c r="U195" i="10"/>
  <c r="S195" i="10"/>
  <c r="O195" i="10"/>
  <c r="M195" i="10"/>
  <c r="K195" i="10"/>
  <c r="G195" i="10"/>
  <c r="E195" i="10"/>
  <c r="C195" i="10"/>
  <c r="G44" i="10"/>
  <c r="H42" i="10" s="1"/>
  <c r="E44" i="10"/>
  <c r="F42" i="10" s="1"/>
  <c r="C44" i="10"/>
  <c r="D38" i="10" s="1"/>
  <c r="K29" i="10"/>
  <c r="G88" i="10"/>
  <c r="H84" i="10" s="1"/>
  <c r="E88" i="10"/>
  <c r="F85" i="10" s="1"/>
  <c r="AE93" i="10"/>
  <c r="AC93" i="10"/>
  <c r="AA93" i="10"/>
  <c r="W93" i="10"/>
  <c r="U93" i="10"/>
  <c r="S93" i="10"/>
  <c r="O93" i="10"/>
  <c r="M93" i="10"/>
  <c r="K93" i="10"/>
  <c r="G93" i="10"/>
  <c r="H92" i="10" s="1"/>
  <c r="E93" i="10"/>
  <c r="AE88" i="10"/>
  <c r="AC88" i="10"/>
  <c r="AA88" i="10"/>
  <c r="AB55" i="10" s="1"/>
  <c r="W88" i="10"/>
  <c r="U88" i="10"/>
  <c r="V87" i="10" s="1"/>
  <c r="S88" i="10"/>
  <c r="T87" i="10" s="1"/>
  <c r="O88" i="10"/>
  <c r="P86" i="10" s="1"/>
  <c r="M88" i="10"/>
  <c r="N80" i="10" s="1"/>
  <c r="K88" i="10"/>
  <c r="L87" i="10" s="1"/>
  <c r="C88" i="10"/>
  <c r="D83" i="10" s="1"/>
  <c r="G407" i="1"/>
  <c r="F407" i="1"/>
  <c r="E407" i="1"/>
  <c r="E408" i="1" s="1"/>
  <c r="E410" i="1" s="1"/>
  <c r="G15" i="9"/>
  <c r="E262" i="1"/>
  <c r="C35" i="9" s="1"/>
  <c r="E129" i="1"/>
  <c r="E16" i="1"/>
  <c r="Q44" i="10" l="1"/>
  <c r="R40" i="10" s="1"/>
  <c r="Y44" i="10"/>
  <c r="AI15" i="10"/>
  <c r="AI37" i="10"/>
  <c r="AI49" i="10"/>
  <c r="AI57" i="10"/>
  <c r="AI65" i="10"/>
  <c r="AI73" i="10"/>
  <c r="AI81" i="10"/>
  <c r="AI92" i="10"/>
  <c r="AI108" i="10"/>
  <c r="AI116" i="10"/>
  <c r="AI124" i="10"/>
  <c r="AI132" i="10"/>
  <c r="AI144" i="10"/>
  <c r="AI152" i="10"/>
  <c r="AI160" i="10"/>
  <c r="AI168" i="10"/>
  <c r="AI22" i="10"/>
  <c r="AI39" i="10"/>
  <c r="AI51" i="10"/>
  <c r="AI59" i="10"/>
  <c r="AI67" i="10"/>
  <c r="AI75" i="10"/>
  <c r="AI83" i="10"/>
  <c r="AI102" i="10"/>
  <c r="AI110" i="10"/>
  <c r="AI118" i="10"/>
  <c r="AI126" i="10"/>
  <c r="AI134" i="10"/>
  <c r="AI146" i="10"/>
  <c r="AI154" i="10"/>
  <c r="AI162" i="10"/>
  <c r="AI170" i="10"/>
  <c r="AI228" i="10"/>
  <c r="AI260" i="10"/>
  <c r="AI176" i="10"/>
  <c r="AI226" i="10"/>
  <c r="AG250" i="10"/>
  <c r="AI248" i="10"/>
  <c r="AI16" i="10"/>
  <c r="AI38" i="10"/>
  <c r="AI50" i="10"/>
  <c r="AI58" i="10"/>
  <c r="AI66" i="10"/>
  <c r="AI74" i="10"/>
  <c r="AI82" i="10"/>
  <c r="AI101" i="10"/>
  <c r="AI109" i="10"/>
  <c r="AI117" i="10"/>
  <c r="AI125" i="10"/>
  <c r="AI133" i="10"/>
  <c r="AI145" i="10"/>
  <c r="AI153" i="10"/>
  <c r="AI161" i="10"/>
  <c r="AI169" i="10"/>
  <c r="AG190" i="10"/>
  <c r="AI190" i="10" s="1"/>
  <c r="AI188" i="10"/>
  <c r="AI227" i="10"/>
  <c r="AI258" i="10"/>
  <c r="AI23" i="10"/>
  <c r="AI40" i="10"/>
  <c r="AI52" i="10"/>
  <c r="AI60" i="10"/>
  <c r="AI68" i="10"/>
  <c r="AI76" i="10"/>
  <c r="AI84" i="10"/>
  <c r="AI103" i="10"/>
  <c r="AI111" i="10"/>
  <c r="AI119" i="10"/>
  <c r="AI127" i="10"/>
  <c r="AI135" i="10"/>
  <c r="AI147" i="10"/>
  <c r="AI155" i="10"/>
  <c r="AI163" i="10"/>
  <c r="AI171" i="10"/>
  <c r="AI202" i="10"/>
  <c r="AI233" i="10"/>
  <c r="AI12" i="10"/>
  <c r="AI24" i="10"/>
  <c r="AI41" i="10"/>
  <c r="AI53" i="10"/>
  <c r="AI61" i="10"/>
  <c r="AI69" i="10"/>
  <c r="AI77" i="10"/>
  <c r="AI85" i="10"/>
  <c r="AI104" i="10"/>
  <c r="AI112" i="10"/>
  <c r="AI120" i="10"/>
  <c r="AI128" i="10"/>
  <c r="AI136" i="10"/>
  <c r="AI148" i="10"/>
  <c r="AI156" i="10"/>
  <c r="AI164" i="10"/>
  <c r="AI172" i="10"/>
  <c r="AG207" i="10"/>
  <c r="AI207" i="10" s="1"/>
  <c r="AI205" i="10"/>
  <c r="AI234" i="10"/>
  <c r="AI13" i="10"/>
  <c r="AG195" i="10"/>
  <c r="AI195" i="10" s="1"/>
  <c r="AI193" i="10"/>
  <c r="AI25" i="10"/>
  <c r="AI42" i="10"/>
  <c r="AI54" i="10"/>
  <c r="AI62" i="10"/>
  <c r="AI70" i="10"/>
  <c r="AI78" i="10"/>
  <c r="AI86" i="10"/>
  <c r="AI105" i="10"/>
  <c r="AI113" i="10"/>
  <c r="AI121" i="10"/>
  <c r="AI129" i="10"/>
  <c r="AI137" i="10"/>
  <c r="AI149" i="10"/>
  <c r="AI157" i="10"/>
  <c r="AI165" i="10"/>
  <c r="AI173" i="10"/>
  <c r="AG212" i="10"/>
  <c r="AI212" i="10" s="1"/>
  <c r="AI210" i="10"/>
  <c r="AI239" i="10"/>
  <c r="AI14" i="10"/>
  <c r="AI26" i="10"/>
  <c r="AI47" i="10"/>
  <c r="AI55" i="10"/>
  <c r="AI63" i="10"/>
  <c r="AI71" i="10"/>
  <c r="AI79" i="10"/>
  <c r="AI87" i="10"/>
  <c r="AI106" i="10"/>
  <c r="AI114" i="10"/>
  <c r="AI122" i="10"/>
  <c r="AI130" i="10"/>
  <c r="AI138" i="10"/>
  <c r="AI150" i="10"/>
  <c r="AI158" i="10"/>
  <c r="AI166" i="10"/>
  <c r="AI174" i="10"/>
  <c r="AI220" i="10"/>
  <c r="AI240" i="10"/>
  <c r="AI27" i="10"/>
  <c r="AI48" i="10"/>
  <c r="AI56" i="10"/>
  <c r="AI64" i="10"/>
  <c r="AI72" i="10"/>
  <c r="AI80" i="10"/>
  <c r="AI91" i="10"/>
  <c r="AI107" i="10"/>
  <c r="AI115" i="10"/>
  <c r="AI123" i="10"/>
  <c r="AI131" i="10"/>
  <c r="AI143" i="10"/>
  <c r="AI151" i="10"/>
  <c r="AI159" i="10"/>
  <c r="AI167" i="10"/>
  <c r="AI175" i="10"/>
  <c r="AI221" i="10"/>
  <c r="AI241" i="10"/>
  <c r="AJ92" i="10"/>
  <c r="AJ91" i="10"/>
  <c r="Y262" i="10"/>
  <c r="Y264" i="10" s="1"/>
  <c r="Y243" i="10"/>
  <c r="I214" i="10"/>
  <c r="Q262" i="10"/>
  <c r="Q264" i="10" s="1"/>
  <c r="Q214" i="10"/>
  <c r="Y214" i="10"/>
  <c r="I179" i="10"/>
  <c r="J170" i="10" s="1"/>
  <c r="Q179" i="10"/>
  <c r="Y179" i="10"/>
  <c r="Z158" i="10" s="1"/>
  <c r="AG179" i="10"/>
  <c r="AG262" i="10"/>
  <c r="AJ260" i="10"/>
  <c r="AJ258" i="10"/>
  <c r="I262" i="10"/>
  <c r="J260" i="10" s="1"/>
  <c r="AJ234" i="10"/>
  <c r="Q236" i="10"/>
  <c r="R234" i="10" s="1"/>
  <c r="AJ106" i="10"/>
  <c r="AJ114" i="10"/>
  <c r="AJ122" i="10"/>
  <c r="AJ130" i="10"/>
  <c r="AJ138" i="10"/>
  <c r="AJ150" i="10"/>
  <c r="AJ158" i="10"/>
  <c r="AJ166" i="10"/>
  <c r="AJ174" i="10"/>
  <c r="AJ27" i="10"/>
  <c r="AJ107" i="10"/>
  <c r="AJ115" i="10"/>
  <c r="AJ123" i="10"/>
  <c r="AJ131" i="10"/>
  <c r="AJ143" i="10"/>
  <c r="AJ151" i="10"/>
  <c r="AJ159" i="10"/>
  <c r="AJ167" i="10"/>
  <c r="AJ175" i="10"/>
  <c r="AJ23" i="10"/>
  <c r="AJ40" i="10"/>
  <c r="AJ52" i="10"/>
  <c r="AJ60" i="10"/>
  <c r="AJ68" i="10"/>
  <c r="AJ76" i="10"/>
  <c r="AJ84" i="10"/>
  <c r="AJ12" i="10"/>
  <c r="AJ220" i="10"/>
  <c r="AJ240" i="10"/>
  <c r="AJ227" i="10"/>
  <c r="AJ101" i="10"/>
  <c r="AJ109" i="10"/>
  <c r="AJ117" i="10"/>
  <c r="AJ125" i="10"/>
  <c r="AJ133" i="10"/>
  <c r="AJ145" i="10"/>
  <c r="AJ153" i="10"/>
  <c r="AJ161" i="10"/>
  <c r="AJ169" i="10"/>
  <c r="Y93" i="10"/>
  <c r="Z91" i="10" s="1"/>
  <c r="AJ104" i="10"/>
  <c r="AJ112" i="10"/>
  <c r="AJ120" i="10"/>
  <c r="AJ128" i="10"/>
  <c r="AJ136" i="10"/>
  <c r="AJ148" i="10"/>
  <c r="AJ156" i="10"/>
  <c r="AJ164" i="10"/>
  <c r="AJ172" i="10"/>
  <c r="AJ15" i="10"/>
  <c r="AJ37" i="10"/>
  <c r="AJ49" i="10"/>
  <c r="AJ57" i="10"/>
  <c r="AJ65" i="10"/>
  <c r="AJ73" i="10"/>
  <c r="AJ81" i="10"/>
  <c r="AJ103" i="10"/>
  <c r="AJ111" i="10"/>
  <c r="AJ119" i="10"/>
  <c r="AJ127" i="10"/>
  <c r="AJ135" i="10"/>
  <c r="AJ147" i="10"/>
  <c r="AJ155" i="10"/>
  <c r="AJ163" i="10"/>
  <c r="AJ171" i="10"/>
  <c r="Q19" i="10"/>
  <c r="R14" i="10" s="1"/>
  <c r="AJ24" i="10"/>
  <c r="AJ41" i="10"/>
  <c r="AJ239" i="10"/>
  <c r="AJ13" i="10"/>
  <c r="AJ26" i="10"/>
  <c r="AJ221" i="10"/>
  <c r="AJ241" i="10"/>
  <c r="AG93" i="10"/>
  <c r="AJ25" i="10"/>
  <c r="AJ42" i="10"/>
  <c r="AJ105" i="10"/>
  <c r="AJ113" i="10"/>
  <c r="AJ121" i="10"/>
  <c r="AJ129" i="10"/>
  <c r="AJ137" i="10"/>
  <c r="AJ149" i="10"/>
  <c r="AJ157" i="10"/>
  <c r="AJ165" i="10"/>
  <c r="AJ173" i="10"/>
  <c r="AJ14" i="10"/>
  <c r="AJ226" i="10"/>
  <c r="AG19" i="10"/>
  <c r="AH12" i="10" s="1"/>
  <c r="AJ108" i="10"/>
  <c r="AJ116" i="10"/>
  <c r="AJ124" i="10"/>
  <c r="AJ132" i="10"/>
  <c r="AJ144" i="10"/>
  <c r="AJ152" i="10"/>
  <c r="AJ160" i="10"/>
  <c r="AJ168" i="10"/>
  <c r="AJ176" i="10"/>
  <c r="AJ16" i="10"/>
  <c r="AJ38" i="10"/>
  <c r="AJ50" i="10"/>
  <c r="AJ58" i="10"/>
  <c r="AJ66" i="10"/>
  <c r="AJ74" i="10"/>
  <c r="AJ82" i="10"/>
  <c r="AJ228" i="10"/>
  <c r="Q93" i="10"/>
  <c r="R91" i="10" s="1"/>
  <c r="AJ22" i="10"/>
  <c r="AJ39" i="10"/>
  <c r="AJ102" i="10"/>
  <c r="AJ110" i="10"/>
  <c r="AJ118" i="10"/>
  <c r="AJ126" i="10"/>
  <c r="AJ134" i="10"/>
  <c r="AJ146" i="10"/>
  <c r="AJ154" i="10"/>
  <c r="AJ162" i="10"/>
  <c r="AJ170" i="10"/>
  <c r="I236" i="10"/>
  <c r="J234" i="10" s="1"/>
  <c r="Y19" i="10"/>
  <c r="Z15" i="10" s="1"/>
  <c r="AG236" i="10"/>
  <c r="AJ205" i="10"/>
  <c r="AJ207" i="10" s="1"/>
  <c r="AJ53" i="10"/>
  <c r="AJ61" i="10"/>
  <c r="AJ69" i="10"/>
  <c r="AJ77" i="10"/>
  <c r="AJ85" i="10"/>
  <c r="AJ51" i="10"/>
  <c r="AJ59" i="10"/>
  <c r="AJ67" i="10"/>
  <c r="AJ75" i="10"/>
  <c r="AJ83" i="10"/>
  <c r="AJ54" i="10"/>
  <c r="AJ70" i="10"/>
  <c r="AJ78" i="10"/>
  <c r="AJ86" i="10"/>
  <c r="AJ47" i="10"/>
  <c r="AJ55" i="10"/>
  <c r="AJ63" i="10"/>
  <c r="AJ71" i="10"/>
  <c r="AJ79" i="10"/>
  <c r="AJ87" i="10"/>
  <c r="AJ48" i="10"/>
  <c r="AJ56" i="10"/>
  <c r="AJ64" i="10"/>
  <c r="AJ72" i="10"/>
  <c r="AJ80" i="10"/>
  <c r="AJ210" i="10"/>
  <c r="AJ212" i="10" s="1"/>
  <c r="AJ248" i="10"/>
  <c r="AJ250" i="10" s="1"/>
  <c r="AJ62" i="10"/>
  <c r="Y236" i="10"/>
  <c r="Z234" i="10" s="1"/>
  <c r="AG88" i="10"/>
  <c r="AG243" i="10"/>
  <c r="AJ188" i="10"/>
  <c r="AJ190" i="10" s="1"/>
  <c r="AJ193" i="10"/>
  <c r="AJ195" i="10" s="1"/>
  <c r="AJ233" i="10"/>
  <c r="AG140" i="10"/>
  <c r="AG223" i="10"/>
  <c r="AG230" i="10"/>
  <c r="AG44" i="10"/>
  <c r="AH38" i="10" s="1"/>
  <c r="AG29" i="10"/>
  <c r="AH22" i="10" s="1"/>
  <c r="Z258" i="10"/>
  <c r="Y88" i="10"/>
  <c r="Z53" i="10" s="1"/>
  <c r="Y140" i="10"/>
  <c r="Z121" i="10" s="1"/>
  <c r="Y223" i="10"/>
  <c r="Y230" i="10"/>
  <c r="Z227" i="10" s="1"/>
  <c r="Y29" i="10"/>
  <c r="Z24" i="10" s="1"/>
  <c r="Z39" i="10"/>
  <c r="R171" i="10"/>
  <c r="Q243" i="10"/>
  <c r="Q88" i="10"/>
  <c r="R54" i="10" s="1"/>
  <c r="Q140" i="10"/>
  <c r="R113" i="10" s="1"/>
  <c r="Q223" i="10"/>
  <c r="Q230" i="10"/>
  <c r="Q29" i="10"/>
  <c r="I44" i="10"/>
  <c r="J42" i="10" s="1"/>
  <c r="I88" i="10"/>
  <c r="J82" i="10" s="1"/>
  <c r="I243" i="10"/>
  <c r="I29" i="10"/>
  <c r="J26" i="10" s="1"/>
  <c r="F70" i="10"/>
  <c r="I230" i="10"/>
  <c r="J227" i="10" s="1"/>
  <c r="F160" i="10"/>
  <c r="I93" i="10"/>
  <c r="J91" i="10" s="1"/>
  <c r="F168" i="10"/>
  <c r="F176" i="10"/>
  <c r="H49" i="10"/>
  <c r="H155" i="10"/>
  <c r="F54" i="10"/>
  <c r="H169" i="10"/>
  <c r="F62" i="10"/>
  <c r="I223" i="10"/>
  <c r="J221" i="10" s="1"/>
  <c r="I140" i="10"/>
  <c r="I19" i="10"/>
  <c r="L145" i="10"/>
  <c r="F78" i="10"/>
  <c r="H60" i="10"/>
  <c r="N63" i="10"/>
  <c r="L71" i="10"/>
  <c r="F86" i="10"/>
  <c r="H71" i="10"/>
  <c r="F144" i="10"/>
  <c r="H81" i="10"/>
  <c r="F152" i="10"/>
  <c r="H145" i="10"/>
  <c r="AD92" i="10"/>
  <c r="AD91" i="10"/>
  <c r="AF92" i="10"/>
  <c r="AF91" i="10"/>
  <c r="X172" i="10"/>
  <c r="X164" i="10"/>
  <c r="X156" i="10"/>
  <c r="X148" i="10"/>
  <c r="X171" i="10"/>
  <c r="X163" i="10"/>
  <c r="X155" i="10"/>
  <c r="X147" i="10"/>
  <c r="X170" i="10"/>
  <c r="X162" i="10"/>
  <c r="X154" i="10"/>
  <c r="X146" i="10"/>
  <c r="X176" i="10"/>
  <c r="X168" i="10"/>
  <c r="X160" i="10"/>
  <c r="X152" i="10"/>
  <c r="X144" i="10"/>
  <c r="X175" i="10"/>
  <c r="X167" i="10"/>
  <c r="X159" i="10"/>
  <c r="X151" i="10"/>
  <c r="X143" i="10"/>
  <c r="X174" i="10"/>
  <c r="X166" i="10"/>
  <c r="X158" i="10"/>
  <c r="X150" i="10"/>
  <c r="X165" i="10"/>
  <c r="X161" i="10"/>
  <c r="X157" i="10"/>
  <c r="X149" i="10"/>
  <c r="X145" i="10"/>
  <c r="X173" i="10"/>
  <c r="X169" i="10"/>
  <c r="F47" i="10"/>
  <c r="F55" i="10"/>
  <c r="F63" i="10"/>
  <c r="F71" i="10"/>
  <c r="F79" i="10"/>
  <c r="F87" i="10"/>
  <c r="F145" i="10"/>
  <c r="F153" i="10"/>
  <c r="F161" i="10"/>
  <c r="F169" i="10"/>
  <c r="H37" i="10"/>
  <c r="H51" i="10"/>
  <c r="H61" i="10"/>
  <c r="H72" i="10"/>
  <c r="H83" i="10"/>
  <c r="H146" i="10"/>
  <c r="H157" i="10"/>
  <c r="H170" i="10"/>
  <c r="L72" i="10"/>
  <c r="L146" i="10"/>
  <c r="N64" i="10"/>
  <c r="V47" i="10"/>
  <c r="V144" i="10"/>
  <c r="X153" i="10"/>
  <c r="X82" i="10"/>
  <c r="X74" i="10"/>
  <c r="X66" i="10"/>
  <c r="X58" i="10"/>
  <c r="X50" i="10"/>
  <c r="X81" i="10"/>
  <c r="X73" i="10"/>
  <c r="X65" i="10"/>
  <c r="X57" i="10"/>
  <c r="X49" i="10"/>
  <c r="X80" i="10"/>
  <c r="X72" i="10"/>
  <c r="X64" i="10"/>
  <c r="X56" i="10"/>
  <c r="X48" i="10"/>
  <c r="X86" i="10"/>
  <c r="X78" i="10"/>
  <c r="X70" i="10"/>
  <c r="X62" i="10"/>
  <c r="X54" i="10"/>
  <c r="X85" i="10"/>
  <c r="X77" i="10"/>
  <c r="X69" i="10"/>
  <c r="X61" i="10"/>
  <c r="X53" i="10"/>
  <c r="X84" i="10"/>
  <c r="X76" i="10"/>
  <c r="X68" i="10"/>
  <c r="X60" i="10"/>
  <c r="X52" i="10"/>
  <c r="X59" i="10"/>
  <c r="X87" i="10"/>
  <c r="X55" i="10"/>
  <c r="X83" i="10"/>
  <c r="X51" i="10"/>
  <c r="X75" i="10"/>
  <c r="X71" i="10"/>
  <c r="X79" i="10"/>
  <c r="X67" i="10"/>
  <c r="N92" i="10"/>
  <c r="N91" i="10"/>
  <c r="AB172" i="10"/>
  <c r="AB164" i="10"/>
  <c r="AB156" i="10"/>
  <c r="AB148" i="10"/>
  <c r="AB171" i="10"/>
  <c r="AB163" i="10"/>
  <c r="AB155" i="10"/>
  <c r="AB147" i="10"/>
  <c r="AB170" i="10"/>
  <c r="AB162" i="10"/>
  <c r="AB154" i="10"/>
  <c r="AB146" i="10"/>
  <c r="AB169" i="10"/>
  <c r="AB161" i="10"/>
  <c r="AB153" i="10"/>
  <c r="AB145" i="10"/>
  <c r="AB176" i="10"/>
  <c r="AB168" i="10"/>
  <c r="AB160" i="10"/>
  <c r="AB152" i="10"/>
  <c r="AB144" i="10"/>
  <c r="AB175" i="10"/>
  <c r="AB167" i="10"/>
  <c r="AB159" i="10"/>
  <c r="AB151" i="10"/>
  <c r="AB143" i="10"/>
  <c r="AB174" i="10"/>
  <c r="AB166" i="10"/>
  <c r="AB158" i="10"/>
  <c r="AB150" i="10"/>
  <c r="AB149" i="10"/>
  <c r="AB173" i="10"/>
  <c r="AB165" i="10"/>
  <c r="AB157" i="10"/>
  <c r="F37" i="10"/>
  <c r="F48" i="10"/>
  <c r="F56" i="10"/>
  <c r="F64" i="10"/>
  <c r="F72" i="10"/>
  <c r="F80" i="10"/>
  <c r="F146" i="10"/>
  <c r="F154" i="10"/>
  <c r="F162" i="10"/>
  <c r="F170" i="10"/>
  <c r="F220" i="10"/>
  <c r="H38" i="10"/>
  <c r="H52" i="10"/>
  <c r="H63" i="10"/>
  <c r="H73" i="10"/>
  <c r="H147" i="10"/>
  <c r="H158" i="10"/>
  <c r="L47" i="10"/>
  <c r="L79" i="10"/>
  <c r="L153" i="10"/>
  <c r="N71" i="10"/>
  <c r="N153" i="10"/>
  <c r="P62" i="10"/>
  <c r="P156" i="10"/>
  <c r="T63" i="10"/>
  <c r="T160" i="10"/>
  <c r="V66" i="10"/>
  <c r="V175" i="10"/>
  <c r="V167" i="10"/>
  <c r="V159" i="10"/>
  <c r="V151" i="10"/>
  <c r="V143" i="10"/>
  <c r="V174" i="10"/>
  <c r="V166" i="10"/>
  <c r="V158" i="10"/>
  <c r="V150" i="10"/>
  <c r="V173" i="10"/>
  <c r="V165" i="10"/>
  <c r="V157" i="10"/>
  <c r="V149" i="10"/>
  <c r="V171" i="10"/>
  <c r="V163" i="10"/>
  <c r="V155" i="10"/>
  <c r="V147" i="10"/>
  <c r="V170" i="10"/>
  <c r="V162" i="10"/>
  <c r="V154" i="10"/>
  <c r="V146" i="10"/>
  <c r="V160" i="10"/>
  <c r="V156" i="10"/>
  <c r="V176" i="10"/>
  <c r="V153" i="10"/>
  <c r="V172" i="10"/>
  <c r="V152" i="10"/>
  <c r="V169" i="10"/>
  <c r="V148" i="10"/>
  <c r="V168" i="10"/>
  <c r="V145" i="10"/>
  <c r="AB82" i="10"/>
  <c r="AB74" i="10"/>
  <c r="AB66" i="10"/>
  <c r="AB58" i="10"/>
  <c r="AB50" i="10"/>
  <c r="AB81" i="10"/>
  <c r="AB73" i="10"/>
  <c r="AB65" i="10"/>
  <c r="AB57" i="10"/>
  <c r="AB49" i="10"/>
  <c r="AB80" i="10"/>
  <c r="AB72" i="10"/>
  <c r="AB64" i="10"/>
  <c r="AB56" i="10"/>
  <c r="AB48" i="10"/>
  <c r="AB86" i="10"/>
  <c r="AB78" i="10"/>
  <c r="AB70" i="10"/>
  <c r="AB62" i="10"/>
  <c r="AB54" i="10"/>
  <c r="AB85" i="10"/>
  <c r="AB77" i="10"/>
  <c r="AB69" i="10"/>
  <c r="AB61" i="10"/>
  <c r="AB53" i="10"/>
  <c r="AB84" i="10"/>
  <c r="AB76" i="10"/>
  <c r="AB68" i="10"/>
  <c r="AB60" i="10"/>
  <c r="AB52" i="10"/>
  <c r="AB83" i="10"/>
  <c r="AB51" i="10"/>
  <c r="AB79" i="10"/>
  <c r="AB47" i="10"/>
  <c r="AB75" i="10"/>
  <c r="AB67" i="10"/>
  <c r="AB63" i="10"/>
  <c r="AB87" i="10"/>
  <c r="AB71" i="10"/>
  <c r="P91" i="10"/>
  <c r="P92" i="10"/>
  <c r="H86" i="10"/>
  <c r="H78" i="10"/>
  <c r="H70" i="10"/>
  <c r="H62" i="10"/>
  <c r="H54" i="10"/>
  <c r="H82" i="10"/>
  <c r="H74" i="10"/>
  <c r="H66" i="10"/>
  <c r="H58" i="10"/>
  <c r="H50" i="10"/>
  <c r="H176" i="10"/>
  <c r="H168" i="10"/>
  <c r="H160" i="10"/>
  <c r="H152" i="10"/>
  <c r="H144" i="10"/>
  <c r="H174" i="10"/>
  <c r="H166" i="10"/>
  <c r="H173" i="10"/>
  <c r="H165" i="10"/>
  <c r="H172" i="10"/>
  <c r="H164" i="10"/>
  <c r="H156" i="10"/>
  <c r="H148" i="10"/>
  <c r="AD172" i="10"/>
  <c r="AD164" i="10"/>
  <c r="AD156" i="10"/>
  <c r="AD148" i="10"/>
  <c r="AD171" i="10"/>
  <c r="AD163" i="10"/>
  <c r="AD155" i="10"/>
  <c r="AD147" i="10"/>
  <c r="AD170" i="10"/>
  <c r="AD162" i="10"/>
  <c r="AD154" i="10"/>
  <c r="AD146" i="10"/>
  <c r="AD169" i="10"/>
  <c r="AD161" i="10"/>
  <c r="AD153" i="10"/>
  <c r="AD145" i="10"/>
  <c r="AD176" i="10"/>
  <c r="AD168" i="10"/>
  <c r="AD160" i="10"/>
  <c r="AD152" i="10"/>
  <c r="AD144" i="10"/>
  <c r="AD175" i="10"/>
  <c r="AD167" i="10"/>
  <c r="AD159" i="10"/>
  <c r="AD151" i="10"/>
  <c r="AD143" i="10"/>
  <c r="AD174" i="10"/>
  <c r="AD166" i="10"/>
  <c r="AD158" i="10"/>
  <c r="AD150" i="10"/>
  <c r="AD173" i="10"/>
  <c r="AD165" i="10"/>
  <c r="AD157" i="10"/>
  <c r="AD149" i="10"/>
  <c r="F38" i="10"/>
  <c r="F49" i="10"/>
  <c r="F57" i="10"/>
  <c r="F65" i="10"/>
  <c r="F73" i="10"/>
  <c r="F81" i="10"/>
  <c r="F91" i="10"/>
  <c r="F147" i="10"/>
  <c r="F155" i="10"/>
  <c r="F163" i="10"/>
  <c r="F171" i="10"/>
  <c r="F221" i="10"/>
  <c r="H40" i="10"/>
  <c r="H53" i="10"/>
  <c r="H64" i="10"/>
  <c r="H75" i="10"/>
  <c r="H85" i="10"/>
  <c r="H149" i="10"/>
  <c r="H159" i="10"/>
  <c r="H175" i="10"/>
  <c r="L48" i="10"/>
  <c r="L80" i="10"/>
  <c r="N72" i="10"/>
  <c r="N156" i="10"/>
  <c r="P63" i="10"/>
  <c r="P160" i="10"/>
  <c r="T66" i="10"/>
  <c r="V70" i="10"/>
  <c r="V164" i="10"/>
  <c r="AB59" i="10"/>
  <c r="AD82" i="10"/>
  <c r="AD74" i="10"/>
  <c r="AD66" i="10"/>
  <c r="AD58" i="10"/>
  <c r="AD50" i="10"/>
  <c r="AD81" i="10"/>
  <c r="AD73" i="10"/>
  <c r="AD65" i="10"/>
  <c r="AD57" i="10"/>
  <c r="AD49" i="10"/>
  <c r="AD80" i="10"/>
  <c r="AD72" i="10"/>
  <c r="AD64" i="10"/>
  <c r="AD56" i="10"/>
  <c r="AD48" i="10"/>
  <c r="AD87" i="10"/>
  <c r="AD79" i="10"/>
  <c r="AD71" i="10"/>
  <c r="AD63" i="10"/>
  <c r="AD55" i="10"/>
  <c r="AD47" i="10"/>
  <c r="AD86" i="10"/>
  <c r="AD78" i="10"/>
  <c r="AD70" i="10"/>
  <c r="AD62" i="10"/>
  <c r="AD54" i="10"/>
  <c r="AD85" i="10"/>
  <c r="AD77" i="10"/>
  <c r="AD69" i="10"/>
  <c r="AD61" i="10"/>
  <c r="AD53" i="10"/>
  <c r="AD84" i="10"/>
  <c r="AD76" i="10"/>
  <c r="AD68" i="10"/>
  <c r="AD60" i="10"/>
  <c r="AD52" i="10"/>
  <c r="AD83" i="10"/>
  <c r="AD67" i="10"/>
  <c r="AD59" i="10"/>
  <c r="AD75" i="10"/>
  <c r="AD51" i="10"/>
  <c r="T91" i="10"/>
  <c r="T92" i="10"/>
  <c r="L27" i="10"/>
  <c r="L26" i="10"/>
  <c r="L25" i="10"/>
  <c r="L24" i="10"/>
  <c r="L23" i="10"/>
  <c r="L176" i="10"/>
  <c r="L168" i="10"/>
  <c r="L160" i="10"/>
  <c r="L152" i="10"/>
  <c r="L144" i="10"/>
  <c r="L175" i="10"/>
  <c r="L167" i="10"/>
  <c r="L159" i="10"/>
  <c r="L151" i="10"/>
  <c r="L143" i="10"/>
  <c r="L174" i="10"/>
  <c r="L166" i="10"/>
  <c r="L158" i="10"/>
  <c r="L150" i="10"/>
  <c r="L173" i="10"/>
  <c r="L165" i="10"/>
  <c r="L157" i="10"/>
  <c r="L149" i="10"/>
  <c r="L172" i="10"/>
  <c r="L164" i="10"/>
  <c r="L156" i="10"/>
  <c r="L148" i="10"/>
  <c r="L171" i="10"/>
  <c r="L163" i="10"/>
  <c r="L155" i="10"/>
  <c r="L147" i="10"/>
  <c r="AF172" i="10"/>
  <c r="AF164" i="10"/>
  <c r="AF156" i="10"/>
  <c r="AF148" i="10"/>
  <c r="AF171" i="10"/>
  <c r="AF163" i="10"/>
  <c r="AF155" i="10"/>
  <c r="AF147" i="10"/>
  <c r="AF170" i="10"/>
  <c r="AF162" i="10"/>
  <c r="AF154" i="10"/>
  <c r="AF146" i="10"/>
  <c r="AF169" i="10"/>
  <c r="AF161" i="10"/>
  <c r="AF153" i="10"/>
  <c r="AF145" i="10"/>
  <c r="AF176" i="10"/>
  <c r="AF168" i="10"/>
  <c r="AF160" i="10"/>
  <c r="AF152" i="10"/>
  <c r="AF144" i="10"/>
  <c r="AF175" i="10"/>
  <c r="AF167" i="10"/>
  <c r="AF159" i="10"/>
  <c r="AF151" i="10"/>
  <c r="AF143" i="10"/>
  <c r="AF174" i="10"/>
  <c r="AF166" i="10"/>
  <c r="AF158" i="10"/>
  <c r="AF150" i="10"/>
  <c r="AF165" i="10"/>
  <c r="AF157" i="10"/>
  <c r="AF173" i="10"/>
  <c r="AF149" i="10"/>
  <c r="F39" i="10"/>
  <c r="F50" i="10"/>
  <c r="F58" i="10"/>
  <c r="F66" i="10"/>
  <c r="F74" i="10"/>
  <c r="F82" i="10"/>
  <c r="F92" i="10"/>
  <c r="F148" i="10"/>
  <c r="F156" i="10"/>
  <c r="F164" i="10"/>
  <c r="F172" i="10"/>
  <c r="H41" i="10"/>
  <c r="H55" i="10"/>
  <c r="H65" i="10"/>
  <c r="H76" i="10"/>
  <c r="H87" i="10"/>
  <c r="H150" i="10"/>
  <c r="H161" i="10"/>
  <c r="L55" i="10"/>
  <c r="L161" i="10"/>
  <c r="N47" i="10"/>
  <c r="N79" i="10"/>
  <c r="P82" i="10"/>
  <c r="T86" i="10"/>
  <c r="L86" i="10"/>
  <c r="L78" i="10"/>
  <c r="L70" i="10"/>
  <c r="L62" i="10"/>
  <c r="L54" i="10"/>
  <c r="L85" i="10"/>
  <c r="L77" i="10"/>
  <c r="L69" i="10"/>
  <c r="L61" i="10"/>
  <c r="L53" i="10"/>
  <c r="L84" i="10"/>
  <c r="L76" i="10"/>
  <c r="L68" i="10"/>
  <c r="L60" i="10"/>
  <c r="L52" i="10"/>
  <c r="L83" i="10"/>
  <c r="L75" i="10"/>
  <c r="L67" i="10"/>
  <c r="L59" i="10"/>
  <c r="L51" i="10"/>
  <c r="L82" i="10"/>
  <c r="L74" i="10"/>
  <c r="L66" i="10"/>
  <c r="L58" i="10"/>
  <c r="L50" i="10"/>
  <c r="L81" i="10"/>
  <c r="L73" i="10"/>
  <c r="L65" i="10"/>
  <c r="L57" i="10"/>
  <c r="L49" i="10"/>
  <c r="AF82" i="10"/>
  <c r="AF74" i="10"/>
  <c r="AF66" i="10"/>
  <c r="AF58" i="10"/>
  <c r="AF50" i="10"/>
  <c r="AF81" i="10"/>
  <c r="AF73" i="10"/>
  <c r="AF65" i="10"/>
  <c r="AF57" i="10"/>
  <c r="AF49" i="10"/>
  <c r="AF80" i="10"/>
  <c r="AF72" i="10"/>
  <c r="AF64" i="10"/>
  <c r="AF56" i="10"/>
  <c r="AF48" i="10"/>
  <c r="AF87" i="10"/>
  <c r="AF79" i="10"/>
  <c r="AF71" i="10"/>
  <c r="AF63" i="10"/>
  <c r="AF55" i="10"/>
  <c r="AF47" i="10"/>
  <c r="AF86" i="10"/>
  <c r="AF78" i="10"/>
  <c r="AF70" i="10"/>
  <c r="AF62" i="10"/>
  <c r="AF54" i="10"/>
  <c r="AF85" i="10"/>
  <c r="AF77" i="10"/>
  <c r="AF69" i="10"/>
  <c r="AF61" i="10"/>
  <c r="AF53" i="10"/>
  <c r="AF84" i="10"/>
  <c r="AF76" i="10"/>
  <c r="AF68" i="10"/>
  <c r="AF60" i="10"/>
  <c r="AF52" i="10"/>
  <c r="AF59" i="10"/>
  <c r="AF51" i="10"/>
  <c r="AF83" i="10"/>
  <c r="AF75" i="10"/>
  <c r="AF67" i="10"/>
  <c r="V91" i="10"/>
  <c r="N175" i="10"/>
  <c r="N167" i="10"/>
  <c r="N159" i="10"/>
  <c r="N151" i="10"/>
  <c r="N143" i="10"/>
  <c r="N174" i="10"/>
  <c r="N166" i="10"/>
  <c r="N158" i="10"/>
  <c r="N150" i="10"/>
  <c r="N173" i="10"/>
  <c r="N165" i="10"/>
  <c r="N157" i="10"/>
  <c r="N149" i="10"/>
  <c r="N171" i="10"/>
  <c r="N163" i="10"/>
  <c r="N155" i="10"/>
  <c r="N170" i="10"/>
  <c r="N162" i="10"/>
  <c r="N154" i="10"/>
  <c r="N146" i="10"/>
  <c r="N172" i="10"/>
  <c r="N152" i="10"/>
  <c r="N169" i="10"/>
  <c r="N148" i="10"/>
  <c r="N168" i="10"/>
  <c r="N147" i="10"/>
  <c r="N164" i="10"/>
  <c r="N145" i="10"/>
  <c r="N161" i="10"/>
  <c r="N144" i="10"/>
  <c r="N160" i="10"/>
  <c r="F40" i="10"/>
  <c r="F51" i="10"/>
  <c r="F59" i="10"/>
  <c r="F67" i="10"/>
  <c r="F75" i="10"/>
  <c r="F83" i="10"/>
  <c r="F149" i="10"/>
  <c r="F157" i="10"/>
  <c r="F165" i="10"/>
  <c r="F173" i="10"/>
  <c r="H56" i="10"/>
  <c r="H67" i="10"/>
  <c r="H77" i="10"/>
  <c r="H151" i="10"/>
  <c r="H162" i="10"/>
  <c r="L56" i="10"/>
  <c r="L162" i="10"/>
  <c r="N48" i="10"/>
  <c r="V92" i="10"/>
  <c r="T85" i="10"/>
  <c r="T77" i="10"/>
  <c r="T69" i="10"/>
  <c r="T61" i="10"/>
  <c r="T53" i="10"/>
  <c r="T84" i="10"/>
  <c r="T76" i="10"/>
  <c r="T68" i="10"/>
  <c r="T60" i="10"/>
  <c r="T52" i="10"/>
  <c r="T83" i="10"/>
  <c r="T75" i="10"/>
  <c r="T67" i="10"/>
  <c r="T59" i="10"/>
  <c r="T51" i="10"/>
  <c r="T81" i="10"/>
  <c r="T73" i="10"/>
  <c r="T65" i="10"/>
  <c r="T57" i="10"/>
  <c r="T49" i="10"/>
  <c r="T80" i="10"/>
  <c r="T72" i="10"/>
  <c r="T64" i="10"/>
  <c r="T56" i="10"/>
  <c r="T48" i="10"/>
  <c r="T82" i="10"/>
  <c r="T62" i="10"/>
  <c r="T79" i="10"/>
  <c r="T58" i="10"/>
  <c r="T78" i="10"/>
  <c r="T55" i="10"/>
  <c r="T74" i="10"/>
  <c r="T54" i="10"/>
  <c r="T71" i="10"/>
  <c r="T50" i="10"/>
  <c r="T70" i="10"/>
  <c r="T47" i="10"/>
  <c r="L92" i="10"/>
  <c r="L91" i="10"/>
  <c r="N86" i="10"/>
  <c r="N78" i="10"/>
  <c r="N70" i="10"/>
  <c r="N62" i="10"/>
  <c r="N54" i="10"/>
  <c r="N85" i="10"/>
  <c r="N77" i="10"/>
  <c r="N69" i="10"/>
  <c r="N61" i="10"/>
  <c r="N53" i="10"/>
  <c r="N84" i="10"/>
  <c r="N76" i="10"/>
  <c r="N68" i="10"/>
  <c r="N60" i="10"/>
  <c r="N52" i="10"/>
  <c r="N83" i="10"/>
  <c r="N75" i="10"/>
  <c r="N67" i="10"/>
  <c r="N59" i="10"/>
  <c r="N51" i="10"/>
  <c r="N82" i="10"/>
  <c r="N74" i="10"/>
  <c r="N66" i="10"/>
  <c r="N58" i="10"/>
  <c r="N50" i="10"/>
  <c r="N81" i="10"/>
  <c r="N73" i="10"/>
  <c r="N65" i="10"/>
  <c r="N57" i="10"/>
  <c r="N49" i="10"/>
  <c r="X92" i="10"/>
  <c r="X91" i="10"/>
  <c r="P175" i="10"/>
  <c r="P167" i="10"/>
  <c r="P159" i="10"/>
  <c r="P151" i="10"/>
  <c r="P143" i="10"/>
  <c r="P174" i="10"/>
  <c r="P166" i="10"/>
  <c r="P158" i="10"/>
  <c r="P150" i="10"/>
  <c r="P173" i="10"/>
  <c r="P165" i="10"/>
  <c r="P157" i="10"/>
  <c r="P149" i="10"/>
  <c r="P171" i="10"/>
  <c r="P163" i="10"/>
  <c r="P155" i="10"/>
  <c r="P147" i="10"/>
  <c r="P170" i="10"/>
  <c r="P162" i="10"/>
  <c r="P154" i="10"/>
  <c r="P146" i="10"/>
  <c r="P176" i="10"/>
  <c r="P153" i="10"/>
  <c r="P172" i="10"/>
  <c r="P152" i="10"/>
  <c r="P169" i="10"/>
  <c r="P148" i="10"/>
  <c r="P168" i="10"/>
  <c r="P145" i="10"/>
  <c r="P164" i="10"/>
  <c r="P144" i="10"/>
  <c r="P161" i="10"/>
  <c r="F41" i="10"/>
  <c r="F52" i="10"/>
  <c r="F60" i="10"/>
  <c r="F68" i="10"/>
  <c r="F76" i="10"/>
  <c r="F84" i="10"/>
  <c r="F150" i="10"/>
  <c r="F158" i="10"/>
  <c r="F166" i="10"/>
  <c r="F174" i="10"/>
  <c r="H47" i="10"/>
  <c r="H57" i="10"/>
  <c r="H68" i="10"/>
  <c r="H79" i="10"/>
  <c r="H91" i="10"/>
  <c r="H153" i="10"/>
  <c r="H163" i="10"/>
  <c r="L63" i="10"/>
  <c r="L169" i="10"/>
  <c r="N55" i="10"/>
  <c r="N87" i="10"/>
  <c r="X47" i="10"/>
  <c r="V85" i="10"/>
  <c r="V77" i="10"/>
  <c r="V69" i="10"/>
  <c r="V61" i="10"/>
  <c r="V53" i="10"/>
  <c r="V84" i="10"/>
  <c r="V76" i="10"/>
  <c r="V68" i="10"/>
  <c r="V60" i="10"/>
  <c r="V52" i="10"/>
  <c r="V83" i="10"/>
  <c r="V75" i="10"/>
  <c r="V67" i="10"/>
  <c r="V59" i="10"/>
  <c r="V51" i="10"/>
  <c r="V81" i="10"/>
  <c r="V73" i="10"/>
  <c r="V65" i="10"/>
  <c r="V57" i="10"/>
  <c r="V49" i="10"/>
  <c r="V80" i="10"/>
  <c r="V72" i="10"/>
  <c r="V64" i="10"/>
  <c r="V56" i="10"/>
  <c r="V48" i="10"/>
  <c r="V86" i="10"/>
  <c r="V63" i="10"/>
  <c r="V82" i="10"/>
  <c r="V62" i="10"/>
  <c r="V79" i="10"/>
  <c r="V58" i="10"/>
  <c r="V78" i="10"/>
  <c r="V55" i="10"/>
  <c r="V74" i="10"/>
  <c r="V54" i="10"/>
  <c r="V71" i="10"/>
  <c r="V50" i="10"/>
  <c r="P85" i="10"/>
  <c r="P77" i="10"/>
  <c r="P69" i="10"/>
  <c r="P61" i="10"/>
  <c r="P53" i="10"/>
  <c r="P84" i="10"/>
  <c r="P76" i="10"/>
  <c r="P68" i="10"/>
  <c r="P60" i="10"/>
  <c r="P52" i="10"/>
  <c r="P83" i="10"/>
  <c r="P75" i="10"/>
  <c r="P67" i="10"/>
  <c r="P59" i="10"/>
  <c r="P51" i="10"/>
  <c r="P81" i="10"/>
  <c r="P73" i="10"/>
  <c r="P65" i="10"/>
  <c r="P57" i="10"/>
  <c r="P49" i="10"/>
  <c r="P80" i="10"/>
  <c r="P72" i="10"/>
  <c r="P64" i="10"/>
  <c r="P56" i="10"/>
  <c r="P48" i="10"/>
  <c r="P79" i="10"/>
  <c r="P58" i="10"/>
  <c r="P78" i="10"/>
  <c r="P55" i="10"/>
  <c r="P74" i="10"/>
  <c r="P54" i="10"/>
  <c r="P71" i="10"/>
  <c r="P50" i="10"/>
  <c r="P70" i="10"/>
  <c r="P47" i="10"/>
  <c r="P87" i="10"/>
  <c r="P66" i="10"/>
  <c r="AB92" i="10"/>
  <c r="AB91" i="10"/>
  <c r="H39" i="10"/>
  <c r="T175" i="10"/>
  <c r="T167" i="10"/>
  <c r="T159" i="10"/>
  <c r="T151" i="10"/>
  <c r="T143" i="10"/>
  <c r="T174" i="10"/>
  <c r="T166" i="10"/>
  <c r="T158" i="10"/>
  <c r="T150" i="10"/>
  <c r="T173" i="10"/>
  <c r="T165" i="10"/>
  <c r="T157" i="10"/>
  <c r="T149" i="10"/>
  <c r="T171" i="10"/>
  <c r="T163" i="10"/>
  <c r="T155" i="10"/>
  <c r="T147" i="10"/>
  <c r="T170" i="10"/>
  <c r="T162" i="10"/>
  <c r="T154" i="10"/>
  <c r="T146" i="10"/>
  <c r="T156" i="10"/>
  <c r="T176" i="10"/>
  <c r="T153" i="10"/>
  <c r="T172" i="10"/>
  <c r="T152" i="10"/>
  <c r="T169" i="10"/>
  <c r="T148" i="10"/>
  <c r="T168" i="10"/>
  <c r="T145" i="10"/>
  <c r="T164" i="10"/>
  <c r="T144" i="10"/>
  <c r="F53" i="10"/>
  <c r="F61" i="10"/>
  <c r="F69" i="10"/>
  <c r="F77" i="10"/>
  <c r="F143" i="10"/>
  <c r="F151" i="10"/>
  <c r="F159" i="10"/>
  <c r="F167" i="10"/>
  <c r="H48" i="10"/>
  <c r="H59" i="10"/>
  <c r="H69" i="10"/>
  <c r="H80" i="10"/>
  <c r="H143" i="10"/>
  <c r="H154" i="10"/>
  <c r="H167" i="10"/>
  <c r="L22" i="10"/>
  <c r="L64" i="10"/>
  <c r="L170" i="10"/>
  <c r="N56" i="10"/>
  <c r="X63" i="10"/>
  <c r="D37" i="10"/>
  <c r="D39" i="10"/>
  <c r="D40" i="10"/>
  <c r="D41" i="10"/>
  <c r="D42" i="10"/>
  <c r="D54" i="10"/>
  <c r="D86" i="10"/>
  <c r="D62" i="10"/>
  <c r="D78" i="10"/>
  <c r="D70" i="10"/>
  <c r="D71" i="10"/>
  <c r="D52" i="10"/>
  <c r="D60" i="10"/>
  <c r="D68" i="10"/>
  <c r="D76" i="10"/>
  <c r="D84" i="10"/>
  <c r="D53" i="10"/>
  <c r="D61" i="10"/>
  <c r="D69" i="10"/>
  <c r="D77" i="10"/>
  <c r="D85" i="10"/>
  <c r="D63" i="10"/>
  <c r="D48" i="10"/>
  <c r="D56" i="10"/>
  <c r="D64" i="10"/>
  <c r="D72" i="10"/>
  <c r="D80" i="10"/>
  <c r="D55" i="10"/>
  <c r="D79" i="10"/>
  <c r="D49" i="10"/>
  <c r="D57" i="10"/>
  <c r="D65" i="10"/>
  <c r="D73" i="10"/>
  <c r="D81" i="10"/>
  <c r="D91" i="10"/>
  <c r="D47" i="10"/>
  <c r="D87" i="10"/>
  <c r="D50" i="10"/>
  <c r="D58" i="10"/>
  <c r="D66" i="10"/>
  <c r="D74" i="10"/>
  <c r="D82" i="10"/>
  <c r="D92" i="10"/>
  <c r="D51" i="10"/>
  <c r="D59" i="10"/>
  <c r="D67" i="10"/>
  <c r="D75" i="10"/>
  <c r="AI243" i="10" l="1"/>
  <c r="Z260" i="10"/>
  <c r="AG214" i="10"/>
  <c r="AI214" i="10" s="1"/>
  <c r="AH258" i="10"/>
  <c r="AI262" i="10"/>
  <c r="AH91" i="10"/>
  <c r="AI93" i="10"/>
  <c r="AH147" i="10"/>
  <c r="AI179" i="10"/>
  <c r="AH66" i="10"/>
  <c r="AI88" i="10"/>
  <c r="AH234" i="10"/>
  <c r="AI236" i="10"/>
  <c r="AI230" i="10"/>
  <c r="AG252" i="10"/>
  <c r="AI252" i="10" s="1"/>
  <c r="AI250" i="10"/>
  <c r="AI223" i="10"/>
  <c r="AH113" i="10"/>
  <c r="AI140" i="10"/>
  <c r="AJ93" i="10"/>
  <c r="AK92" i="10" s="1"/>
  <c r="AJ214" i="10"/>
  <c r="AJ179" i="10"/>
  <c r="AK160" i="10" s="1"/>
  <c r="AJ236" i="10"/>
  <c r="AK234" i="10" s="1"/>
  <c r="AJ262" i="10"/>
  <c r="AJ264" i="10" s="1"/>
  <c r="AH162" i="10"/>
  <c r="AH168" i="10"/>
  <c r="AH174" i="10"/>
  <c r="AH165" i="10"/>
  <c r="R13" i="10"/>
  <c r="AJ19" i="10"/>
  <c r="AK12" i="10" s="1"/>
  <c r="AH260" i="10"/>
  <c r="J175" i="10"/>
  <c r="AJ29" i="10"/>
  <c r="AK27" i="10" s="1"/>
  <c r="J143" i="10"/>
  <c r="AH84" i="10"/>
  <c r="J164" i="10"/>
  <c r="Z92" i="10"/>
  <c r="AH67" i="10"/>
  <c r="R15" i="10"/>
  <c r="Z167" i="10"/>
  <c r="AH92" i="10"/>
  <c r="R12" i="10"/>
  <c r="Z42" i="10"/>
  <c r="R162" i="10"/>
  <c r="J65" i="10"/>
  <c r="R29" i="10"/>
  <c r="Z144" i="10"/>
  <c r="AJ223" i="10"/>
  <c r="AK221" i="10" s="1"/>
  <c r="R16" i="10"/>
  <c r="Z176" i="10"/>
  <c r="AH176" i="10"/>
  <c r="AH151" i="10"/>
  <c r="AH172" i="10"/>
  <c r="AH161" i="10"/>
  <c r="Z152" i="10"/>
  <c r="AH160" i="10"/>
  <c r="AH173" i="10"/>
  <c r="AH143" i="10"/>
  <c r="AH164" i="10"/>
  <c r="AH61" i="10"/>
  <c r="AJ230" i="10"/>
  <c r="AK226" i="10" s="1"/>
  <c r="AH170" i="10"/>
  <c r="AH153" i="10"/>
  <c r="AH81" i="10"/>
  <c r="AH148" i="10"/>
  <c r="AH49" i="10"/>
  <c r="J61" i="10"/>
  <c r="R92" i="10"/>
  <c r="AH144" i="10"/>
  <c r="AH154" i="10"/>
  <c r="AH149" i="10"/>
  <c r="AH152" i="10"/>
  <c r="AH166" i="10"/>
  <c r="AH47" i="10"/>
  <c r="AH146" i="10"/>
  <c r="AH169" i="10"/>
  <c r="AH175" i="10"/>
  <c r="AH158" i="10"/>
  <c r="AH59" i="10"/>
  <c r="AH157" i="10"/>
  <c r="AH167" i="10"/>
  <c r="AH150" i="10"/>
  <c r="AH156" i="10"/>
  <c r="AH52" i="10"/>
  <c r="AH145" i="10"/>
  <c r="AH159" i="10"/>
  <c r="AH48" i="10"/>
  <c r="AH171" i="10"/>
  <c r="J173" i="10"/>
  <c r="J165" i="10"/>
  <c r="Z23" i="10"/>
  <c r="AJ243" i="10"/>
  <c r="Z22" i="10"/>
  <c r="AH14" i="10"/>
  <c r="Z13" i="10"/>
  <c r="AJ44" i="10"/>
  <c r="AK39" i="10" s="1"/>
  <c r="AH15" i="10"/>
  <c r="AH16" i="10"/>
  <c r="AH13" i="10"/>
  <c r="AJ140" i="10"/>
  <c r="AK121" i="10" s="1"/>
  <c r="AH137" i="10"/>
  <c r="Z161" i="10"/>
  <c r="Z150" i="10"/>
  <c r="AH76" i="10"/>
  <c r="AG181" i="10"/>
  <c r="AH80" i="10"/>
  <c r="AH51" i="10"/>
  <c r="AH86" i="10"/>
  <c r="Z172" i="10"/>
  <c r="AH119" i="10"/>
  <c r="Z154" i="10"/>
  <c r="Z153" i="10"/>
  <c r="Z27" i="10"/>
  <c r="AG264" i="10"/>
  <c r="AI264" i="10" s="1"/>
  <c r="AH68" i="10"/>
  <c r="AH125" i="10"/>
  <c r="AH72" i="10"/>
  <c r="AH63" i="10"/>
  <c r="AH62" i="10"/>
  <c r="Z148" i="10"/>
  <c r="J92" i="10"/>
  <c r="Z14" i="10"/>
  <c r="Z146" i="10"/>
  <c r="Z157" i="10"/>
  <c r="AH60" i="10"/>
  <c r="AH115" i="10"/>
  <c r="AH64" i="10"/>
  <c r="AH83" i="10"/>
  <c r="AH128" i="10"/>
  <c r="AH85" i="10"/>
  <c r="Z111" i="10"/>
  <c r="AH132" i="10"/>
  <c r="Z123" i="10"/>
  <c r="AG245" i="10"/>
  <c r="Z115" i="10"/>
  <c r="Z12" i="10"/>
  <c r="Z16" i="10"/>
  <c r="AH53" i="10"/>
  <c r="AH55" i="10"/>
  <c r="AH78" i="10"/>
  <c r="AH82" i="10"/>
  <c r="J78" i="10"/>
  <c r="AH79" i="10"/>
  <c r="AH70" i="10"/>
  <c r="AH74" i="10"/>
  <c r="AH58" i="10"/>
  <c r="AH50" i="10"/>
  <c r="AH87" i="10"/>
  <c r="AH77" i="10"/>
  <c r="AH65" i="10"/>
  <c r="AH73" i="10"/>
  <c r="AH56" i="10"/>
  <c r="AH71" i="10"/>
  <c r="AH69" i="10"/>
  <c r="AH57" i="10"/>
  <c r="AJ88" i="10"/>
  <c r="AK87" i="10" s="1"/>
  <c r="Z80" i="10"/>
  <c r="Z60" i="10"/>
  <c r="Z62" i="10"/>
  <c r="J74" i="10"/>
  <c r="AH75" i="10"/>
  <c r="AH54" i="10"/>
  <c r="R118" i="10"/>
  <c r="R167" i="10"/>
  <c r="Z168" i="10"/>
  <c r="Z169" i="10"/>
  <c r="Z61" i="10"/>
  <c r="Z57" i="10"/>
  <c r="AH103" i="10"/>
  <c r="AH129" i="10"/>
  <c r="AG31" i="10"/>
  <c r="AH179" i="10" s="1"/>
  <c r="Z164" i="10"/>
  <c r="Z171" i="10"/>
  <c r="AJ252" i="10"/>
  <c r="R175" i="10"/>
  <c r="R174" i="10"/>
  <c r="Z40" i="10"/>
  <c r="Z160" i="10"/>
  <c r="Z173" i="10"/>
  <c r="Z175" i="10"/>
  <c r="Z37" i="10"/>
  <c r="Z104" i="10"/>
  <c r="Z156" i="10"/>
  <c r="Z163" i="10"/>
  <c r="R176" i="10"/>
  <c r="R158" i="10"/>
  <c r="AH27" i="10"/>
  <c r="Z155" i="10"/>
  <c r="R168" i="10"/>
  <c r="R150" i="10"/>
  <c r="R156" i="10"/>
  <c r="Z149" i="10"/>
  <c r="Z116" i="10"/>
  <c r="Z159" i="10"/>
  <c r="Z174" i="10"/>
  <c r="Z55" i="10"/>
  <c r="AH117" i="10"/>
  <c r="Z147" i="10"/>
  <c r="AH163" i="10"/>
  <c r="J24" i="10"/>
  <c r="J168" i="10"/>
  <c r="R160" i="10"/>
  <c r="R104" i="10"/>
  <c r="R260" i="10"/>
  <c r="Z170" i="10"/>
  <c r="Z117" i="10"/>
  <c r="Z165" i="10"/>
  <c r="Z50" i="10"/>
  <c r="Z151" i="10"/>
  <c r="Z166" i="10"/>
  <c r="Z26" i="10"/>
  <c r="AH226" i="10"/>
  <c r="AH26" i="10"/>
  <c r="AH135" i="10"/>
  <c r="AH155" i="10"/>
  <c r="J25" i="10"/>
  <c r="J160" i="10"/>
  <c r="R258" i="10"/>
  <c r="R173" i="10"/>
  <c r="R163" i="10"/>
  <c r="Z162" i="10"/>
  <c r="Z145" i="10"/>
  <c r="Z136" i="10"/>
  <c r="Z143" i="10"/>
  <c r="AH24" i="10"/>
  <c r="R170" i="10"/>
  <c r="R155" i="10"/>
  <c r="AH228" i="10"/>
  <c r="AH41" i="10"/>
  <c r="AH109" i="10"/>
  <c r="AH124" i="10"/>
  <c r="AH37" i="10"/>
  <c r="AH120" i="10"/>
  <c r="AH121" i="10"/>
  <c r="AH112" i="10"/>
  <c r="AH221" i="10"/>
  <c r="AH23" i="10"/>
  <c r="AH101" i="10"/>
  <c r="AH116" i="10"/>
  <c r="AH136" i="10"/>
  <c r="AH104" i="10"/>
  <c r="AH42" i="10"/>
  <c r="AH130" i="10"/>
  <c r="AH122" i="10"/>
  <c r="AH102" i="10"/>
  <c r="AH134" i="10"/>
  <c r="AH110" i="10"/>
  <c r="AH126" i="10"/>
  <c r="AH114" i="10"/>
  <c r="AH138" i="10"/>
  <c r="AH118" i="10"/>
  <c r="AH106" i="10"/>
  <c r="AH227" i="10"/>
  <c r="AH39" i="10"/>
  <c r="AH108" i="10"/>
  <c r="AH131" i="10"/>
  <c r="AH220" i="10"/>
  <c r="AH127" i="10"/>
  <c r="AH105" i="10"/>
  <c r="AH123" i="10"/>
  <c r="AH29" i="10"/>
  <c r="AH25" i="10"/>
  <c r="AH133" i="10"/>
  <c r="AH107" i="10"/>
  <c r="AH111" i="10"/>
  <c r="AH40" i="10"/>
  <c r="AG95" i="10"/>
  <c r="Z87" i="10"/>
  <c r="Z71" i="10"/>
  <c r="Z79" i="10"/>
  <c r="Z63" i="10"/>
  <c r="Z83" i="10"/>
  <c r="Z67" i="10"/>
  <c r="Z75" i="10"/>
  <c r="Z101" i="10"/>
  <c r="Z82" i="10"/>
  <c r="Z86" i="10"/>
  <c r="Z107" i="10"/>
  <c r="Z85" i="10"/>
  <c r="Z72" i="10"/>
  <c r="Z129" i="10"/>
  <c r="Z120" i="10"/>
  <c r="Z221" i="10"/>
  <c r="Z109" i="10"/>
  <c r="Z112" i="10"/>
  <c r="Z137" i="10"/>
  <c r="Y95" i="10"/>
  <c r="Z84" i="10"/>
  <c r="Z59" i="10"/>
  <c r="Z74" i="10"/>
  <c r="Z70" i="10"/>
  <c r="Z81" i="10"/>
  <c r="Z64" i="10"/>
  <c r="Z119" i="10"/>
  <c r="Z78" i="10"/>
  <c r="Z138" i="10"/>
  <c r="Z126" i="10"/>
  <c r="Z110" i="10"/>
  <c r="Z134" i="10"/>
  <c r="Z118" i="10"/>
  <c r="Z102" i="10"/>
  <c r="Z122" i="10"/>
  <c r="Z106" i="10"/>
  <c r="Z130" i="10"/>
  <c r="Z114" i="10"/>
  <c r="Y31" i="10"/>
  <c r="Z88" i="10" s="1"/>
  <c r="Z29" i="10"/>
  <c r="Z76" i="10"/>
  <c r="Z51" i="10"/>
  <c r="Z66" i="10"/>
  <c r="Z25" i="10"/>
  <c r="Z73" i="10"/>
  <c r="Z220" i="10"/>
  <c r="Z56" i="10"/>
  <c r="Z77" i="10"/>
  <c r="Z113" i="10"/>
  <c r="Z54" i="10"/>
  <c r="Z108" i="10"/>
  <c r="Z68" i="10"/>
  <c r="Z58" i="10"/>
  <c r="Z65" i="10"/>
  <c r="Z48" i="10"/>
  <c r="Z41" i="10"/>
  <c r="Z105" i="10"/>
  <c r="Z127" i="10"/>
  <c r="Z133" i="10"/>
  <c r="Y181" i="10"/>
  <c r="Z132" i="10"/>
  <c r="Z103" i="10"/>
  <c r="Z228" i="10"/>
  <c r="Z52" i="10"/>
  <c r="Z125" i="10"/>
  <c r="Z226" i="10"/>
  <c r="Z124" i="10"/>
  <c r="Z38" i="10"/>
  <c r="Z135" i="10"/>
  <c r="Z131" i="10"/>
  <c r="Z49" i="10"/>
  <c r="Z128" i="10"/>
  <c r="Y245" i="10"/>
  <c r="Z47" i="10"/>
  <c r="Z69" i="10"/>
  <c r="J22" i="10"/>
  <c r="R154" i="10"/>
  <c r="R152" i="10"/>
  <c r="R159" i="10"/>
  <c r="R111" i="10"/>
  <c r="R147" i="10"/>
  <c r="J23" i="10"/>
  <c r="R146" i="10"/>
  <c r="R169" i="10"/>
  <c r="R151" i="10"/>
  <c r="R157" i="10"/>
  <c r="R172" i="10"/>
  <c r="R161" i="10"/>
  <c r="R126" i="10"/>
  <c r="R165" i="10"/>
  <c r="R143" i="10"/>
  <c r="R149" i="10"/>
  <c r="R164" i="10"/>
  <c r="R153" i="10"/>
  <c r="I31" i="10"/>
  <c r="J252" i="10" s="1"/>
  <c r="J27" i="10"/>
  <c r="J79" i="10"/>
  <c r="J151" i="10"/>
  <c r="R144" i="10"/>
  <c r="R124" i="10"/>
  <c r="R166" i="10"/>
  <c r="R148" i="10"/>
  <c r="J71" i="10"/>
  <c r="J58" i="10"/>
  <c r="J49" i="10"/>
  <c r="J63" i="10"/>
  <c r="J62" i="10"/>
  <c r="J60" i="10"/>
  <c r="J159" i="10"/>
  <c r="J148" i="10"/>
  <c r="J56" i="10"/>
  <c r="R68" i="10"/>
  <c r="R108" i="10"/>
  <c r="R69" i="10"/>
  <c r="J57" i="10"/>
  <c r="J50" i="10"/>
  <c r="J52" i="10"/>
  <c r="J55" i="10"/>
  <c r="J54" i="10"/>
  <c r="J161" i="10"/>
  <c r="J48" i="10"/>
  <c r="R52" i="10"/>
  <c r="R50" i="10"/>
  <c r="J70" i="10"/>
  <c r="J80" i="10"/>
  <c r="R55" i="10"/>
  <c r="J76" i="10"/>
  <c r="J59" i="10"/>
  <c r="J47" i="10"/>
  <c r="J75" i="10"/>
  <c r="R112" i="10"/>
  <c r="R51" i="10"/>
  <c r="R63" i="10"/>
  <c r="J66" i="10"/>
  <c r="J53" i="10"/>
  <c r="J51" i="10"/>
  <c r="J84" i="10"/>
  <c r="J68" i="10"/>
  <c r="J85" i="10"/>
  <c r="J146" i="10"/>
  <c r="J158" i="10"/>
  <c r="R125" i="10"/>
  <c r="R70" i="10"/>
  <c r="R123" i="10"/>
  <c r="R106" i="10"/>
  <c r="R137" i="10"/>
  <c r="R145" i="10"/>
  <c r="J37" i="10"/>
  <c r="J81" i="10"/>
  <c r="J83" i="10"/>
  <c r="J67" i="10"/>
  <c r="J77" i="10"/>
  <c r="J176" i="10"/>
  <c r="J163" i="10"/>
  <c r="R117" i="10"/>
  <c r="Q181" i="10"/>
  <c r="R107" i="10"/>
  <c r="R72" i="10"/>
  <c r="R129" i="10"/>
  <c r="R127" i="10"/>
  <c r="R78" i="10"/>
  <c r="J40" i="10"/>
  <c r="J73" i="10"/>
  <c r="J87" i="10"/>
  <c r="J86" i="10"/>
  <c r="J69" i="10"/>
  <c r="R67" i="10"/>
  <c r="R103" i="10"/>
  <c r="R81" i="10"/>
  <c r="R64" i="10"/>
  <c r="R79" i="10"/>
  <c r="R61" i="10"/>
  <c r="R228" i="10"/>
  <c r="R110" i="10"/>
  <c r="R23" i="10"/>
  <c r="R109" i="10"/>
  <c r="R22" i="10"/>
  <c r="R82" i="10"/>
  <c r="R42" i="10"/>
  <c r="R73" i="10"/>
  <c r="R119" i="10"/>
  <c r="R138" i="10"/>
  <c r="R56" i="10"/>
  <c r="R41" i="10"/>
  <c r="R121" i="10"/>
  <c r="R47" i="10"/>
  <c r="R136" i="10"/>
  <c r="R39" i="10"/>
  <c r="R221" i="10"/>
  <c r="R102" i="10"/>
  <c r="R101" i="10"/>
  <c r="R226" i="10"/>
  <c r="R74" i="10"/>
  <c r="R65" i="10"/>
  <c r="R77" i="10"/>
  <c r="R130" i="10"/>
  <c r="R48" i="10"/>
  <c r="R26" i="10"/>
  <c r="R86" i="10"/>
  <c r="R84" i="10"/>
  <c r="R227" i="10"/>
  <c r="R83" i="10"/>
  <c r="R66" i="10"/>
  <c r="R57" i="10"/>
  <c r="R24" i="10"/>
  <c r="R122" i="10"/>
  <c r="R27" i="10"/>
  <c r="Q245" i="10"/>
  <c r="R105" i="10"/>
  <c r="Q31" i="10"/>
  <c r="R223" i="10" s="1"/>
  <c r="Q95" i="10"/>
  <c r="R76" i="10"/>
  <c r="R75" i="10"/>
  <c r="R132" i="10"/>
  <c r="R58" i="10"/>
  <c r="R135" i="10"/>
  <c r="R131" i="10"/>
  <c r="R49" i="10"/>
  <c r="R220" i="10"/>
  <c r="R114" i="10"/>
  <c r="R128" i="10"/>
  <c r="R87" i="10"/>
  <c r="R25" i="10"/>
  <c r="R37" i="10"/>
  <c r="R134" i="10"/>
  <c r="R60" i="10"/>
  <c r="R133" i="10"/>
  <c r="R59" i="10"/>
  <c r="R116" i="10"/>
  <c r="R38" i="10"/>
  <c r="R53" i="10"/>
  <c r="R115" i="10"/>
  <c r="R120" i="10"/>
  <c r="R80" i="10"/>
  <c r="R62" i="10"/>
  <c r="R71" i="10"/>
  <c r="R85" i="10"/>
  <c r="I245" i="10"/>
  <c r="J72" i="10"/>
  <c r="J145" i="10"/>
  <c r="J64" i="10"/>
  <c r="J38" i="10"/>
  <c r="I181" i="10"/>
  <c r="J152" i="10"/>
  <c r="J147" i="10"/>
  <c r="J157" i="10"/>
  <c r="J41" i="10"/>
  <c r="J162" i="10"/>
  <c r="J144" i="10"/>
  <c r="J174" i="10"/>
  <c r="J149" i="10"/>
  <c r="J258" i="10"/>
  <c r="J39" i="10"/>
  <c r="J154" i="10"/>
  <c r="J155" i="10"/>
  <c r="J166" i="10"/>
  <c r="J172" i="10"/>
  <c r="I264" i="10"/>
  <c r="J169" i="10"/>
  <c r="I95" i="10"/>
  <c r="J171" i="10"/>
  <c r="J167" i="10"/>
  <c r="J150" i="10"/>
  <c r="J156" i="10"/>
  <c r="J153" i="10"/>
  <c r="J226" i="10"/>
  <c r="J228" i="10"/>
  <c r="J16" i="10"/>
  <c r="J15" i="10"/>
  <c r="J14" i="10"/>
  <c r="J13" i="10"/>
  <c r="J12" i="10"/>
  <c r="J220" i="10"/>
  <c r="J133" i="10"/>
  <c r="J125" i="10"/>
  <c r="J117" i="10"/>
  <c r="J109" i="10"/>
  <c r="J101" i="10"/>
  <c r="J134" i="10"/>
  <c r="J132" i="10"/>
  <c r="J124" i="10"/>
  <c r="J116" i="10"/>
  <c r="J108" i="10"/>
  <c r="J126" i="10"/>
  <c r="J110" i="10"/>
  <c r="J138" i="10"/>
  <c r="J130" i="10"/>
  <c r="J122" i="10"/>
  <c r="J114" i="10"/>
  <c r="J106" i="10"/>
  <c r="J102" i="10"/>
  <c r="J137" i="10"/>
  <c r="J129" i="10"/>
  <c r="J121" i="10"/>
  <c r="J113" i="10"/>
  <c r="J105" i="10"/>
  <c r="J136" i="10"/>
  <c r="J128" i="10"/>
  <c r="J120" i="10"/>
  <c r="J112" i="10"/>
  <c r="J104" i="10"/>
  <c r="J118" i="10"/>
  <c r="J135" i="10"/>
  <c r="J127" i="10"/>
  <c r="J119" i="10"/>
  <c r="J111" i="10"/>
  <c r="J103" i="10"/>
  <c r="J131" i="10"/>
  <c r="J115" i="10"/>
  <c r="J107" i="10"/>
  <c r="J123" i="10"/>
  <c r="J29" i="10"/>
  <c r="AI245" i="10" l="1"/>
  <c r="AI181" i="10"/>
  <c r="AI95" i="10"/>
  <c r="AK124" i="10"/>
  <c r="AK220" i="10"/>
  <c r="AK91" i="10"/>
  <c r="AJ181" i="10"/>
  <c r="AK260" i="10"/>
  <c r="AK102" i="10"/>
  <c r="AK117" i="10"/>
  <c r="AK137" i="10"/>
  <c r="AK106" i="10"/>
  <c r="AK227" i="10"/>
  <c r="AH44" i="10"/>
  <c r="J223" i="10"/>
  <c r="J230" i="10"/>
  <c r="J262" i="10"/>
  <c r="J207" i="10"/>
  <c r="J202" i="10"/>
  <c r="J190" i="10"/>
  <c r="I97" i="10"/>
  <c r="J97" i="10" s="1"/>
  <c r="AK38" i="10"/>
  <c r="AK26" i="10"/>
  <c r="AK24" i="10"/>
  <c r="AK22" i="10"/>
  <c r="AK23" i="10"/>
  <c r="AK25" i="10"/>
  <c r="J245" i="10"/>
  <c r="AK15" i="10"/>
  <c r="J264" i="10"/>
  <c r="AH93" i="10"/>
  <c r="AK29" i="10"/>
  <c r="AK16" i="10"/>
  <c r="AK13" i="10"/>
  <c r="AJ31" i="10"/>
  <c r="AK202" i="10" s="1"/>
  <c r="AK14" i="10"/>
  <c r="AK258" i="10"/>
  <c r="Z181" i="10"/>
  <c r="AK111" i="10"/>
  <c r="AK166" i="10"/>
  <c r="AK173" i="10"/>
  <c r="AK155" i="10"/>
  <c r="AK136" i="10"/>
  <c r="AK127" i="10"/>
  <c r="AK110" i="10"/>
  <c r="AK115" i="10"/>
  <c r="AK123" i="10"/>
  <c r="AK109" i="10"/>
  <c r="AK135" i="10"/>
  <c r="AK114" i="10"/>
  <c r="AK108" i="10"/>
  <c r="AK101" i="10"/>
  <c r="AK116" i="10"/>
  <c r="AH245" i="10"/>
  <c r="AK40" i="10"/>
  <c r="AK132" i="10"/>
  <c r="AK129" i="10"/>
  <c r="AK125" i="10"/>
  <c r="AK134" i="10"/>
  <c r="AK113" i="10"/>
  <c r="AK131" i="10"/>
  <c r="AK104" i="10"/>
  <c r="AK118" i="10"/>
  <c r="AK103" i="10"/>
  <c r="AK126" i="10"/>
  <c r="AK130" i="10"/>
  <c r="AH230" i="10"/>
  <c r="R44" i="10"/>
  <c r="Z245" i="10"/>
  <c r="AH140" i="10"/>
  <c r="AK119" i="10"/>
  <c r="AJ245" i="10"/>
  <c r="AH31" i="10"/>
  <c r="AK228" i="10"/>
  <c r="AH95" i="10"/>
  <c r="AK164" i="10"/>
  <c r="AK143" i="10"/>
  <c r="AK158" i="10"/>
  <c r="AK157" i="10"/>
  <c r="AH223" i="10"/>
  <c r="AK152" i="10"/>
  <c r="AK172" i="10"/>
  <c r="AK161" i="10"/>
  <c r="AK156" i="10"/>
  <c r="AK159" i="10"/>
  <c r="AK162" i="10"/>
  <c r="AK176" i="10"/>
  <c r="AK105" i="10"/>
  <c r="AK151" i="10"/>
  <c r="AK148" i="10"/>
  <c r="AK174" i="10"/>
  <c r="AH207" i="10"/>
  <c r="AH243" i="10"/>
  <c r="AH88" i="10"/>
  <c r="AK153" i="10"/>
  <c r="AK175" i="10"/>
  <c r="AK41" i="10"/>
  <c r="AK149" i="10"/>
  <c r="AK171" i="10"/>
  <c r="AH181" i="10"/>
  <c r="AK37" i="10"/>
  <c r="AK163" i="10"/>
  <c r="AK133" i="10"/>
  <c r="AK120" i="10"/>
  <c r="AH212" i="10"/>
  <c r="AK51" i="10"/>
  <c r="AK169" i="10"/>
  <c r="AK42" i="10"/>
  <c r="AH264" i="10"/>
  <c r="AK150" i="10"/>
  <c r="AH214" i="10"/>
  <c r="AH252" i="10"/>
  <c r="AK147" i="10"/>
  <c r="AK165" i="10"/>
  <c r="AK145" i="10"/>
  <c r="AK144" i="10"/>
  <c r="AK107" i="10"/>
  <c r="AK128" i="10"/>
  <c r="AK122" i="10"/>
  <c r="AK154" i="10"/>
  <c r="AK170" i="10"/>
  <c r="Z230" i="10"/>
  <c r="Z264" i="10"/>
  <c r="AK168" i="10"/>
  <c r="AK146" i="10"/>
  <c r="AK167" i="10"/>
  <c r="AK112" i="10"/>
  <c r="AK138" i="10"/>
  <c r="Z214" i="10"/>
  <c r="Z95" i="10"/>
  <c r="Z140" i="10"/>
  <c r="Z44" i="10"/>
  <c r="AK65" i="10"/>
  <c r="AK59" i="10"/>
  <c r="AK77" i="10"/>
  <c r="AK66" i="10"/>
  <c r="AK62" i="10"/>
  <c r="AK71" i="10"/>
  <c r="AK73" i="10"/>
  <c r="AK60" i="10"/>
  <c r="AK84" i="10"/>
  <c r="AK78" i="10"/>
  <c r="AK80" i="10"/>
  <c r="AK82" i="10"/>
  <c r="AK86" i="10"/>
  <c r="AK75" i="10"/>
  <c r="AK68" i="10"/>
  <c r="AK79" i="10"/>
  <c r="AK58" i="10"/>
  <c r="AK76" i="10"/>
  <c r="AK67" i="10"/>
  <c r="AJ95" i="10"/>
  <c r="AK54" i="10"/>
  <c r="AK56" i="10"/>
  <c r="AK55" i="10"/>
  <c r="AK83" i="10"/>
  <c r="AK81" i="10"/>
  <c r="AK47" i="10"/>
  <c r="AK74" i="10"/>
  <c r="AK69" i="10"/>
  <c r="AK72" i="10"/>
  <c r="AK52" i="10"/>
  <c r="AK70" i="10"/>
  <c r="AK57" i="10"/>
  <c r="AK48" i="10"/>
  <c r="AK49" i="10"/>
  <c r="AK63" i="10"/>
  <c r="AK53" i="10"/>
  <c r="AK64" i="10"/>
  <c r="AK50" i="10"/>
  <c r="AK61" i="10"/>
  <c r="AK85" i="10"/>
  <c r="J181" i="10"/>
  <c r="AH236" i="10"/>
  <c r="AH202" i="10"/>
  <c r="AH262" i="10"/>
  <c r="AH190" i="10"/>
  <c r="AH195" i="10"/>
  <c r="AH250" i="10"/>
  <c r="AG97" i="10"/>
  <c r="Y97" i="10"/>
  <c r="Z93" i="10"/>
  <c r="Z31" i="10"/>
  <c r="Z243" i="10"/>
  <c r="Z236" i="10"/>
  <c r="Z195" i="10"/>
  <c r="Z250" i="10"/>
  <c r="Z190" i="10"/>
  <c r="Z262" i="10"/>
  <c r="Z212" i="10"/>
  <c r="Z202" i="10"/>
  <c r="Z252" i="10"/>
  <c r="Z207" i="10"/>
  <c r="Z179" i="10"/>
  <c r="Z223" i="10"/>
  <c r="J179" i="10"/>
  <c r="J243" i="10"/>
  <c r="J214" i="10"/>
  <c r="J195" i="10"/>
  <c r="J212" i="10"/>
  <c r="J44" i="10"/>
  <c r="J236" i="10"/>
  <c r="J31" i="10"/>
  <c r="J140" i="10"/>
  <c r="J93" i="10"/>
  <c r="J95" i="10"/>
  <c r="J88" i="10"/>
  <c r="J250" i="10"/>
  <c r="R264" i="10"/>
  <c r="R181" i="10"/>
  <c r="R245" i="10"/>
  <c r="R214" i="10"/>
  <c r="R140" i="10"/>
  <c r="R88" i="10"/>
  <c r="R95" i="10"/>
  <c r="R230" i="10"/>
  <c r="Q97" i="10"/>
  <c r="R31" i="10"/>
  <c r="R262" i="10"/>
  <c r="R190" i="10"/>
  <c r="R212" i="10"/>
  <c r="R93" i="10"/>
  <c r="R250" i="10"/>
  <c r="R236" i="10"/>
  <c r="R243" i="10"/>
  <c r="R179" i="10"/>
  <c r="R252" i="10"/>
  <c r="R202" i="10"/>
  <c r="R195" i="10"/>
  <c r="R207" i="10"/>
  <c r="AI97" i="10" l="1"/>
  <c r="I183" i="10"/>
  <c r="J183" i="10" s="1"/>
  <c r="AK179" i="10"/>
  <c r="AK140" i="10"/>
  <c r="AK44" i="10"/>
  <c r="AK264" i="10"/>
  <c r="AK93" i="10"/>
  <c r="AK212" i="10"/>
  <c r="AK190" i="10"/>
  <c r="AK223" i="10"/>
  <c r="AK214" i="10"/>
  <c r="AK195" i="10"/>
  <c r="AK245" i="10"/>
  <c r="AK88" i="10"/>
  <c r="AK236" i="10"/>
  <c r="AK181" i="10"/>
  <c r="AK252" i="10"/>
  <c r="AK243" i="10"/>
  <c r="AK230" i="10"/>
  <c r="AK207" i="10"/>
  <c r="AK31" i="10"/>
  <c r="AK250" i="10"/>
  <c r="AK262" i="10"/>
  <c r="AK95" i="10"/>
  <c r="AJ97" i="10"/>
  <c r="AJ183" i="10" s="1"/>
  <c r="AH97" i="10"/>
  <c r="AG183" i="10"/>
  <c r="Z97" i="10"/>
  <c r="Y183" i="10"/>
  <c r="R97" i="10"/>
  <c r="Q183" i="10"/>
  <c r="AI183" i="10" l="1"/>
  <c r="I254" i="10"/>
  <c r="I266" i="10" s="1"/>
  <c r="AK97" i="10"/>
  <c r="AG254" i="10"/>
  <c r="AH183" i="10"/>
  <c r="Y254" i="10"/>
  <c r="Z183" i="10"/>
  <c r="Q254" i="10"/>
  <c r="R183" i="10"/>
  <c r="AI254" i="10" l="1"/>
  <c r="J266" i="10"/>
  <c r="J254" i="10"/>
  <c r="AJ254" i="10"/>
  <c r="D33" i="22" s="1"/>
  <c r="AK183" i="10"/>
  <c r="AG266" i="10"/>
  <c r="AH254" i="10"/>
  <c r="Y266" i="10"/>
  <c r="Z266" i="10" s="1"/>
  <c r="Z254" i="10"/>
  <c r="Q266" i="10"/>
  <c r="R266" i="10" s="1"/>
  <c r="R254" i="10"/>
  <c r="AH266" i="10" l="1"/>
  <c r="AI266" i="10"/>
  <c r="AJ266" i="10"/>
  <c r="E12" i="19" s="1"/>
  <c r="AK254" i="10"/>
  <c r="C168" i="13"/>
  <c r="B165" i="13" s="1"/>
  <c r="E167" i="13"/>
  <c r="E187" i="13" s="1"/>
  <c r="E207" i="13" s="1"/>
  <c r="B125" i="13"/>
  <c r="E147" i="13"/>
  <c r="E127" i="13"/>
  <c r="B105" i="13"/>
  <c r="C48" i="13"/>
  <c r="B45" i="13" s="1"/>
  <c r="E107" i="13"/>
  <c r="E47" i="13"/>
  <c r="C8" i="13"/>
  <c r="B5" i="13" s="1"/>
  <c r="E7" i="13"/>
  <c r="C68" i="13"/>
  <c r="B65" i="13" s="1"/>
  <c r="E67" i="13"/>
  <c r="B225" i="3"/>
  <c r="B185" i="3"/>
  <c r="C147" i="3"/>
  <c r="B144" i="3" s="1"/>
  <c r="E227" i="3"/>
  <c r="E187" i="3"/>
  <c r="E146" i="3"/>
  <c r="Q47" i="1"/>
  <c r="H112" i="3" s="1"/>
  <c r="C126" i="3"/>
  <c r="B124" i="3"/>
  <c r="C107" i="3"/>
  <c r="B104" i="3" s="1"/>
  <c r="C87" i="3"/>
  <c r="B84" i="3" s="1"/>
  <c r="E126" i="3"/>
  <c r="E106" i="3"/>
  <c r="E86" i="3"/>
  <c r="C67" i="3"/>
  <c r="B64" i="3" s="1"/>
  <c r="C66" i="3"/>
  <c r="E66" i="3"/>
  <c r="F12" i="19" l="1"/>
  <c r="AK266" i="10"/>
  <c r="C46" i="3"/>
  <c r="B43" i="3" s="1"/>
  <c r="C45" i="3"/>
  <c r="E45" i="3"/>
  <c r="C26" i="3"/>
  <c r="B23" i="3" s="1"/>
  <c r="C25" i="3"/>
  <c r="E7" i="3"/>
  <c r="E25" i="3"/>
  <c r="C7" i="3"/>
  <c r="AE250" i="10" l="1"/>
  <c r="AA250" i="10"/>
  <c r="U250" i="10"/>
  <c r="S250" i="10"/>
  <c r="O250" i="10"/>
  <c r="M250" i="10"/>
  <c r="K250" i="10"/>
  <c r="C250" i="10"/>
  <c r="M243" i="10"/>
  <c r="W243" i="10"/>
  <c r="G243" i="10"/>
  <c r="W236" i="10"/>
  <c r="G236" i="10"/>
  <c r="C236" i="10"/>
  <c r="S230" i="10"/>
  <c r="M230" i="10"/>
  <c r="S223" i="10"/>
  <c r="M223" i="10"/>
  <c r="AE212" i="10"/>
  <c r="AC212" i="10"/>
  <c r="AA212" i="10"/>
  <c r="W212" i="10"/>
  <c r="U212" i="10"/>
  <c r="S212" i="10"/>
  <c r="K212" i="10"/>
  <c r="G212" i="10"/>
  <c r="E212" i="10"/>
  <c r="C212" i="10"/>
  <c r="AE207" i="10"/>
  <c r="AA207" i="10"/>
  <c r="W207" i="10"/>
  <c r="U207" i="10"/>
  <c r="S207" i="10"/>
  <c r="O207" i="10"/>
  <c r="AE190" i="10"/>
  <c r="AC190" i="10"/>
  <c r="AA190" i="10"/>
  <c r="U190" i="10"/>
  <c r="S190" i="10"/>
  <c r="O190" i="10"/>
  <c r="M190" i="10"/>
  <c r="K190" i="10"/>
  <c r="E190" i="10"/>
  <c r="E214" i="10" s="1"/>
  <c r="S140" i="10"/>
  <c r="W29" i="10"/>
  <c r="G29" i="10"/>
  <c r="E29" i="10"/>
  <c r="C29" i="10"/>
  <c r="S19" i="10"/>
  <c r="AC250" i="10"/>
  <c r="W250" i="10"/>
  <c r="G250" i="10"/>
  <c r="E250" i="10"/>
  <c r="O212" i="10"/>
  <c r="M212" i="10"/>
  <c r="AC207" i="10"/>
  <c r="W190" i="10"/>
  <c r="G190" i="10"/>
  <c r="G214" i="10" s="1"/>
  <c r="C190" i="10"/>
  <c r="C214" i="10" l="1"/>
  <c r="K214" i="10"/>
  <c r="AE214" i="10"/>
  <c r="W214" i="10"/>
  <c r="O214" i="10"/>
  <c r="AA214" i="10"/>
  <c r="S214" i="10"/>
  <c r="U214" i="10"/>
  <c r="AC214" i="10"/>
  <c r="M214" i="10"/>
  <c r="T228" i="10"/>
  <c r="T227" i="10"/>
  <c r="T226" i="10"/>
  <c r="X24" i="10"/>
  <c r="X23" i="10"/>
  <c r="X22" i="10"/>
  <c r="X27" i="10"/>
  <c r="X26" i="10"/>
  <c r="X25" i="10"/>
  <c r="H234" i="10"/>
  <c r="T132" i="10"/>
  <c r="T124" i="10"/>
  <c r="T116" i="10"/>
  <c r="T108" i="10"/>
  <c r="T131" i="10"/>
  <c r="T123" i="10"/>
  <c r="T115" i="10"/>
  <c r="T107" i="10"/>
  <c r="T138" i="10"/>
  <c r="T130" i="10"/>
  <c r="T122" i="10"/>
  <c r="T114" i="10"/>
  <c r="T106" i="10"/>
  <c r="T136" i="10"/>
  <c r="T128" i="10"/>
  <c r="T120" i="10"/>
  <c r="T112" i="10"/>
  <c r="T104" i="10"/>
  <c r="T135" i="10"/>
  <c r="T127" i="10"/>
  <c r="T119" i="10"/>
  <c r="T111" i="10"/>
  <c r="T103" i="10"/>
  <c r="T133" i="10"/>
  <c r="T110" i="10"/>
  <c r="T129" i="10"/>
  <c r="T109" i="10"/>
  <c r="T126" i="10"/>
  <c r="T105" i="10"/>
  <c r="T125" i="10"/>
  <c r="T102" i="10"/>
  <c r="T121" i="10"/>
  <c r="T101" i="10"/>
  <c r="T118" i="10"/>
  <c r="T117" i="10"/>
  <c r="T113" i="10"/>
  <c r="T134" i="10"/>
  <c r="T137" i="10"/>
  <c r="X234" i="10"/>
  <c r="F27" i="10"/>
  <c r="F26" i="10"/>
  <c r="F25" i="10"/>
  <c r="F24" i="10"/>
  <c r="F23" i="10"/>
  <c r="F22" i="10"/>
  <c r="N228" i="10"/>
  <c r="N227" i="10"/>
  <c r="N226" i="10"/>
  <c r="H27" i="10"/>
  <c r="H26" i="10"/>
  <c r="H25" i="10"/>
  <c r="H24" i="10"/>
  <c r="H23" i="10"/>
  <c r="H22" i="10"/>
  <c r="N221" i="10"/>
  <c r="N220" i="10"/>
  <c r="T14" i="10"/>
  <c r="T13" i="10"/>
  <c r="T12" i="10"/>
  <c r="T16" i="10"/>
  <c r="T15" i="10"/>
  <c r="T221" i="10"/>
  <c r="T220" i="10"/>
  <c r="D26" i="10"/>
  <c r="D25" i="10"/>
  <c r="D24" i="10"/>
  <c r="D23" i="10"/>
  <c r="D22" i="10"/>
  <c r="D27" i="10"/>
  <c r="AC252" i="10"/>
  <c r="AA252" i="10"/>
  <c r="AE252" i="10"/>
  <c r="W252" i="10"/>
  <c r="S252" i="10"/>
  <c r="U252" i="10"/>
  <c r="K252" i="10"/>
  <c r="E252" i="10"/>
  <c r="G252" i="10"/>
  <c r="M252" i="10"/>
  <c r="E95" i="10"/>
  <c r="O252" i="10"/>
  <c r="G95" i="10"/>
  <c r="C252" i="10"/>
  <c r="C95" i="10"/>
  <c r="D234" i="10"/>
  <c r="E230" i="10"/>
  <c r="E236" i="10"/>
  <c r="E243" i="10"/>
  <c r="E140" i="10"/>
  <c r="AA223" i="10"/>
  <c r="O243" i="10"/>
  <c r="E19" i="10"/>
  <c r="K44" i="10"/>
  <c r="M140" i="10"/>
  <c r="O140" i="10"/>
  <c r="U140" i="10"/>
  <c r="U19" i="10"/>
  <c r="AC236" i="10"/>
  <c r="AC29" i="10"/>
  <c r="AC44" i="10"/>
  <c r="C19" i="10"/>
  <c r="D29" i="10" s="1"/>
  <c r="W223" i="10"/>
  <c r="C230" i="10"/>
  <c r="W230" i="10"/>
  <c r="M236" i="10"/>
  <c r="W19" i="10"/>
  <c r="G19" i="10"/>
  <c r="H29" i="10" s="1"/>
  <c r="AC19" i="10"/>
  <c r="AD14" i="10" s="1"/>
  <c r="S29" i="10"/>
  <c r="G223" i="10"/>
  <c r="AC223" i="10"/>
  <c r="G230" i="10"/>
  <c r="AC230" i="10"/>
  <c r="S236" i="10"/>
  <c r="S243" i="10"/>
  <c r="AC243" i="10"/>
  <c r="AE19" i="10"/>
  <c r="AE29" i="10"/>
  <c r="C140" i="10"/>
  <c r="K19" i="10"/>
  <c r="AA29" i="10"/>
  <c r="AA44" i="10"/>
  <c r="AA140" i="10"/>
  <c r="O223" i="10"/>
  <c r="O230" i="10"/>
  <c r="AA230" i="10"/>
  <c r="AA236" i="10"/>
  <c r="O236" i="10"/>
  <c r="AA243" i="10"/>
  <c r="G140" i="10"/>
  <c r="U29" i="10"/>
  <c r="M44" i="10"/>
  <c r="AA19" i="10"/>
  <c r="AB14" i="10" s="1"/>
  <c r="O19" i="10"/>
  <c r="O29" i="10"/>
  <c r="O44" i="10"/>
  <c r="M29" i="10"/>
  <c r="AE44" i="10"/>
  <c r="U44" i="10"/>
  <c r="AC140" i="10"/>
  <c r="K140" i="10"/>
  <c r="AE140" i="10"/>
  <c r="U223" i="10"/>
  <c r="K223" i="10"/>
  <c r="AE223" i="10"/>
  <c r="U230" i="10"/>
  <c r="K230" i="10"/>
  <c r="AE230" i="10"/>
  <c r="K236" i="10"/>
  <c r="AE236" i="10"/>
  <c r="U236" i="10"/>
  <c r="K243" i="10"/>
  <c r="AE243" i="10"/>
  <c r="U243" i="10"/>
  <c r="W44" i="10"/>
  <c r="M19" i="10"/>
  <c r="W140" i="10"/>
  <c r="E44" i="9"/>
  <c r="C44" i="9"/>
  <c r="E21" i="9"/>
  <c r="E20" i="9"/>
  <c r="C21" i="9"/>
  <c r="C20" i="9"/>
  <c r="B196" i="1"/>
  <c r="C27" i="13" s="1"/>
  <c r="B251" i="1"/>
  <c r="C167" i="13" s="1"/>
  <c r="B201" i="1"/>
  <c r="C47" i="13" s="1"/>
  <c r="B191" i="1"/>
  <c r="C7" i="13" s="1"/>
  <c r="B208" i="1"/>
  <c r="C67" i="13" s="1"/>
  <c r="B176" i="1"/>
  <c r="D267" i="3" s="1"/>
  <c r="B170" i="1"/>
  <c r="B100" i="1"/>
  <c r="B95" i="1"/>
  <c r="B114" i="1"/>
  <c r="B108" i="1"/>
  <c r="B84" i="1"/>
  <c r="B47" i="1"/>
  <c r="C106" i="3" s="1"/>
  <c r="B40" i="1"/>
  <c r="C86" i="3" s="1"/>
  <c r="H20" i="9" l="1"/>
  <c r="AF14" i="10"/>
  <c r="AF16" i="10"/>
  <c r="H21" i="9"/>
  <c r="H44" i="9"/>
  <c r="C207" i="3"/>
  <c r="C187" i="3"/>
  <c r="AF221" i="10"/>
  <c r="AF220" i="10"/>
  <c r="X15" i="10"/>
  <c r="X14" i="10"/>
  <c r="X13" i="10"/>
  <c r="X12" i="10"/>
  <c r="X16" i="10"/>
  <c r="L221" i="10"/>
  <c r="L220" i="10"/>
  <c r="V42" i="10"/>
  <c r="V41" i="10"/>
  <c r="V40" i="10"/>
  <c r="V38" i="10"/>
  <c r="V37" i="10"/>
  <c r="V39" i="10"/>
  <c r="AB15" i="10"/>
  <c r="AB13" i="10"/>
  <c r="AB16" i="10"/>
  <c r="AB12" i="10"/>
  <c r="P228" i="10"/>
  <c r="P227" i="10"/>
  <c r="P226" i="10"/>
  <c r="AF24" i="10"/>
  <c r="AF23" i="10"/>
  <c r="AF22" i="10"/>
  <c r="AF29" i="10"/>
  <c r="AF27" i="10"/>
  <c r="AF26" i="10"/>
  <c r="AF25" i="10"/>
  <c r="H221" i="10"/>
  <c r="H220" i="10"/>
  <c r="N234" i="10"/>
  <c r="AD39" i="10"/>
  <c r="AD38" i="10"/>
  <c r="AD37" i="10"/>
  <c r="AD42" i="10"/>
  <c r="AD41" i="10"/>
  <c r="AD40" i="10"/>
  <c r="E31" i="10"/>
  <c r="F236" i="10" s="1"/>
  <c r="F14" i="10"/>
  <c r="F13" i="10"/>
  <c r="F12" i="10"/>
  <c r="F15" i="10"/>
  <c r="F16" i="10"/>
  <c r="AB228" i="10"/>
  <c r="AB227" i="10"/>
  <c r="AB226" i="10"/>
  <c r="V221" i="10"/>
  <c r="V220" i="10"/>
  <c r="AF15" i="10"/>
  <c r="AF13" i="10"/>
  <c r="AF12" i="10"/>
  <c r="X228" i="10"/>
  <c r="X227" i="10"/>
  <c r="X226" i="10"/>
  <c r="AD24" i="10"/>
  <c r="AD23" i="10"/>
  <c r="AD22" i="10"/>
  <c r="AD29" i="10"/>
  <c r="AD27" i="10"/>
  <c r="AD26" i="10"/>
  <c r="AD25" i="10"/>
  <c r="AF260" i="10"/>
  <c r="AF258" i="10"/>
  <c r="P260" i="10"/>
  <c r="P258" i="10"/>
  <c r="H258" i="10"/>
  <c r="H260" i="10"/>
  <c r="AB221" i="10"/>
  <c r="AB220" i="10"/>
  <c r="X137" i="10"/>
  <c r="X129" i="10"/>
  <c r="X121" i="10"/>
  <c r="X113" i="10"/>
  <c r="X105" i="10"/>
  <c r="X136" i="10"/>
  <c r="X128" i="10"/>
  <c r="X120" i="10"/>
  <c r="X112" i="10"/>
  <c r="X104" i="10"/>
  <c r="X135" i="10"/>
  <c r="X127" i="10"/>
  <c r="X119" i="10"/>
  <c r="X111" i="10"/>
  <c r="X103" i="10"/>
  <c r="X133" i="10"/>
  <c r="X125" i="10"/>
  <c r="X117" i="10"/>
  <c r="X109" i="10"/>
  <c r="X101" i="10"/>
  <c r="X132" i="10"/>
  <c r="X124" i="10"/>
  <c r="X116" i="10"/>
  <c r="X108" i="10"/>
  <c r="X131" i="10"/>
  <c r="X123" i="10"/>
  <c r="X115" i="10"/>
  <c r="X107" i="10"/>
  <c r="X130" i="10"/>
  <c r="X126" i="10"/>
  <c r="X122" i="10"/>
  <c r="X114" i="10"/>
  <c r="X110" i="10"/>
  <c r="X134" i="10"/>
  <c r="X118" i="10"/>
  <c r="X106" i="10"/>
  <c r="X102" i="10"/>
  <c r="X138" i="10"/>
  <c r="L258" i="10"/>
  <c r="L260" i="10"/>
  <c r="H133" i="10"/>
  <c r="H125" i="10"/>
  <c r="H117" i="10"/>
  <c r="H109" i="10"/>
  <c r="H101" i="10"/>
  <c r="H137" i="10"/>
  <c r="H129" i="10"/>
  <c r="H121" i="10"/>
  <c r="H113" i="10"/>
  <c r="H105" i="10"/>
  <c r="H130" i="10"/>
  <c r="H119" i="10"/>
  <c r="H108" i="10"/>
  <c r="H128" i="10"/>
  <c r="H118" i="10"/>
  <c r="H107" i="10"/>
  <c r="H138" i="10"/>
  <c r="H127" i="10"/>
  <c r="H116" i="10"/>
  <c r="H106" i="10"/>
  <c r="H136" i="10"/>
  <c r="H126" i="10"/>
  <c r="H115" i="10"/>
  <c r="H104" i="10"/>
  <c r="H120" i="10"/>
  <c r="H135" i="10"/>
  <c r="H124" i="10"/>
  <c r="H114" i="10"/>
  <c r="H103" i="10"/>
  <c r="H134" i="10"/>
  <c r="H123" i="10"/>
  <c r="H112" i="10"/>
  <c r="H102" i="10"/>
  <c r="H131" i="10"/>
  <c r="H132" i="10"/>
  <c r="H122" i="10"/>
  <c r="H111" i="10"/>
  <c r="H110" i="10"/>
  <c r="AB137" i="10"/>
  <c r="AB129" i="10"/>
  <c r="AB121" i="10"/>
  <c r="AB113" i="10"/>
  <c r="AB105" i="10"/>
  <c r="AB136" i="10"/>
  <c r="AB128" i="10"/>
  <c r="AB120" i="10"/>
  <c r="AB112" i="10"/>
  <c r="AB104" i="10"/>
  <c r="AB135" i="10"/>
  <c r="AB127" i="10"/>
  <c r="AB119" i="10"/>
  <c r="AB111" i="10"/>
  <c r="AB103" i="10"/>
  <c r="AB134" i="10"/>
  <c r="AB126" i="10"/>
  <c r="AB118" i="10"/>
  <c r="AB110" i="10"/>
  <c r="AB102" i="10"/>
  <c r="AB133" i="10"/>
  <c r="AB125" i="10"/>
  <c r="AB117" i="10"/>
  <c r="AB109" i="10"/>
  <c r="AB101" i="10"/>
  <c r="AB132" i="10"/>
  <c r="AB124" i="10"/>
  <c r="AB116" i="10"/>
  <c r="AB108" i="10"/>
  <c r="AB131" i="10"/>
  <c r="AB123" i="10"/>
  <c r="AB115" i="10"/>
  <c r="AB107" i="10"/>
  <c r="AB138" i="10"/>
  <c r="AB130" i="10"/>
  <c r="AB114" i="10"/>
  <c r="AB106" i="10"/>
  <c r="AB122" i="10"/>
  <c r="T258" i="10"/>
  <c r="T260" i="10"/>
  <c r="X221" i="10"/>
  <c r="X220" i="10"/>
  <c r="V14" i="10"/>
  <c r="V13" i="10"/>
  <c r="V12" i="10"/>
  <c r="V16" i="10"/>
  <c r="V15" i="10"/>
  <c r="F132" i="10"/>
  <c r="F124" i="10"/>
  <c r="F116" i="10"/>
  <c r="F108" i="10"/>
  <c r="F101" i="10"/>
  <c r="F131" i="10"/>
  <c r="F123" i="10"/>
  <c r="F115" i="10"/>
  <c r="F107" i="10"/>
  <c r="F133" i="10"/>
  <c r="F138" i="10"/>
  <c r="F130" i="10"/>
  <c r="F122" i="10"/>
  <c r="F114" i="10"/>
  <c r="F106" i="10"/>
  <c r="F137" i="10"/>
  <c r="F129" i="10"/>
  <c r="F121" i="10"/>
  <c r="F113" i="10"/>
  <c r="F105" i="10"/>
  <c r="F136" i="10"/>
  <c r="F128" i="10"/>
  <c r="F120" i="10"/>
  <c r="F112" i="10"/>
  <c r="F104" i="10"/>
  <c r="F125" i="10"/>
  <c r="F135" i="10"/>
  <c r="F127" i="10"/>
  <c r="F119" i="10"/>
  <c r="F111" i="10"/>
  <c r="F103" i="10"/>
  <c r="F109" i="10"/>
  <c r="F134" i="10"/>
  <c r="F126" i="10"/>
  <c r="F118" i="10"/>
  <c r="F110" i="10"/>
  <c r="F102" i="10"/>
  <c r="F117" i="10"/>
  <c r="F29" i="10"/>
  <c r="X29" i="10"/>
  <c r="V258" i="10"/>
  <c r="V260" i="10"/>
  <c r="V234" i="10"/>
  <c r="AF39" i="10"/>
  <c r="AF38" i="10"/>
  <c r="AF37" i="10"/>
  <c r="AF42" i="10"/>
  <c r="AF41" i="10"/>
  <c r="AF40" i="10"/>
  <c r="AD260" i="10"/>
  <c r="AD258" i="10"/>
  <c r="AF234" i="10"/>
  <c r="L234" i="10"/>
  <c r="AB260" i="10"/>
  <c r="AB258" i="10"/>
  <c r="N15" i="10"/>
  <c r="N14" i="10"/>
  <c r="N13" i="10"/>
  <c r="N12" i="10"/>
  <c r="N16" i="10"/>
  <c r="AF228" i="10"/>
  <c r="AF227" i="10"/>
  <c r="AF226" i="10"/>
  <c r="AF137" i="10"/>
  <c r="AF129" i="10"/>
  <c r="AF121" i="10"/>
  <c r="AF113" i="10"/>
  <c r="AF105" i="10"/>
  <c r="AF136" i="10"/>
  <c r="AF128" i="10"/>
  <c r="AF120" i="10"/>
  <c r="AF112" i="10"/>
  <c r="AF104" i="10"/>
  <c r="AF135" i="10"/>
  <c r="AF127" i="10"/>
  <c r="AF119" i="10"/>
  <c r="AF111" i="10"/>
  <c r="AF103" i="10"/>
  <c r="AF134" i="10"/>
  <c r="AF126" i="10"/>
  <c r="AF118" i="10"/>
  <c r="AF110" i="10"/>
  <c r="AF102" i="10"/>
  <c r="AF133" i="10"/>
  <c r="AF125" i="10"/>
  <c r="AF117" i="10"/>
  <c r="AF109" i="10"/>
  <c r="AF101" i="10"/>
  <c r="AF132" i="10"/>
  <c r="AF124" i="10"/>
  <c r="AF116" i="10"/>
  <c r="AF108" i="10"/>
  <c r="AF131" i="10"/>
  <c r="AF123" i="10"/>
  <c r="AF115" i="10"/>
  <c r="AF107" i="10"/>
  <c r="AF130" i="10"/>
  <c r="AF122" i="10"/>
  <c r="AF114" i="10"/>
  <c r="AF138" i="10"/>
  <c r="AF106" i="10"/>
  <c r="F258" i="10"/>
  <c r="F260" i="10"/>
  <c r="AB39" i="10"/>
  <c r="AB38" i="10"/>
  <c r="AB37" i="10"/>
  <c r="AB42" i="10"/>
  <c r="AB41" i="10"/>
  <c r="AB40" i="10"/>
  <c r="T234" i="10"/>
  <c r="T27" i="10"/>
  <c r="T26" i="10"/>
  <c r="T25" i="10"/>
  <c r="T23" i="10"/>
  <c r="T22" i="10"/>
  <c r="T29" i="10"/>
  <c r="T24" i="10"/>
  <c r="X258" i="10"/>
  <c r="X260" i="10"/>
  <c r="V132" i="10"/>
  <c r="V124" i="10"/>
  <c r="V116" i="10"/>
  <c r="V108" i="10"/>
  <c r="V131" i="10"/>
  <c r="V123" i="10"/>
  <c r="V115" i="10"/>
  <c r="V107" i="10"/>
  <c r="V138" i="10"/>
  <c r="V130" i="10"/>
  <c r="V122" i="10"/>
  <c r="V114" i="10"/>
  <c r="V106" i="10"/>
  <c r="V136" i="10"/>
  <c r="V128" i="10"/>
  <c r="V120" i="10"/>
  <c r="V112" i="10"/>
  <c r="V104" i="10"/>
  <c r="V135" i="10"/>
  <c r="V127" i="10"/>
  <c r="V119" i="10"/>
  <c r="V111" i="10"/>
  <c r="V103" i="10"/>
  <c r="V134" i="10"/>
  <c r="V113" i="10"/>
  <c r="V133" i="10"/>
  <c r="V110" i="10"/>
  <c r="V129" i="10"/>
  <c r="V109" i="10"/>
  <c r="V126" i="10"/>
  <c r="V105" i="10"/>
  <c r="V125" i="10"/>
  <c r="V102" i="10"/>
  <c r="V121" i="10"/>
  <c r="V101" i="10"/>
  <c r="V118" i="10"/>
  <c r="V117" i="10"/>
  <c r="V137" i="10"/>
  <c r="T42" i="10"/>
  <c r="T41" i="10"/>
  <c r="T40" i="10"/>
  <c r="T38" i="10"/>
  <c r="T37" i="10"/>
  <c r="T39" i="10"/>
  <c r="AD221" i="10"/>
  <c r="AD220" i="10"/>
  <c r="L42" i="10"/>
  <c r="L41" i="10"/>
  <c r="L40" i="10"/>
  <c r="L39" i="10"/>
  <c r="L38" i="10"/>
  <c r="L37" i="10"/>
  <c r="N42" i="10"/>
  <c r="N41" i="10"/>
  <c r="N40" i="10"/>
  <c r="N39" i="10"/>
  <c r="N38" i="10"/>
  <c r="N37" i="10"/>
  <c r="N29" i="10"/>
  <c r="N27" i="10"/>
  <c r="N26" i="10"/>
  <c r="N25" i="10"/>
  <c r="N24" i="10"/>
  <c r="N23" i="10"/>
  <c r="N22" i="10"/>
  <c r="AD234" i="10"/>
  <c r="X39" i="10"/>
  <c r="X38" i="10"/>
  <c r="X37" i="10"/>
  <c r="X42" i="10"/>
  <c r="X41" i="10"/>
  <c r="X40" i="10"/>
  <c r="L228" i="10"/>
  <c r="L227" i="10"/>
  <c r="L226" i="10"/>
  <c r="L133" i="10"/>
  <c r="L125" i="10"/>
  <c r="L117" i="10"/>
  <c r="L109" i="10"/>
  <c r="L101" i="10"/>
  <c r="L132" i="10"/>
  <c r="L124" i="10"/>
  <c r="L116" i="10"/>
  <c r="L108" i="10"/>
  <c r="L131" i="10"/>
  <c r="L123" i="10"/>
  <c r="L115" i="10"/>
  <c r="L107" i="10"/>
  <c r="L138" i="10"/>
  <c r="L130" i="10"/>
  <c r="L122" i="10"/>
  <c r="L114" i="10"/>
  <c r="L106" i="10"/>
  <c r="L137" i="10"/>
  <c r="L129" i="10"/>
  <c r="L121" i="10"/>
  <c r="L113" i="10"/>
  <c r="L105" i="10"/>
  <c r="L136" i="10"/>
  <c r="L128" i="10"/>
  <c r="L120" i="10"/>
  <c r="L112" i="10"/>
  <c r="L104" i="10"/>
  <c r="L135" i="10"/>
  <c r="L103" i="10"/>
  <c r="L134" i="10"/>
  <c r="L102" i="10"/>
  <c r="L127" i="10"/>
  <c r="L126" i="10"/>
  <c r="L110" i="10"/>
  <c r="L119" i="10"/>
  <c r="L118" i="10"/>
  <c r="L111" i="10"/>
  <c r="P42" i="10"/>
  <c r="P41" i="10"/>
  <c r="P40" i="10"/>
  <c r="P38" i="10"/>
  <c r="P37" i="10"/>
  <c r="P39" i="10"/>
  <c r="P234" i="10"/>
  <c r="AB24" i="10"/>
  <c r="AB23" i="10"/>
  <c r="AB22" i="10"/>
  <c r="AB29" i="10"/>
  <c r="AB27" i="10"/>
  <c r="AB26" i="10"/>
  <c r="AB25" i="10"/>
  <c r="AD228" i="10"/>
  <c r="AD227" i="10"/>
  <c r="AD226" i="10"/>
  <c r="AD16" i="10"/>
  <c r="AD15" i="10"/>
  <c r="AD13" i="10"/>
  <c r="AD12" i="10"/>
  <c r="N260" i="10"/>
  <c r="N258" i="10"/>
  <c r="P132" i="10"/>
  <c r="P124" i="10"/>
  <c r="P116" i="10"/>
  <c r="P108" i="10"/>
  <c r="P131" i="10"/>
  <c r="P123" i="10"/>
  <c r="P115" i="10"/>
  <c r="P107" i="10"/>
  <c r="P138" i="10"/>
  <c r="P130" i="10"/>
  <c r="P122" i="10"/>
  <c r="P114" i="10"/>
  <c r="P106" i="10"/>
  <c r="P136" i="10"/>
  <c r="P128" i="10"/>
  <c r="P120" i="10"/>
  <c r="P112" i="10"/>
  <c r="P104" i="10"/>
  <c r="P135" i="10"/>
  <c r="P127" i="10"/>
  <c r="P119" i="10"/>
  <c r="P111" i="10"/>
  <c r="P103" i="10"/>
  <c r="P129" i="10"/>
  <c r="P109" i="10"/>
  <c r="P126" i="10"/>
  <c r="P105" i="10"/>
  <c r="P125" i="10"/>
  <c r="P102" i="10"/>
  <c r="P121" i="10"/>
  <c r="P101" i="10"/>
  <c r="P118" i="10"/>
  <c r="P137" i="10"/>
  <c r="P117" i="10"/>
  <c r="P113" i="10"/>
  <c r="P133" i="10"/>
  <c r="P110" i="10"/>
  <c r="P134" i="10"/>
  <c r="F234" i="10"/>
  <c r="P14" i="10"/>
  <c r="P13" i="10"/>
  <c r="P12" i="10"/>
  <c r="P16" i="10"/>
  <c r="P15" i="10"/>
  <c r="P221" i="10"/>
  <c r="P220" i="10"/>
  <c r="V27" i="10"/>
  <c r="V26" i="10"/>
  <c r="V25" i="10"/>
  <c r="V23" i="10"/>
  <c r="V22" i="10"/>
  <c r="V29" i="10"/>
  <c r="V24" i="10"/>
  <c r="V228" i="10"/>
  <c r="V227" i="10"/>
  <c r="V226" i="10"/>
  <c r="AD137" i="10"/>
  <c r="AD129" i="10"/>
  <c r="AD121" i="10"/>
  <c r="AD113" i="10"/>
  <c r="AD105" i="10"/>
  <c r="AD136" i="10"/>
  <c r="AD128" i="10"/>
  <c r="AD120" i="10"/>
  <c r="AD112" i="10"/>
  <c r="AD104" i="10"/>
  <c r="AD135" i="10"/>
  <c r="AD127" i="10"/>
  <c r="AD119" i="10"/>
  <c r="AD111" i="10"/>
  <c r="AD103" i="10"/>
  <c r="AD134" i="10"/>
  <c r="AD126" i="10"/>
  <c r="AD118" i="10"/>
  <c r="AD110" i="10"/>
  <c r="AD102" i="10"/>
  <c r="AD133" i="10"/>
  <c r="AD125" i="10"/>
  <c r="AD117" i="10"/>
  <c r="AD109" i="10"/>
  <c r="AD101" i="10"/>
  <c r="AD132" i="10"/>
  <c r="AD124" i="10"/>
  <c r="AD116" i="10"/>
  <c r="AD108" i="10"/>
  <c r="AD131" i="10"/>
  <c r="AD123" i="10"/>
  <c r="AD115" i="10"/>
  <c r="AD107" i="10"/>
  <c r="AD106" i="10"/>
  <c r="AD138" i="10"/>
  <c r="AD130" i="10"/>
  <c r="AD122" i="10"/>
  <c r="AD114" i="10"/>
  <c r="P27" i="10"/>
  <c r="P26" i="10"/>
  <c r="P25" i="10"/>
  <c r="P23" i="10"/>
  <c r="P22" i="10"/>
  <c r="P29" i="10"/>
  <c r="P24" i="10"/>
  <c r="AB234" i="10"/>
  <c r="L15" i="10"/>
  <c r="L14" i="10"/>
  <c r="L13" i="10"/>
  <c r="L12" i="10"/>
  <c r="L16" i="10"/>
  <c r="L29" i="10"/>
  <c r="H228" i="10"/>
  <c r="H227" i="10"/>
  <c r="H226" i="10"/>
  <c r="G31" i="10"/>
  <c r="H252" i="10" s="1"/>
  <c r="H14" i="10"/>
  <c r="H13" i="10"/>
  <c r="H12" i="10"/>
  <c r="H15" i="10"/>
  <c r="H16" i="10"/>
  <c r="N138" i="10"/>
  <c r="N135" i="10"/>
  <c r="N133" i="10"/>
  <c r="N125" i="10"/>
  <c r="N117" i="10"/>
  <c r="N109" i="10"/>
  <c r="N101" i="10"/>
  <c r="N132" i="10"/>
  <c r="N124" i="10"/>
  <c r="N116" i="10"/>
  <c r="N108" i="10"/>
  <c r="N131" i="10"/>
  <c r="N123" i="10"/>
  <c r="N115" i="10"/>
  <c r="N107" i="10"/>
  <c r="N130" i="10"/>
  <c r="N122" i="10"/>
  <c r="N114" i="10"/>
  <c r="N106" i="10"/>
  <c r="N129" i="10"/>
  <c r="N121" i="10"/>
  <c r="N113" i="10"/>
  <c r="N105" i="10"/>
  <c r="N137" i="10"/>
  <c r="N128" i="10"/>
  <c r="N120" i="10"/>
  <c r="N112" i="10"/>
  <c r="N104" i="10"/>
  <c r="N127" i="10"/>
  <c r="N134" i="10"/>
  <c r="N126" i="10"/>
  <c r="N119" i="10"/>
  <c r="N118" i="10"/>
  <c r="N111" i="10"/>
  <c r="N110" i="10"/>
  <c r="N102" i="10"/>
  <c r="N136" i="10"/>
  <c r="N103" i="10"/>
  <c r="F228" i="10"/>
  <c r="F227" i="10"/>
  <c r="F226" i="10"/>
  <c r="C31" i="10"/>
  <c r="D13" i="10"/>
  <c r="D12" i="10"/>
  <c r="D16" i="10"/>
  <c r="D15" i="10"/>
  <c r="D14" i="10"/>
  <c r="C245" i="10"/>
  <c r="C181" i="10"/>
  <c r="D176" i="10"/>
  <c r="AE95" i="10"/>
  <c r="AA264" i="10"/>
  <c r="AC264" i="10"/>
  <c r="AA95" i="10"/>
  <c r="AE264" i="10"/>
  <c r="AC95" i="10"/>
  <c r="U264" i="10"/>
  <c r="W95" i="10"/>
  <c r="W31" i="10"/>
  <c r="S264" i="10"/>
  <c r="U95" i="10"/>
  <c r="S31" i="10"/>
  <c r="T236" i="10" s="1"/>
  <c r="S181" i="10"/>
  <c r="S95" i="10"/>
  <c r="W264" i="10"/>
  <c r="E264" i="10"/>
  <c r="G264" i="10"/>
  <c r="H264" i="10" s="1"/>
  <c r="O95" i="10"/>
  <c r="K95" i="10"/>
  <c r="O264" i="10"/>
  <c r="K264" i="10"/>
  <c r="M245" i="10"/>
  <c r="M31" i="10"/>
  <c r="N236" i="10" s="1"/>
  <c r="M264" i="10"/>
  <c r="M95" i="10"/>
  <c r="D131" i="10"/>
  <c r="D123" i="10"/>
  <c r="D115" i="10"/>
  <c r="D107" i="10"/>
  <c r="D103" i="10"/>
  <c r="D138" i="10"/>
  <c r="D130" i="10"/>
  <c r="D122" i="10"/>
  <c r="D114" i="10"/>
  <c r="D106" i="10"/>
  <c r="D127" i="10"/>
  <c r="D137" i="10"/>
  <c r="D129" i="10"/>
  <c r="D121" i="10"/>
  <c r="D113" i="10"/>
  <c r="D105" i="10"/>
  <c r="D119" i="10"/>
  <c r="D136" i="10"/>
  <c r="D128" i="10"/>
  <c r="D120" i="10"/>
  <c r="D112" i="10"/>
  <c r="D104" i="10"/>
  <c r="D111" i="10"/>
  <c r="D134" i="10"/>
  <c r="D126" i="10"/>
  <c r="D118" i="10"/>
  <c r="D110" i="10"/>
  <c r="D102" i="10"/>
  <c r="D133" i="10"/>
  <c r="D125" i="10"/>
  <c r="D117" i="10"/>
  <c r="D109" i="10"/>
  <c r="D101" i="10"/>
  <c r="D132" i="10"/>
  <c r="D124" i="10"/>
  <c r="D116" i="10"/>
  <c r="D108" i="10"/>
  <c r="D135" i="10"/>
  <c r="D228" i="10"/>
  <c r="D226" i="10"/>
  <c r="D227" i="10"/>
  <c r="D174" i="10"/>
  <c r="D166" i="10"/>
  <c r="D158" i="10"/>
  <c r="D150" i="10"/>
  <c r="D170" i="10"/>
  <c r="D173" i="10"/>
  <c r="D165" i="10"/>
  <c r="D157" i="10"/>
  <c r="D149" i="10"/>
  <c r="D172" i="10"/>
  <c r="D164" i="10"/>
  <c r="D156" i="10"/>
  <c r="D148" i="10"/>
  <c r="D162" i="10"/>
  <c r="D154" i="10"/>
  <c r="D171" i="10"/>
  <c r="D163" i="10"/>
  <c r="D155" i="10"/>
  <c r="D147" i="10"/>
  <c r="D146" i="10"/>
  <c r="D169" i="10"/>
  <c r="D161" i="10"/>
  <c r="D153" i="10"/>
  <c r="D145" i="10"/>
  <c r="D168" i="10"/>
  <c r="D160" i="10"/>
  <c r="D152" i="10"/>
  <c r="D144" i="10"/>
  <c r="D175" i="10"/>
  <c r="D167" i="10"/>
  <c r="D159" i="10"/>
  <c r="D151" i="10"/>
  <c r="D143" i="10"/>
  <c r="M181" i="10"/>
  <c r="U181" i="10"/>
  <c r="K181" i="10"/>
  <c r="AE181" i="10"/>
  <c r="E181" i="10"/>
  <c r="W181" i="10"/>
  <c r="X181" i="10" s="1"/>
  <c r="O181" i="10"/>
  <c r="AA181" i="10"/>
  <c r="AC181" i="10"/>
  <c r="G181" i="10"/>
  <c r="D220" i="10"/>
  <c r="D221" i="10"/>
  <c r="AC31" i="10"/>
  <c r="AD230" i="10" s="1"/>
  <c r="AE31" i="10"/>
  <c r="AF262" i="10" s="1"/>
  <c r="AA31" i="10"/>
  <c r="AB44" i="10" s="1"/>
  <c r="O31" i="10"/>
  <c r="P252" i="10" s="1"/>
  <c r="K31" i="10"/>
  <c r="L223" i="10" s="1"/>
  <c r="U31" i="10"/>
  <c r="V214" i="10" s="1"/>
  <c r="G21" i="9"/>
  <c r="G36" i="9"/>
  <c r="G20" i="9"/>
  <c r="G44" i="9"/>
  <c r="C146" i="3"/>
  <c r="E245" i="10"/>
  <c r="W245" i="10"/>
  <c r="G245" i="10"/>
  <c r="S245" i="10"/>
  <c r="AC245" i="10"/>
  <c r="AA245" i="10"/>
  <c r="O245" i="10"/>
  <c r="U245" i="10"/>
  <c r="K245" i="10"/>
  <c r="AE245" i="10"/>
  <c r="AD245" i="10" l="1"/>
  <c r="L245" i="10"/>
  <c r="N181" i="10"/>
  <c r="N95" i="10"/>
  <c r="N245" i="10"/>
  <c r="AB245" i="10"/>
  <c r="V245" i="10"/>
  <c r="T245" i="10"/>
  <c r="N264" i="10"/>
  <c r="T243" i="10"/>
  <c r="AB262" i="10"/>
  <c r="N252" i="10"/>
  <c r="AD252" i="10"/>
  <c r="G97" i="10"/>
  <c r="H97" i="10" s="1"/>
  <c r="H181" i="10"/>
  <c r="P223" i="10"/>
  <c r="AD181" i="10"/>
  <c r="H230" i="10"/>
  <c r="AB181" i="10"/>
  <c r="L262" i="10"/>
  <c r="H245" i="10"/>
  <c r="P140" i="10"/>
  <c r="X31" i="10"/>
  <c r="X195" i="10"/>
  <c r="X179" i="10"/>
  <c r="X88" i="10"/>
  <c r="X202" i="10"/>
  <c r="X93" i="10"/>
  <c r="X190" i="10"/>
  <c r="X236" i="10"/>
  <c r="X243" i="10"/>
  <c r="X250" i="10"/>
  <c r="X207" i="10"/>
  <c r="X212" i="10"/>
  <c r="AD31" i="10"/>
  <c r="AD93" i="10"/>
  <c r="AD179" i="10"/>
  <c r="AD88" i="10"/>
  <c r="AD202" i="10"/>
  <c r="AD195" i="10"/>
  <c r="AD190" i="10"/>
  <c r="AD212" i="10"/>
  <c r="AD250" i="10"/>
  <c r="AD207" i="10"/>
  <c r="F181" i="10"/>
  <c r="F264" i="10"/>
  <c r="X95" i="10"/>
  <c r="N140" i="10"/>
  <c r="T252" i="10"/>
  <c r="P236" i="10"/>
  <c r="X262" i="10"/>
  <c r="P243" i="10"/>
  <c r="V262" i="10"/>
  <c r="H140" i="10"/>
  <c r="P262" i="10"/>
  <c r="F95" i="10"/>
  <c r="L214" i="10"/>
  <c r="AF181" i="10"/>
  <c r="N31" i="10"/>
  <c r="N195" i="10"/>
  <c r="N88" i="10"/>
  <c r="N93" i="10"/>
  <c r="N207" i="10"/>
  <c r="N179" i="10"/>
  <c r="N202" i="10"/>
  <c r="N212" i="10"/>
  <c r="N230" i="10"/>
  <c r="N243" i="10"/>
  <c r="N223" i="10"/>
  <c r="N250" i="10"/>
  <c r="N190" i="10"/>
  <c r="X264" i="10"/>
  <c r="V264" i="10"/>
  <c r="V230" i="10"/>
  <c r="H95" i="10"/>
  <c r="L44" i="10"/>
  <c r="V140" i="10"/>
  <c r="AB243" i="10"/>
  <c r="L236" i="10"/>
  <c r="AB140" i="10"/>
  <c r="AF214" i="10"/>
  <c r="AF95" i="10"/>
  <c r="AF230" i="10"/>
  <c r="L181" i="10"/>
  <c r="T95" i="10"/>
  <c r="AD95" i="10"/>
  <c r="E97" i="10"/>
  <c r="F97" i="10" s="1"/>
  <c r="AB236" i="10"/>
  <c r="P214" i="10"/>
  <c r="P44" i="10"/>
  <c r="L230" i="10"/>
  <c r="N44" i="10"/>
  <c r="F252" i="10"/>
  <c r="AB223" i="10"/>
  <c r="AF44" i="10"/>
  <c r="X140" i="10"/>
  <c r="AF245" i="10"/>
  <c r="X245" i="10"/>
  <c r="V31" i="10"/>
  <c r="V93" i="10"/>
  <c r="V202" i="10"/>
  <c r="V88" i="10"/>
  <c r="V195" i="10"/>
  <c r="V179" i="10"/>
  <c r="V207" i="10"/>
  <c r="V190" i="10"/>
  <c r="V250" i="10"/>
  <c r="V212" i="10"/>
  <c r="V181" i="10"/>
  <c r="L264" i="10"/>
  <c r="T181" i="10"/>
  <c r="AF264" i="10"/>
  <c r="X252" i="10"/>
  <c r="AD140" i="10"/>
  <c r="AD236" i="10"/>
  <c r="F214" i="10"/>
  <c r="F262" i="10"/>
  <c r="X214" i="10"/>
  <c r="AD262" i="10"/>
  <c r="L252" i="10"/>
  <c r="X223" i="10"/>
  <c r="AD44" i="10"/>
  <c r="H223" i="10"/>
  <c r="P230" i="10"/>
  <c r="F245" i="10"/>
  <c r="P264" i="10"/>
  <c r="T31" i="10"/>
  <c r="T93" i="10"/>
  <c r="T179" i="10"/>
  <c r="T202" i="10"/>
  <c r="T88" i="10"/>
  <c r="T195" i="10"/>
  <c r="T140" i="10"/>
  <c r="T230" i="10"/>
  <c r="T250" i="10"/>
  <c r="T212" i="10"/>
  <c r="T223" i="10"/>
  <c r="T190" i="10"/>
  <c r="T207" i="10"/>
  <c r="AB95" i="10"/>
  <c r="AD223" i="10"/>
  <c r="V252" i="10"/>
  <c r="AD243" i="10"/>
  <c r="V236" i="10"/>
  <c r="AD214" i="10"/>
  <c r="H262" i="10"/>
  <c r="AB230" i="10"/>
  <c r="V44" i="10"/>
  <c r="AF31" i="10"/>
  <c r="AF179" i="10"/>
  <c r="AF88" i="10"/>
  <c r="AF93" i="10"/>
  <c r="AF195" i="10"/>
  <c r="AF202" i="10"/>
  <c r="AF207" i="10"/>
  <c r="AF190" i="10"/>
  <c r="AF212" i="10"/>
  <c r="AF250" i="10"/>
  <c r="L95" i="10"/>
  <c r="V95" i="10"/>
  <c r="AD264" i="10"/>
  <c r="T214" i="10"/>
  <c r="V243" i="10"/>
  <c r="L140" i="10"/>
  <c r="T44" i="10"/>
  <c r="AB214" i="10"/>
  <c r="AF252" i="10"/>
  <c r="V223" i="10"/>
  <c r="AF243" i="10"/>
  <c r="X230" i="10"/>
  <c r="F44" i="10"/>
  <c r="F31" i="10"/>
  <c r="F223" i="10"/>
  <c r="F195" i="10"/>
  <c r="F179" i="10"/>
  <c r="F88" i="10"/>
  <c r="F207" i="10"/>
  <c r="F202" i="10"/>
  <c r="F93" i="10"/>
  <c r="F190" i="10"/>
  <c r="F212" i="10"/>
  <c r="F250" i="10"/>
  <c r="L179" i="10"/>
  <c r="L31" i="10"/>
  <c r="L93" i="10"/>
  <c r="L207" i="10"/>
  <c r="L195" i="10"/>
  <c r="L202" i="10"/>
  <c r="L88" i="10"/>
  <c r="L212" i="10"/>
  <c r="L250" i="10"/>
  <c r="L190" i="10"/>
  <c r="P31" i="10"/>
  <c r="P88" i="10"/>
  <c r="P195" i="10"/>
  <c r="P202" i="10"/>
  <c r="P179" i="10"/>
  <c r="P93" i="10"/>
  <c r="P207" i="10"/>
  <c r="P250" i="10"/>
  <c r="P190" i="10"/>
  <c r="P212" i="10"/>
  <c r="P245" i="10"/>
  <c r="AB31" i="10"/>
  <c r="AB195" i="10"/>
  <c r="AB88" i="10"/>
  <c r="AB179" i="10"/>
  <c r="AB93" i="10"/>
  <c r="AB202" i="10"/>
  <c r="AB207" i="10"/>
  <c r="AB250" i="10"/>
  <c r="AB212" i="10"/>
  <c r="AB190" i="10"/>
  <c r="P181" i="10"/>
  <c r="P95" i="10"/>
  <c r="T264" i="10"/>
  <c r="AB264" i="10"/>
  <c r="F230" i="10"/>
  <c r="H31" i="10"/>
  <c r="H88" i="10"/>
  <c r="H93" i="10"/>
  <c r="H179" i="10"/>
  <c r="H202" i="10"/>
  <c r="H207" i="10"/>
  <c r="H195" i="10"/>
  <c r="H44" i="10"/>
  <c r="H212" i="10"/>
  <c r="H236" i="10"/>
  <c r="H243" i="10"/>
  <c r="H190" i="10"/>
  <c r="H250" i="10"/>
  <c r="N214" i="10"/>
  <c r="H214" i="10"/>
  <c r="N262" i="10"/>
  <c r="X44" i="10"/>
  <c r="F243" i="10"/>
  <c r="AF140" i="10"/>
  <c r="AF236" i="10"/>
  <c r="F140" i="10"/>
  <c r="T262" i="10"/>
  <c r="AB252" i="10"/>
  <c r="L243" i="10"/>
  <c r="AF223" i="10"/>
  <c r="D181" i="10"/>
  <c r="D31" i="10"/>
  <c r="D195" i="10"/>
  <c r="D88" i="10"/>
  <c r="D223" i="10"/>
  <c r="D262" i="10"/>
  <c r="D179" i="10"/>
  <c r="D44" i="10"/>
  <c r="D207" i="10"/>
  <c r="D202" i="10"/>
  <c r="D243" i="10"/>
  <c r="D264" i="10"/>
  <c r="D93" i="10"/>
  <c r="D236" i="10"/>
  <c r="D212" i="10"/>
  <c r="D190" i="10"/>
  <c r="D250" i="10"/>
  <c r="D252" i="10"/>
  <c r="D95" i="10"/>
  <c r="D214" i="10"/>
  <c r="D245" i="10"/>
  <c r="D230" i="10"/>
  <c r="D140" i="10"/>
  <c r="C97" i="10"/>
  <c r="D97" i="10" s="1"/>
  <c r="U97" i="10"/>
  <c r="V97" i="10" s="1"/>
  <c r="O97" i="10"/>
  <c r="P97" i="10" s="1"/>
  <c r="AE97" i="10"/>
  <c r="AF97" i="10" s="1"/>
  <c r="W97" i="10"/>
  <c r="X97" i="10" s="1"/>
  <c r="AC97" i="10"/>
  <c r="AD97" i="10" s="1"/>
  <c r="M97" i="10"/>
  <c r="N97" i="10" s="1"/>
  <c r="K97" i="10"/>
  <c r="L97" i="10" s="1"/>
  <c r="S97" i="10"/>
  <c r="T97" i="10" s="1"/>
  <c r="AA97" i="10"/>
  <c r="AB97" i="10" s="1"/>
  <c r="Q595" i="1"/>
  <c r="Q597" i="1" s="1"/>
  <c r="P595" i="1"/>
  <c r="P597" i="1" s="1"/>
  <c r="O595" i="1"/>
  <c r="O597" i="1" s="1"/>
  <c r="N595" i="1"/>
  <c r="N597" i="1" s="1"/>
  <c r="M595" i="1"/>
  <c r="M597" i="1" s="1"/>
  <c r="L595" i="1"/>
  <c r="L597" i="1" s="1"/>
  <c r="K595" i="1"/>
  <c r="K597" i="1" s="1"/>
  <c r="J595" i="1"/>
  <c r="J597" i="1" s="1"/>
  <c r="I595" i="1"/>
  <c r="I597" i="1" s="1"/>
  <c r="H595" i="1"/>
  <c r="H597" i="1" s="1"/>
  <c r="G595" i="1"/>
  <c r="G597" i="1" s="1"/>
  <c r="F595" i="1"/>
  <c r="E595" i="1"/>
  <c r="E597" i="1" s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Q542" i="1" l="1"/>
  <c r="H542" i="1"/>
  <c r="F597" i="1"/>
  <c r="E542" i="1"/>
  <c r="M542" i="1"/>
  <c r="P542" i="1"/>
  <c r="L542" i="1"/>
  <c r="G183" i="10"/>
  <c r="G254" i="10" s="1"/>
  <c r="H254" i="10" s="1"/>
  <c r="E183" i="10"/>
  <c r="E254" i="10" s="1"/>
  <c r="F254" i="10" s="1"/>
  <c r="C183" i="10"/>
  <c r="D183" i="10" s="1"/>
  <c r="M183" i="10"/>
  <c r="AC183" i="10"/>
  <c r="AD183" i="10" s="1"/>
  <c r="S183" i="10"/>
  <c r="K183" i="10"/>
  <c r="AA183" i="10"/>
  <c r="AB183" i="10" s="1"/>
  <c r="W183" i="10"/>
  <c r="X183" i="10" s="1"/>
  <c r="AE183" i="10"/>
  <c r="AF183" i="10" s="1"/>
  <c r="U183" i="10"/>
  <c r="V183" i="10" s="1"/>
  <c r="O183" i="10"/>
  <c r="F542" i="1"/>
  <c r="N542" i="1"/>
  <c r="G542" i="1"/>
  <c r="O542" i="1"/>
  <c r="I542" i="1"/>
  <c r="J542" i="1"/>
  <c r="E518" i="1"/>
  <c r="K542" i="1"/>
  <c r="F590" i="1"/>
  <c r="N590" i="1"/>
  <c r="N599" i="1" s="1"/>
  <c r="J590" i="1"/>
  <c r="J599" i="1" s="1"/>
  <c r="K590" i="1"/>
  <c r="K599" i="1" s="1"/>
  <c r="E590" i="1"/>
  <c r="E599" i="1" s="1"/>
  <c r="M590" i="1"/>
  <c r="M599" i="1" s="1"/>
  <c r="H590" i="1"/>
  <c r="H599" i="1" s="1"/>
  <c r="P590" i="1"/>
  <c r="P599" i="1" s="1"/>
  <c r="G590" i="1"/>
  <c r="G599" i="1" s="1"/>
  <c r="O590" i="1"/>
  <c r="O599" i="1" s="1"/>
  <c r="Q590" i="1"/>
  <c r="Q599" i="1" s="1"/>
  <c r="I590" i="1"/>
  <c r="I599" i="1" s="1"/>
  <c r="L590" i="1"/>
  <c r="L599" i="1" s="1"/>
  <c r="F518" i="1"/>
  <c r="N518" i="1"/>
  <c r="Q518" i="1"/>
  <c r="O518" i="1"/>
  <c r="H518" i="1"/>
  <c r="P518" i="1"/>
  <c r="G518" i="1"/>
  <c r="I518" i="1"/>
  <c r="L518" i="1"/>
  <c r="J518" i="1"/>
  <c r="K518" i="1"/>
  <c r="M518" i="1"/>
  <c r="M544" i="1" l="1"/>
  <c r="H544" i="1"/>
  <c r="Q544" i="1"/>
  <c r="F599" i="1"/>
  <c r="L544" i="1"/>
  <c r="P544" i="1"/>
  <c r="E544" i="1"/>
  <c r="G544" i="1"/>
  <c r="K544" i="1"/>
  <c r="I544" i="1"/>
  <c r="F183" i="10"/>
  <c r="E266" i="10"/>
  <c r="F266" i="10" s="1"/>
  <c r="H183" i="10"/>
  <c r="C254" i="10"/>
  <c r="C266" i="10" s="1"/>
  <c r="D266" i="10" s="1"/>
  <c r="G266" i="10"/>
  <c r="H266" i="10" s="1"/>
  <c r="S254" i="10"/>
  <c r="T254" i="10" s="1"/>
  <c r="T183" i="10"/>
  <c r="K254" i="10"/>
  <c r="L254" i="10" s="1"/>
  <c r="L183" i="10"/>
  <c r="O254" i="10"/>
  <c r="P254" i="10" s="1"/>
  <c r="P183" i="10"/>
  <c r="M254" i="10"/>
  <c r="N254" i="10" s="1"/>
  <c r="N183" i="10"/>
  <c r="W254" i="10"/>
  <c r="X254" i="10" s="1"/>
  <c r="AC254" i="10"/>
  <c r="AD254" i="10" s="1"/>
  <c r="U254" i="10"/>
  <c r="V254" i="10" s="1"/>
  <c r="AA254" i="10"/>
  <c r="AB254" i="10" s="1"/>
  <c r="AE254" i="10"/>
  <c r="AF254" i="10" s="1"/>
  <c r="O544" i="1"/>
  <c r="N544" i="1"/>
  <c r="J544" i="1"/>
  <c r="F544" i="1"/>
  <c r="S266" i="10" l="1"/>
  <c r="T266" i="10" s="1"/>
  <c r="D254" i="10"/>
  <c r="O266" i="10"/>
  <c r="P266" i="10" s="1"/>
  <c r="M266" i="10"/>
  <c r="N266" i="10" s="1"/>
  <c r="K266" i="10"/>
  <c r="L266" i="10" s="1"/>
  <c r="AE266" i="10"/>
  <c r="AF266" i="10" s="1"/>
  <c r="U266" i="10"/>
  <c r="V266" i="10" s="1"/>
  <c r="AC266" i="10"/>
  <c r="AD266" i="10" s="1"/>
  <c r="AA266" i="10"/>
  <c r="AB266" i="10" s="1"/>
  <c r="W266" i="10"/>
  <c r="X266" i="10" s="1"/>
  <c r="J501" i="1"/>
  <c r="I501" i="1"/>
  <c r="H501" i="1"/>
  <c r="G501" i="1"/>
  <c r="F501" i="1"/>
  <c r="G554" i="1"/>
  <c r="G556" i="1" s="1"/>
  <c r="E554" i="1"/>
  <c r="E556" i="1" s="1"/>
  <c r="Q554" i="1"/>
  <c r="Q556" i="1" s="1"/>
  <c r="P554" i="1"/>
  <c r="P556" i="1" s="1"/>
  <c r="O554" i="1"/>
  <c r="O556" i="1" s="1"/>
  <c r="N554" i="1"/>
  <c r="N556" i="1" s="1"/>
  <c r="M554" i="1"/>
  <c r="M556" i="1" s="1"/>
  <c r="L554" i="1"/>
  <c r="L556" i="1" s="1"/>
  <c r="K554" i="1"/>
  <c r="K556" i="1" s="1"/>
  <c r="J554" i="1"/>
  <c r="J556" i="1" s="1"/>
  <c r="I554" i="1"/>
  <c r="I556" i="1" s="1"/>
  <c r="H554" i="1"/>
  <c r="H556" i="1" s="1"/>
  <c r="Q501" i="1"/>
  <c r="P501" i="1"/>
  <c r="O501" i="1"/>
  <c r="N501" i="1"/>
  <c r="M501" i="1"/>
  <c r="L501" i="1"/>
  <c r="K501" i="1"/>
  <c r="E501" i="1"/>
  <c r="E457" i="1"/>
  <c r="E459" i="1" s="1"/>
  <c r="K445" i="1"/>
  <c r="K457" i="1" s="1"/>
  <c r="K459" i="1" s="1"/>
  <c r="G445" i="1"/>
  <c r="G457" i="1" s="1"/>
  <c r="G459" i="1" s="1"/>
  <c r="L457" i="1"/>
  <c r="L459" i="1" s="1"/>
  <c r="Q457" i="1"/>
  <c r="Q459" i="1" s="1"/>
  <c r="P457" i="1"/>
  <c r="P459" i="1" s="1"/>
  <c r="O457" i="1"/>
  <c r="O459" i="1" s="1"/>
  <c r="N457" i="1"/>
  <c r="N459" i="1" s="1"/>
  <c r="M457" i="1"/>
  <c r="M459" i="1" s="1"/>
  <c r="J457" i="1"/>
  <c r="J459" i="1" s="1"/>
  <c r="I457" i="1"/>
  <c r="I459" i="1" s="1"/>
  <c r="H457" i="1"/>
  <c r="H459" i="1" s="1"/>
  <c r="F457" i="1"/>
  <c r="F408" i="1"/>
  <c r="G408" i="1"/>
  <c r="G410" i="1" s="1"/>
  <c r="Q344" i="1"/>
  <c r="Q346" i="1" s="1"/>
  <c r="P344" i="1"/>
  <c r="P346" i="1" s="1"/>
  <c r="J344" i="1"/>
  <c r="J346" i="1" s="1"/>
  <c r="I344" i="1"/>
  <c r="I346" i="1" s="1"/>
  <c r="H344" i="1"/>
  <c r="H346" i="1" s="1"/>
  <c r="G344" i="1"/>
  <c r="G346" i="1" s="1"/>
  <c r="E344" i="1"/>
  <c r="G328" i="1"/>
  <c r="G331" i="1" s="1"/>
  <c r="F325" i="1"/>
  <c r="Q328" i="1"/>
  <c r="Q331" i="1" s="1"/>
  <c r="P328" i="1"/>
  <c r="P331" i="1" s="1"/>
  <c r="O328" i="1"/>
  <c r="O331" i="1" s="1"/>
  <c r="N328" i="1"/>
  <c r="N331" i="1" s="1"/>
  <c r="M328" i="1"/>
  <c r="M331" i="1" s="1"/>
  <c r="L328" i="1"/>
  <c r="L331" i="1" s="1"/>
  <c r="K328" i="1"/>
  <c r="K331" i="1" s="1"/>
  <c r="J328" i="1"/>
  <c r="J331" i="1" s="1"/>
  <c r="I328" i="1"/>
  <c r="I331" i="1" s="1"/>
  <c r="H328" i="1"/>
  <c r="H331" i="1" s="1"/>
  <c r="E328" i="1"/>
  <c r="E331" i="1" s="1"/>
  <c r="Q308" i="1"/>
  <c r="E42" i="9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C42" i="9" s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10" i="19" s="1"/>
  <c r="D16" i="19" s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C10" i="19" s="1"/>
  <c r="C16" i="19" s="1"/>
  <c r="E267" i="1"/>
  <c r="C34" i="9" s="1"/>
  <c r="E272" i="1"/>
  <c r="C33" i="9" s="1"/>
  <c r="H33" i="9" s="1"/>
  <c r="E41" i="9" l="1"/>
  <c r="H42" i="9"/>
  <c r="C41" i="9"/>
  <c r="P503" i="1"/>
  <c r="F328" i="1"/>
  <c r="F554" i="1"/>
  <c r="F410" i="1"/>
  <c r="F459" i="1"/>
  <c r="N503" i="1"/>
  <c r="Q503" i="1"/>
  <c r="O503" i="1"/>
  <c r="G503" i="1"/>
  <c r="H503" i="1"/>
  <c r="E503" i="1"/>
  <c r="I503" i="1"/>
  <c r="K503" i="1"/>
  <c r="J503" i="1"/>
  <c r="L503" i="1"/>
  <c r="M503" i="1"/>
  <c r="E280" i="1"/>
  <c r="G33" i="9"/>
  <c r="G42" i="9"/>
  <c r="H398" i="1"/>
  <c r="H407" i="1" s="1"/>
  <c r="G348" i="1"/>
  <c r="O311" i="1"/>
  <c r="O313" i="1" s="1"/>
  <c r="I311" i="1"/>
  <c r="I313" i="1" s="1"/>
  <c r="J311" i="1"/>
  <c r="J313" i="1" s="1"/>
  <c r="J348" i="1"/>
  <c r="K311" i="1"/>
  <c r="K313" i="1" s="1"/>
  <c r="Q311" i="1"/>
  <c r="Q313" i="1" s="1"/>
  <c r="G311" i="1"/>
  <c r="G313" i="1" s="1"/>
  <c r="Q348" i="1"/>
  <c r="P348" i="1"/>
  <c r="H348" i="1"/>
  <c r="I348" i="1"/>
  <c r="L311" i="1"/>
  <c r="L313" i="1" s="1"/>
  <c r="E311" i="1"/>
  <c r="E313" i="1" s="1"/>
  <c r="M311" i="1"/>
  <c r="M313" i="1" s="1"/>
  <c r="F311" i="1"/>
  <c r="N311" i="1"/>
  <c r="N313" i="1" s="1"/>
  <c r="H311" i="1"/>
  <c r="H313" i="1" s="1"/>
  <c r="P311" i="1"/>
  <c r="P313" i="1" s="1"/>
  <c r="F344" i="1"/>
  <c r="E346" i="1"/>
  <c r="E348" i="1" s="1"/>
  <c r="O344" i="1"/>
  <c r="H41" i="9" l="1"/>
  <c r="E620" i="1"/>
  <c r="C43" i="9" s="1"/>
  <c r="F503" i="1"/>
  <c r="F313" i="1"/>
  <c r="F556" i="1"/>
  <c r="F331" i="1"/>
  <c r="G620" i="1"/>
  <c r="G41" i="9"/>
  <c r="I398" i="1"/>
  <c r="I407" i="1" s="1"/>
  <c r="F346" i="1"/>
  <c r="O346" i="1"/>
  <c r="O348" i="1" s="1"/>
  <c r="C46" i="9" l="1"/>
  <c r="E10" i="19"/>
  <c r="F348" i="1"/>
  <c r="H408" i="1"/>
  <c r="H410" i="1" s="1"/>
  <c r="H620" i="1" s="1"/>
  <c r="J398" i="1"/>
  <c r="J407" i="1" s="1"/>
  <c r="E16" i="19" l="1"/>
  <c r="F10" i="19"/>
  <c r="F16" i="19" s="1"/>
  <c r="F620" i="1"/>
  <c r="I408" i="1"/>
  <c r="I410" i="1" s="1"/>
  <c r="I620" i="1" s="1"/>
  <c r="K398" i="1"/>
  <c r="K407" i="1" s="1"/>
  <c r="J408" i="1" l="1"/>
  <c r="J410" i="1" s="1"/>
  <c r="J620" i="1" s="1"/>
  <c r="L398" i="1"/>
  <c r="L407" i="1" s="1"/>
  <c r="K408" i="1" l="1"/>
  <c r="K410" i="1" s="1"/>
  <c r="M398" i="1"/>
  <c r="M407" i="1" s="1"/>
  <c r="L408" i="1" l="1"/>
  <c r="L410" i="1" s="1"/>
  <c r="N398" i="1"/>
  <c r="N407" i="1" s="1"/>
  <c r="M408" i="1" l="1"/>
  <c r="M410" i="1" s="1"/>
  <c r="O398" i="1"/>
  <c r="O407" i="1" s="1"/>
  <c r="N408" i="1" l="1"/>
  <c r="N410" i="1" s="1"/>
  <c r="P398" i="1"/>
  <c r="P407" i="1" s="1"/>
  <c r="O408" i="1" l="1"/>
  <c r="O410" i="1" s="1"/>
  <c r="O620" i="1" s="1"/>
  <c r="Q398" i="1"/>
  <c r="Q407" i="1" s="1"/>
  <c r="E26" i="21" l="1"/>
  <c r="P408" i="1"/>
  <c r="P410" i="1" s="1"/>
  <c r="P620" i="1" s="1"/>
  <c r="E196" i="1"/>
  <c r="C27" i="9" s="1"/>
  <c r="E251" i="1"/>
  <c r="E245" i="1"/>
  <c r="E238" i="1"/>
  <c r="C29" i="9" s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E176" i="1"/>
  <c r="C19" i="9" s="1"/>
  <c r="Q176" i="1"/>
  <c r="H273" i="3" s="1"/>
  <c r="P176" i="1"/>
  <c r="O176" i="1"/>
  <c r="N176" i="1"/>
  <c r="M176" i="1"/>
  <c r="L176" i="1"/>
  <c r="K176" i="1"/>
  <c r="J176" i="1"/>
  <c r="I176" i="1"/>
  <c r="H176" i="1"/>
  <c r="G176" i="1"/>
  <c r="H26" i="21" l="1"/>
  <c r="E19" i="9"/>
  <c r="G19" i="9" s="1"/>
  <c r="Q408" i="1"/>
  <c r="E22" i="21" s="1"/>
  <c r="F178" i="1"/>
  <c r="M178" i="1"/>
  <c r="H178" i="1"/>
  <c r="P178" i="1"/>
  <c r="H269" i="3" s="1"/>
  <c r="H272" i="3" s="1"/>
  <c r="H274" i="3" s="1"/>
  <c r="H276" i="3" s="1"/>
  <c r="H279" i="3" s="1"/>
  <c r="I178" i="1"/>
  <c r="Q178" i="1"/>
  <c r="J178" i="1"/>
  <c r="K178" i="1"/>
  <c r="L178" i="1"/>
  <c r="E178" i="1"/>
  <c r="N178" i="1"/>
  <c r="G178" i="1"/>
  <c r="O178" i="1"/>
  <c r="Q267" i="1"/>
  <c r="P267" i="1"/>
  <c r="H209" i="13" s="1"/>
  <c r="H212" i="13" s="1"/>
  <c r="O267" i="1"/>
  <c r="N267" i="1"/>
  <c r="M267" i="1"/>
  <c r="L267" i="1"/>
  <c r="K267" i="1"/>
  <c r="J267" i="1"/>
  <c r="I267" i="1"/>
  <c r="H267" i="1"/>
  <c r="G267" i="1"/>
  <c r="Q196" i="1"/>
  <c r="E27" i="9" s="1"/>
  <c r="H27" i="9" s="1"/>
  <c r="P196" i="1"/>
  <c r="O196" i="1"/>
  <c r="N196" i="1"/>
  <c r="M196" i="1"/>
  <c r="L196" i="1"/>
  <c r="K196" i="1"/>
  <c r="J196" i="1"/>
  <c r="I196" i="1"/>
  <c r="H196" i="1"/>
  <c r="G196" i="1"/>
  <c r="F196" i="1"/>
  <c r="G262" i="1"/>
  <c r="F262" i="1"/>
  <c r="Q262" i="1"/>
  <c r="P262" i="1"/>
  <c r="H189" i="13" s="1"/>
  <c r="H192" i="13" s="1"/>
  <c r="O262" i="1"/>
  <c r="N262" i="1"/>
  <c r="M262" i="1"/>
  <c r="L262" i="1"/>
  <c r="K262" i="1"/>
  <c r="J262" i="1"/>
  <c r="I262" i="1"/>
  <c r="H262" i="1"/>
  <c r="Q251" i="1"/>
  <c r="H173" i="13" s="1"/>
  <c r="P251" i="1"/>
  <c r="H169" i="13" s="1"/>
  <c r="H172" i="13" s="1"/>
  <c r="O251" i="1"/>
  <c r="N251" i="1"/>
  <c r="M251" i="1"/>
  <c r="L251" i="1"/>
  <c r="K251" i="1"/>
  <c r="J251" i="1"/>
  <c r="I251" i="1"/>
  <c r="H251" i="1"/>
  <c r="G251" i="1"/>
  <c r="F251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Q238" i="1"/>
  <c r="E29" i="9" s="1"/>
  <c r="H29" i="9" s="1"/>
  <c r="P238" i="1"/>
  <c r="O238" i="1"/>
  <c r="N238" i="1"/>
  <c r="M238" i="1"/>
  <c r="L238" i="1"/>
  <c r="K238" i="1"/>
  <c r="J238" i="1"/>
  <c r="I238" i="1"/>
  <c r="H238" i="1"/>
  <c r="G238" i="1"/>
  <c r="F238" i="1"/>
  <c r="E232" i="1"/>
  <c r="Q232" i="1"/>
  <c r="H113" i="13" s="1"/>
  <c r="P232" i="1"/>
  <c r="H109" i="13" s="1"/>
  <c r="O232" i="1"/>
  <c r="N232" i="1"/>
  <c r="M232" i="1"/>
  <c r="L232" i="1"/>
  <c r="K232" i="1"/>
  <c r="J232" i="1"/>
  <c r="I232" i="1"/>
  <c r="H232" i="1"/>
  <c r="G232" i="1"/>
  <c r="F232" i="1"/>
  <c r="Q223" i="1"/>
  <c r="H93" i="13" s="1"/>
  <c r="P223" i="1"/>
  <c r="O223" i="1"/>
  <c r="N223" i="1"/>
  <c r="M223" i="1"/>
  <c r="L223" i="1"/>
  <c r="K223" i="1"/>
  <c r="J223" i="1"/>
  <c r="I223" i="1"/>
  <c r="H223" i="1"/>
  <c r="Q201" i="1"/>
  <c r="E28" i="9" s="1"/>
  <c r="P201" i="1"/>
  <c r="H49" i="13" s="1"/>
  <c r="H52" i="13" s="1"/>
  <c r="O201" i="1"/>
  <c r="N201" i="1"/>
  <c r="M201" i="1"/>
  <c r="L201" i="1"/>
  <c r="K201" i="1"/>
  <c r="J201" i="1"/>
  <c r="I201" i="1"/>
  <c r="H201" i="1"/>
  <c r="G201" i="1"/>
  <c r="F201" i="1"/>
  <c r="E201" i="1"/>
  <c r="C28" i="9" s="1"/>
  <c r="Q191" i="1"/>
  <c r="E26" i="9" s="1"/>
  <c r="P191" i="1"/>
  <c r="H9" i="13" s="1"/>
  <c r="H12" i="13" s="1"/>
  <c r="O191" i="1"/>
  <c r="N191" i="1"/>
  <c r="M191" i="1"/>
  <c r="L191" i="1"/>
  <c r="K191" i="1"/>
  <c r="J191" i="1"/>
  <c r="I191" i="1"/>
  <c r="H191" i="1"/>
  <c r="G191" i="1"/>
  <c r="F191" i="1"/>
  <c r="E191" i="1"/>
  <c r="C26" i="9" s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E136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P114" i="1"/>
  <c r="H229" i="3" s="1"/>
  <c r="H232" i="3" s="1"/>
  <c r="O114" i="1"/>
  <c r="N114" i="1"/>
  <c r="M114" i="1"/>
  <c r="L114" i="1"/>
  <c r="K114" i="1"/>
  <c r="J114" i="1"/>
  <c r="I114" i="1"/>
  <c r="H114" i="1"/>
  <c r="G114" i="1"/>
  <c r="F114" i="1"/>
  <c r="E114" i="1"/>
  <c r="H233" i="3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Q84" i="1"/>
  <c r="H152" i="3" s="1"/>
  <c r="P84" i="1"/>
  <c r="H148" i="3" s="1"/>
  <c r="H151" i="3" s="1"/>
  <c r="O84" i="1"/>
  <c r="N84" i="1"/>
  <c r="M84" i="1"/>
  <c r="L84" i="1"/>
  <c r="K84" i="1"/>
  <c r="J84" i="1"/>
  <c r="I84" i="1"/>
  <c r="H84" i="1"/>
  <c r="G84" i="1"/>
  <c r="F84" i="1"/>
  <c r="E84" i="1"/>
  <c r="P74" i="1"/>
  <c r="O74" i="1"/>
  <c r="N74" i="1"/>
  <c r="M74" i="1"/>
  <c r="L74" i="1"/>
  <c r="K74" i="1"/>
  <c r="J74" i="1"/>
  <c r="I74" i="1"/>
  <c r="H74" i="1"/>
  <c r="G74" i="1"/>
  <c r="F74" i="1"/>
  <c r="E74" i="1"/>
  <c r="Q74" i="1"/>
  <c r="E58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H58" i="1"/>
  <c r="K58" i="1"/>
  <c r="N58" i="1"/>
  <c r="Q58" i="1"/>
  <c r="R58" i="1" s="1"/>
  <c r="R74" i="1" l="1"/>
  <c r="R65" i="1"/>
  <c r="Q410" i="1"/>
  <c r="Q620" i="1" s="1"/>
  <c r="E51" i="21"/>
  <c r="H128" i="3"/>
  <c r="H131" i="3" s="1"/>
  <c r="C30" i="9"/>
  <c r="C31" i="9" s="1"/>
  <c r="H28" i="9"/>
  <c r="B28" i="17" s="1"/>
  <c r="H26" i="9"/>
  <c r="B25" i="17" s="1"/>
  <c r="H19" i="9"/>
  <c r="H73" i="13"/>
  <c r="E30" i="9"/>
  <c r="H193" i="13"/>
  <c r="H194" i="13" s="1"/>
  <c r="H196" i="13" s="1"/>
  <c r="H199" i="13" s="1"/>
  <c r="E35" i="9"/>
  <c r="H35" i="9" s="1"/>
  <c r="B11" i="17" s="1"/>
  <c r="E34" i="9"/>
  <c r="H34" i="9" s="1"/>
  <c r="H213" i="13"/>
  <c r="H214" i="13" s="1"/>
  <c r="H216" i="13" s="1"/>
  <c r="H219" i="13" s="1"/>
  <c r="H149" i="13"/>
  <c r="H152" i="13" s="1"/>
  <c r="H153" i="13"/>
  <c r="H112" i="13"/>
  <c r="H114" i="13" s="1"/>
  <c r="H116" i="13" s="1"/>
  <c r="H119" i="13" s="1"/>
  <c r="H89" i="13"/>
  <c r="H92" i="13" s="1"/>
  <c r="H94" i="13" s="1"/>
  <c r="H96" i="13" s="1"/>
  <c r="H99" i="13" s="1"/>
  <c r="H129" i="13"/>
  <c r="H132" i="13" s="1"/>
  <c r="H133" i="13"/>
  <c r="G27" i="9"/>
  <c r="H34" i="13"/>
  <c r="H36" i="13" s="1"/>
  <c r="H39" i="13" s="1"/>
  <c r="G280" i="1"/>
  <c r="F280" i="1"/>
  <c r="H189" i="3"/>
  <c r="H192" i="3" s="1"/>
  <c r="H209" i="3"/>
  <c r="H212" i="3" s="1"/>
  <c r="H213" i="3"/>
  <c r="H193" i="3"/>
  <c r="H132" i="3"/>
  <c r="L280" i="1"/>
  <c r="N280" i="1"/>
  <c r="H280" i="1"/>
  <c r="P280" i="1"/>
  <c r="M280" i="1"/>
  <c r="O280" i="1"/>
  <c r="K254" i="1"/>
  <c r="J280" i="1"/>
  <c r="K280" i="1"/>
  <c r="G254" i="1"/>
  <c r="O254" i="1"/>
  <c r="L254" i="1"/>
  <c r="E254" i="1"/>
  <c r="E282" i="1" s="1"/>
  <c r="M254" i="1"/>
  <c r="F254" i="1"/>
  <c r="N254" i="1"/>
  <c r="H69" i="13"/>
  <c r="H72" i="13" s="1"/>
  <c r="P254" i="1"/>
  <c r="H254" i="1"/>
  <c r="I254" i="1"/>
  <c r="Q254" i="1"/>
  <c r="J254" i="1"/>
  <c r="I280" i="1"/>
  <c r="Q280" i="1"/>
  <c r="L163" i="1"/>
  <c r="J163" i="1"/>
  <c r="K163" i="1"/>
  <c r="E163" i="1"/>
  <c r="F163" i="1"/>
  <c r="N163" i="1"/>
  <c r="G163" i="1"/>
  <c r="O163" i="1"/>
  <c r="M163" i="1"/>
  <c r="H163" i="1"/>
  <c r="P163" i="1"/>
  <c r="H249" i="3" s="1"/>
  <c r="H252" i="3" s="1"/>
  <c r="I163" i="1"/>
  <c r="Q163" i="1"/>
  <c r="H253" i="3" s="1"/>
  <c r="H153" i="3"/>
  <c r="H155" i="3" s="1"/>
  <c r="H158" i="3" s="1"/>
  <c r="H174" i="13"/>
  <c r="H176" i="13" s="1"/>
  <c r="H179" i="13" s="1"/>
  <c r="H234" i="3"/>
  <c r="H236" i="3" s="1"/>
  <c r="H239" i="3" s="1"/>
  <c r="G29" i="9"/>
  <c r="E14" i="9"/>
  <c r="G28" i="9"/>
  <c r="H53" i="13"/>
  <c r="H54" i="13" s="1"/>
  <c r="H56" i="13" s="1"/>
  <c r="H59" i="13" s="1"/>
  <c r="G26" i="9"/>
  <c r="H13" i="13"/>
  <c r="H14" i="13" s="1"/>
  <c r="H16" i="13" s="1"/>
  <c r="H19" i="13" s="1"/>
  <c r="C14" i="9"/>
  <c r="E12" i="9"/>
  <c r="C18" i="9"/>
  <c r="C12" i="9"/>
  <c r="E18" i="9"/>
  <c r="B32" i="17" l="1"/>
  <c r="H134" i="13"/>
  <c r="H136" i="13" s="1"/>
  <c r="H139" i="13" s="1"/>
  <c r="E43" i="9"/>
  <c r="AJ268" i="10"/>
  <c r="H22" i="21"/>
  <c r="I48" i="21" s="1"/>
  <c r="F48" i="21"/>
  <c r="H51" i="21"/>
  <c r="I59" i="21" s="1"/>
  <c r="F59" i="21"/>
  <c r="F11" i="21"/>
  <c r="I11" i="21" s="1"/>
  <c r="H133" i="3"/>
  <c r="H135" i="3" s="1"/>
  <c r="H138" i="3" s="1"/>
  <c r="H74" i="13"/>
  <c r="H76" i="13" s="1"/>
  <c r="H79" i="13" s="1"/>
  <c r="C32" i="9"/>
  <c r="H30" i="9"/>
  <c r="B27" i="17" s="1"/>
  <c r="H154" i="13"/>
  <c r="H156" i="13" s="1"/>
  <c r="H159" i="13" s="1"/>
  <c r="H14" i="9"/>
  <c r="B22" i="17" s="1"/>
  <c r="H12" i="9"/>
  <c r="B20" i="17" s="1"/>
  <c r="H18" i="9"/>
  <c r="G34" i="9"/>
  <c r="G282" i="1"/>
  <c r="F282" i="1"/>
  <c r="H214" i="3"/>
  <c r="H216" i="3" s="1"/>
  <c r="H219" i="3" s="1"/>
  <c r="H194" i="3"/>
  <c r="H196" i="3" s="1"/>
  <c r="H199" i="3" s="1"/>
  <c r="H254" i="3"/>
  <c r="H256" i="3" s="1"/>
  <c r="H259" i="3" s="1"/>
  <c r="G30" i="9"/>
  <c r="G18" i="9"/>
  <c r="C38" i="9"/>
  <c r="C39" i="9" s="1"/>
  <c r="G35" i="9"/>
  <c r="G12" i="9"/>
  <c r="G14" i="9"/>
  <c r="E31" i="9"/>
  <c r="H282" i="1"/>
  <c r="O282" i="1"/>
  <c r="P282" i="1"/>
  <c r="K282" i="1"/>
  <c r="N282" i="1"/>
  <c r="Q282" i="1"/>
  <c r="I282" i="1"/>
  <c r="L282" i="1"/>
  <c r="J282" i="1"/>
  <c r="M282" i="1"/>
  <c r="E13" i="9"/>
  <c r="P47" i="1"/>
  <c r="H108" i="3" s="1"/>
  <c r="H111" i="3" s="1"/>
  <c r="H113" i="3" s="1"/>
  <c r="H115" i="3" s="1"/>
  <c r="H118" i="3" s="1"/>
  <c r="O47" i="1"/>
  <c r="N47" i="1"/>
  <c r="M47" i="1"/>
  <c r="L47" i="1"/>
  <c r="K47" i="1"/>
  <c r="J47" i="1"/>
  <c r="I47" i="1"/>
  <c r="H47" i="1"/>
  <c r="G47" i="1"/>
  <c r="F47" i="1"/>
  <c r="E47" i="1"/>
  <c r="C13" i="9" s="1"/>
  <c r="Q40" i="1"/>
  <c r="H92" i="3" s="1"/>
  <c r="P40" i="1"/>
  <c r="H88" i="3" s="1"/>
  <c r="H91" i="3" s="1"/>
  <c r="O40" i="1"/>
  <c r="N40" i="1"/>
  <c r="M40" i="1"/>
  <c r="L40" i="1"/>
  <c r="K40" i="1"/>
  <c r="J40" i="1"/>
  <c r="I40" i="1"/>
  <c r="H40" i="1"/>
  <c r="G40" i="1"/>
  <c r="F40" i="1"/>
  <c r="E40" i="1"/>
  <c r="Q35" i="1"/>
  <c r="H72" i="3" s="1"/>
  <c r="P35" i="1"/>
  <c r="H68" i="3" s="1"/>
  <c r="H71" i="3" s="1"/>
  <c r="O35" i="1"/>
  <c r="N35" i="1"/>
  <c r="M35" i="1"/>
  <c r="L35" i="1"/>
  <c r="K35" i="1"/>
  <c r="J35" i="1"/>
  <c r="I35" i="1"/>
  <c r="H35" i="1"/>
  <c r="G35" i="1"/>
  <c r="F35" i="1"/>
  <c r="E35" i="1"/>
  <c r="Q27" i="1"/>
  <c r="P27" i="1"/>
  <c r="H47" i="3" s="1"/>
  <c r="H50" i="3" s="1"/>
  <c r="O27" i="1"/>
  <c r="N27" i="1"/>
  <c r="M27" i="1"/>
  <c r="L27" i="1"/>
  <c r="K27" i="1"/>
  <c r="J27" i="1"/>
  <c r="I27" i="1"/>
  <c r="H27" i="1"/>
  <c r="G27" i="1"/>
  <c r="F27" i="1"/>
  <c r="E27" i="1"/>
  <c r="Q22" i="1"/>
  <c r="P22" i="1"/>
  <c r="H27" i="3" s="1"/>
  <c r="H30" i="3" s="1"/>
  <c r="O22" i="1"/>
  <c r="N22" i="1"/>
  <c r="M22" i="1"/>
  <c r="L22" i="1"/>
  <c r="K22" i="1"/>
  <c r="J22" i="1"/>
  <c r="I22" i="1"/>
  <c r="H22" i="1"/>
  <c r="F22" i="1"/>
  <c r="Q16" i="1"/>
  <c r="H13" i="3" s="1"/>
  <c r="P16" i="1"/>
  <c r="O16" i="1"/>
  <c r="N16" i="1"/>
  <c r="M16" i="1"/>
  <c r="L16" i="1"/>
  <c r="K16" i="1"/>
  <c r="J16" i="1"/>
  <c r="I16" i="1"/>
  <c r="H16" i="1"/>
  <c r="G16" i="1"/>
  <c r="F16" i="1"/>
  <c r="F69" i="21" l="1"/>
  <c r="F273" i="21" s="1"/>
  <c r="H43" i="9"/>
  <c r="B9" i="17" s="1"/>
  <c r="B17" i="17" s="1"/>
  <c r="E46" i="9"/>
  <c r="I69" i="21"/>
  <c r="I74" i="21" s="1"/>
  <c r="I76" i="21" s="1"/>
  <c r="I80" i="21" s="1"/>
  <c r="H13" i="9"/>
  <c r="B21" i="17" s="1"/>
  <c r="H31" i="3"/>
  <c r="H32" i="3" s="1"/>
  <c r="H34" i="3" s="1"/>
  <c r="H37" i="3" s="1"/>
  <c r="B50" i="17"/>
  <c r="E32" i="9"/>
  <c r="H32" i="9" s="1"/>
  <c r="C11" i="9"/>
  <c r="E38" i="9"/>
  <c r="G31" i="9"/>
  <c r="G13" i="9"/>
  <c r="K116" i="1"/>
  <c r="K180" i="1" s="1"/>
  <c r="J116" i="1"/>
  <c r="J180" i="1" s="1"/>
  <c r="J626" i="1" s="1"/>
  <c r="F116" i="1"/>
  <c r="N116" i="1"/>
  <c r="N180" i="1" s="1"/>
  <c r="E116" i="1"/>
  <c r="E180" i="1" s="1"/>
  <c r="E626" i="1" s="1"/>
  <c r="L116" i="1"/>
  <c r="L180" i="1" s="1"/>
  <c r="M116" i="1"/>
  <c r="M180" i="1" s="1"/>
  <c r="O116" i="1"/>
  <c r="O180" i="1" s="1"/>
  <c r="O626" i="1" s="1"/>
  <c r="H116" i="1"/>
  <c r="H180" i="1" s="1"/>
  <c r="H626" i="1" s="1"/>
  <c r="P116" i="1"/>
  <c r="P180" i="1" s="1"/>
  <c r="P626" i="1" s="1"/>
  <c r="I116" i="1"/>
  <c r="I180" i="1" s="1"/>
  <c r="I626" i="1" s="1"/>
  <c r="Q116" i="1"/>
  <c r="Q180" i="1" s="1"/>
  <c r="Q626" i="1" s="1"/>
  <c r="C10" i="9"/>
  <c r="H73" i="3"/>
  <c r="H75" i="3" s="1"/>
  <c r="H78" i="3" s="1"/>
  <c r="H93" i="3"/>
  <c r="H95" i="3" s="1"/>
  <c r="H98" i="3" s="1"/>
  <c r="C9" i="9"/>
  <c r="E10" i="9"/>
  <c r="H51" i="3"/>
  <c r="E11" i="9"/>
  <c r="E9" i="9"/>
  <c r="F74" i="21" l="1"/>
  <c r="F76" i="21" s="1"/>
  <c r="D31" i="22" s="1"/>
  <c r="D32" i="22" s="1"/>
  <c r="D34" i="22" s="1"/>
  <c r="H9" i="9"/>
  <c r="H11" i="9"/>
  <c r="B19" i="17" s="1"/>
  <c r="B33" i="17" s="1"/>
  <c r="H10" i="9"/>
  <c r="B47" i="17"/>
  <c r="G38" i="9"/>
  <c r="E39" i="9"/>
  <c r="H39" i="9" s="1"/>
  <c r="F180" i="1"/>
  <c r="H52" i="3"/>
  <c r="H54" i="3" s="1"/>
  <c r="H57" i="3" s="1"/>
  <c r="G10" i="9"/>
  <c r="G9" i="9"/>
  <c r="G11" i="9"/>
  <c r="E16" i="9"/>
  <c r="C16" i="9"/>
  <c r="C9" i="34" l="1"/>
  <c r="C16" i="34" s="1"/>
  <c r="F80" i="21"/>
  <c r="E23" i="9"/>
  <c r="E24" i="9" s="1"/>
  <c r="E17" i="9"/>
  <c r="C17" i="9"/>
  <c r="F626" i="1"/>
  <c r="C23" i="9"/>
  <c r="D18" i="9" s="1"/>
  <c r="G16" i="9"/>
  <c r="H17" i="9" l="1"/>
  <c r="F16" i="9"/>
  <c r="D16" i="9"/>
  <c r="C24" i="9"/>
  <c r="H24" i="9" s="1"/>
  <c r="D13" i="9"/>
  <c r="D19" i="9"/>
  <c r="D11" i="9"/>
  <c r="D12" i="9"/>
  <c r="D14" i="9"/>
  <c r="D20" i="9"/>
  <c r="D15" i="9"/>
  <c r="D10" i="9"/>
  <c r="F33" i="9"/>
  <c r="F34" i="9"/>
  <c r="F36" i="9"/>
  <c r="F44" i="9"/>
  <c r="F42" i="9"/>
  <c r="F41" i="9"/>
  <c r="F27" i="9"/>
  <c r="F28" i="9"/>
  <c r="F26" i="9"/>
  <c r="F30" i="9"/>
  <c r="F29" i="9"/>
  <c r="F35" i="9"/>
  <c r="F31" i="9"/>
  <c r="F38" i="9"/>
  <c r="D9" i="9"/>
  <c r="D34" i="9"/>
  <c r="D36" i="9"/>
  <c r="D44" i="9"/>
  <c r="D42" i="9"/>
  <c r="D33" i="9"/>
  <c r="D41" i="9"/>
  <c r="D27" i="9"/>
  <c r="D28" i="9"/>
  <c r="D35" i="9"/>
  <c r="D29" i="9"/>
  <c r="D26" i="9"/>
  <c r="D30" i="9"/>
  <c r="D31" i="9"/>
  <c r="D38" i="9"/>
  <c r="F15" i="9"/>
  <c r="F19" i="9"/>
  <c r="F12" i="9"/>
  <c r="F18" i="9"/>
  <c r="F14" i="9"/>
  <c r="F13" i="9"/>
  <c r="F10" i="9"/>
  <c r="F9" i="9"/>
  <c r="F11" i="9"/>
  <c r="D21" i="9"/>
  <c r="D23" i="9"/>
  <c r="F21" i="9"/>
  <c r="F23" i="9"/>
  <c r="G23" i="9"/>
  <c r="F20" i="9"/>
  <c r="C8" i="3" l="1"/>
  <c r="B5" i="3" s="1"/>
  <c r="H9" i="3"/>
  <c r="H12" i="3" s="1"/>
  <c r="H14" i="3" l="1"/>
  <c r="H16" i="3" l="1"/>
  <c r="H17" i="3" s="1"/>
  <c r="F43" i="9" l="1"/>
  <c r="P622" i="1"/>
  <c r="O622" i="1"/>
  <c r="J622" i="1"/>
  <c r="I622" i="1"/>
  <c r="H622" i="1"/>
  <c r="G622" i="1"/>
  <c r="F622" i="1"/>
  <c r="F46" i="9" l="1"/>
  <c r="Q622" i="1"/>
  <c r="N344" i="1"/>
  <c r="N346" i="1" s="1"/>
  <c r="N348" i="1" s="1"/>
  <c r="M344" i="1"/>
  <c r="M346" i="1" s="1"/>
  <c r="M348" i="1" s="1"/>
  <c r="L344" i="1"/>
  <c r="L346" i="1" s="1"/>
  <c r="L348" i="1" s="1"/>
  <c r="K344" i="1"/>
  <c r="K346" i="1" s="1"/>
  <c r="K348" i="1" s="1"/>
  <c r="K620" i="1" l="1"/>
  <c r="K622" i="1" s="1"/>
  <c r="K626" i="1"/>
  <c r="M620" i="1"/>
  <c r="M622" i="1" s="1"/>
  <c r="M626" i="1"/>
  <c r="N620" i="1"/>
  <c r="N622" i="1" s="1"/>
  <c r="N626" i="1"/>
  <c r="L620" i="1"/>
  <c r="L622" i="1" s="1"/>
  <c r="L626" i="1"/>
  <c r="E47" i="9"/>
  <c r="F47" i="9" l="1"/>
  <c r="E48" i="9"/>
  <c r="E622" i="1"/>
  <c r="G43" i="9" l="1"/>
  <c r="D43" i="9"/>
  <c r="B45" i="17" l="1"/>
  <c r="B49" i="17" s="1"/>
  <c r="B51" i="17" s="1"/>
  <c r="D46" i="9"/>
  <c r="G46" i="9"/>
  <c r="C47" i="9"/>
  <c r="C48" i="9" l="1"/>
  <c r="D47" i="9"/>
  <c r="G47" i="9"/>
  <c r="D260" i="10"/>
  <c r="D258" i="10" l="1"/>
  <c r="G22" i="1"/>
  <c r="G116" i="1" s="1"/>
  <c r="G180" i="1" s="1"/>
  <c r="G626" i="1" s="1"/>
</calcChain>
</file>

<file path=xl/sharedStrings.xml><?xml version="1.0" encoding="utf-8"?>
<sst xmlns="http://schemas.openxmlformats.org/spreadsheetml/2006/main" count="5319" uniqueCount="1061">
  <si>
    <t>Activos</t>
  </si>
  <si>
    <t>ACTIVO CIRCULANTE</t>
  </si>
  <si>
    <t/>
  </si>
  <si>
    <t>CAJA CHICA</t>
  </si>
  <si>
    <t>CAJA CHICA GUADALAJARA</t>
  </si>
  <si>
    <t>CAJA CHICA MEXICO</t>
  </si>
  <si>
    <t xml:space="preserve">Total 1101 </t>
  </si>
  <si>
    <t>BANCOS</t>
  </si>
  <si>
    <t>BANAMEX GUADALAJARA</t>
  </si>
  <si>
    <t>BANAMEX DOLARES</t>
  </si>
  <si>
    <t xml:space="preserve">Total 1102 </t>
  </si>
  <si>
    <t>INVERSIONES EN VALORES</t>
  </si>
  <si>
    <t>INVERSIONES EN SANTANDER</t>
  </si>
  <si>
    <t xml:space="preserve">Total 1103 </t>
  </si>
  <si>
    <t>CUENTAS POR COBRAR</t>
  </si>
  <si>
    <t>CLIENTES NACIONALES</t>
  </si>
  <si>
    <t>CLIENTES EXPORTACION</t>
  </si>
  <si>
    <t>FILIALES</t>
  </si>
  <si>
    <t>DEPOSITOS EN TRANSITO</t>
  </si>
  <si>
    <t xml:space="preserve">Total 1104 </t>
  </si>
  <si>
    <t>RESERVA PARA CUENTAS INCOBRABLES</t>
  </si>
  <si>
    <t xml:space="preserve">Total 1108 </t>
  </si>
  <si>
    <t>FUNCIONARIOS Y EMPLEADOS</t>
  </si>
  <si>
    <t xml:space="preserve">Total 1109 </t>
  </si>
  <si>
    <t>ALMACEN DE ARTICULOS TERMINADOS</t>
  </si>
  <si>
    <t xml:space="preserve">Total 1113 </t>
  </si>
  <si>
    <t>ALMACEN DE ARTICULOS EN PROCESO</t>
  </si>
  <si>
    <t>MANO DE OBRA EN PROCESO</t>
  </si>
  <si>
    <t>MATERIA PRIMA EN PROCESO</t>
  </si>
  <si>
    <t>GASTO DE FABRICACION EN PROCESO</t>
  </si>
  <si>
    <t xml:space="preserve">Total 1114 </t>
  </si>
  <si>
    <t>ALMACEN DE MATERIA PRIMA</t>
  </si>
  <si>
    <t>MATERIA PRIMA EN TRANSITO</t>
  </si>
  <si>
    <t xml:space="preserve">Total 1115 </t>
  </si>
  <si>
    <t>ALMACEN DE CONSIGNACION</t>
  </si>
  <si>
    <t xml:space="preserve">Total 1117 </t>
  </si>
  <si>
    <t>RESERVA INVENTARIO OBSOLETO</t>
  </si>
  <si>
    <t xml:space="preserve">Total 1118 </t>
  </si>
  <si>
    <t>IVA ACREDITABLE</t>
  </si>
  <si>
    <t>IVA ACREDITABLE AL 16% PAGADO</t>
  </si>
  <si>
    <t>IVA ACREDITABLE AL 16% NO PAGADO</t>
  </si>
  <si>
    <t>IVA ACREDITABLE AL 0% PAGADO</t>
  </si>
  <si>
    <t>IVA ACREDITABLE AL 0% NO PAGADO</t>
  </si>
  <si>
    <t xml:space="preserve">Total 1119 </t>
  </si>
  <si>
    <t>IMPUESTOS POR RECUPERAR</t>
  </si>
  <si>
    <t>ISR POR RECUPERAR</t>
  </si>
  <si>
    <t>IVA POR RECUPERAR</t>
  </si>
  <si>
    <t xml:space="preserve">Total 1120 </t>
  </si>
  <si>
    <t xml:space="preserve">Total 11 </t>
  </si>
  <si>
    <t>TERRENOS</t>
  </si>
  <si>
    <t>TERRENOS REVALUADOS</t>
  </si>
  <si>
    <t xml:space="preserve">Total 1201 </t>
  </si>
  <si>
    <t>EDIFICIO</t>
  </si>
  <si>
    <t>DEPRECIACION EDIFICIO</t>
  </si>
  <si>
    <t xml:space="preserve">Total 1202 </t>
  </si>
  <si>
    <t>MAQUINARIA Y HERRAMIENTA</t>
  </si>
  <si>
    <t>DEPRECIACION MAQUINARIA Y HERRAMIENTA</t>
  </si>
  <si>
    <t xml:space="preserve">Total 1204 </t>
  </si>
  <si>
    <t>MUEBLES Y ENSERES</t>
  </si>
  <si>
    <t>DEPRECIACION MUEBLES Y ENSERES</t>
  </si>
  <si>
    <t xml:space="preserve">Total 1206 </t>
  </si>
  <si>
    <t>AUTOMOVILES Y CAMIONES</t>
  </si>
  <si>
    <t>DEPRECIACION AUTOMOVILES Y CAMIONES</t>
  </si>
  <si>
    <t xml:space="preserve">Total 1207 </t>
  </si>
  <si>
    <t>EQUIPO DE COMPUTO</t>
  </si>
  <si>
    <t>DEPRECIACION DE COMPUTO</t>
  </si>
  <si>
    <t xml:space="preserve">Total 1209 </t>
  </si>
  <si>
    <t>EQUIPO DE COMPUTO ARRENDADO</t>
  </si>
  <si>
    <t>DEPRECIACION EQUIPO DE COMPUTO ARRENDADO</t>
  </si>
  <si>
    <t xml:space="preserve">Total 1210 </t>
  </si>
  <si>
    <t xml:space="preserve">Total 12 </t>
  </si>
  <si>
    <t>ANTICIPO A PROVEEDORES</t>
  </si>
  <si>
    <t xml:space="preserve">Total 1301 </t>
  </si>
  <si>
    <t>SEGUROS PAGADOS POR ANTICIPADO</t>
  </si>
  <si>
    <t>GASTOS POR AMORTIZAR</t>
  </si>
  <si>
    <t xml:space="preserve">Total 1303 </t>
  </si>
  <si>
    <t>DEPOSITOS EN GARANTIA</t>
  </si>
  <si>
    <t xml:space="preserve">Total 1304 </t>
  </si>
  <si>
    <t xml:space="preserve">Total 1305 </t>
  </si>
  <si>
    <t xml:space="preserve">Total 13 </t>
  </si>
  <si>
    <t>Pasivos</t>
  </si>
  <si>
    <t>PASIVO CIRCULANTE</t>
  </si>
  <si>
    <t>NOMINA Y PRESTACIONES POR PAGAR</t>
  </si>
  <si>
    <t>NOMINAS Y RAYAS POR PAGAR</t>
  </si>
  <si>
    <t>VACACIONES POR PAGAR</t>
  </si>
  <si>
    <t>GRATIFICACIONES POR PAGAR</t>
  </si>
  <si>
    <t xml:space="preserve">Total 2101 </t>
  </si>
  <si>
    <t>CUENTAS POR PAGAR</t>
  </si>
  <si>
    <t>CUENTAS POR PAGAR NACIONALES</t>
  </si>
  <si>
    <t>CUENTAS POR PAGAR IMPORTACIONES</t>
  </si>
  <si>
    <t>CUENTAS POR PAGAR FILIALES</t>
  </si>
  <si>
    <t xml:space="preserve">Total 2102 </t>
  </si>
  <si>
    <t>ANTICIPOS DE CLIENTES</t>
  </si>
  <si>
    <t>ANTICIPOS DE CLIENTES NACIONALES</t>
  </si>
  <si>
    <t xml:space="preserve">Total 2103 </t>
  </si>
  <si>
    <t>ISR RETENIDO POR SALARIOS</t>
  </si>
  <si>
    <t>ISR RETENIDO POR HONORARIOS</t>
  </si>
  <si>
    <t>ISR RETENIDO POR PAGOS AL EXTRANJERO</t>
  </si>
  <si>
    <t>IMSS RETENIDO</t>
  </si>
  <si>
    <t>CUOTAS PATRONALES AL IMSS</t>
  </si>
  <si>
    <t>CUOTAS PATRONALES AL SAR</t>
  </si>
  <si>
    <t>CUOTAS PATRONALES AL INFONAVIT</t>
  </si>
  <si>
    <t>AMORTIZACIONES DE CREDITOS</t>
  </si>
  <si>
    <t>IVA RETENIDO POR HONORARIOS</t>
  </si>
  <si>
    <t>IVA RETENIDO POR FLETES</t>
  </si>
  <si>
    <t>2% SOBRE NOMINAS POR PAGAR</t>
  </si>
  <si>
    <t xml:space="preserve">Total 2105 </t>
  </si>
  <si>
    <t>IVA POR PAGAR</t>
  </si>
  <si>
    <t>IVA TRASLADADO AL 16% COBRADO</t>
  </si>
  <si>
    <t>IVA TRASLADADO AL 16% NO COBRADO</t>
  </si>
  <si>
    <t>IVA TRASLADADO AL 0% COBRADO</t>
  </si>
  <si>
    <t>IVA TRASLADADO AL 0% NO COBRADO</t>
  </si>
  <si>
    <t xml:space="preserve">Total 2106 </t>
  </si>
  <si>
    <t>ISR POR PAGAR</t>
  </si>
  <si>
    <t>PROVISION DE ISR</t>
  </si>
  <si>
    <t>PAGOS DE ISR</t>
  </si>
  <si>
    <t xml:space="preserve">Total 2107 </t>
  </si>
  <si>
    <t>RESERVAS POR PAGAR</t>
  </si>
  <si>
    <t>RESERVA PARA GARANTIAS POR PAGAR</t>
  </si>
  <si>
    <t xml:space="preserve">Total 2110 </t>
  </si>
  <si>
    <t>PTU POR PAGAR</t>
  </si>
  <si>
    <t>PTU A DISTRIBUIR</t>
  </si>
  <si>
    <t>RESERVA DE PTU</t>
  </si>
  <si>
    <t xml:space="preserve">Total 2111 </t>
  </si>
  <si>
    <t>PRIMA DE ANTIGÜEDAD</t>
  </si>
  <si>
    <t>INDEMINIZACION LEGAL</t>
  </si>
  <si>
    <t>PLAN DE PENSIONES DE BENFICIOS DEFINIDOS</t>
  </si>
  <si>
    <t xml:space="preserve">Total 21 </t>
  </si>
  <si>
    <t>Capital Contable</t>
  </si>
  <si>
    <t>CAPITAL CONTABLE</t>
  </si>
  <si>
    <t>CAPITAL SOCIAL</t>
  </si>
  <si>
    <t>CAPITAL SOCIAL FIJO</t>
  </si>
  <si>
    <t>CAPITAL SOCIAL VARIABLE</t>
  </si>
  <si>
    <t xml:space="preserve">Total 3101 </t>
  </si>
  <si>
    <t>RESERVA</t>
  </si>
  <si>
    <t>RESERVA LEGAL</t>
  </si>
  <si>
    <t xml:space="preserve">Total 3102 </t>
  </si>
  <si>
    <t>PERDIDAS Y GANANCIAS</t>
  </si>
  <si>
    <t xml:space="preserve">Total 3105 </t>
  </si>
  <si>
    <t>UTILIDAD DEL EJERCICIO</t>
  </si>
  <si>
    <t xml:space="preserve">Total 3106 </t>
  </si>
  <si>
    <t xml:space="preserve">Total 31 </t>
  </si>
  <si>
    <t>Ingresos</t>
  </si>
  <si>
    <t>VENTAS</t>
  </si>
  <si>
    <t>INTERCOMPAÑIAS VENTAS</t>
  </si>
  <si>
    <t xml:space="preserve">Total 4101 </t>
  </si>
  <si>
    <t xml:space="preserve">Total 41 </t>
  </si>
  <si>
    <t>DESCUENTO Y REBAJAS SOBRE VENTAS</t>
  </si>
  <si>
    <t>INTERCOMPAÑIAS DESCUENTOS Y REBAJAS SOBRE VENTAS</t>
  </si>
  <si>
    <t xml:space="preserve">Total 4201 </t>
  </si>
  <si>
    <t xml:space="preserve">Total 42 </t>
  </si>
  <si>
    <t>Costo de Ventas</t>
  </si>
  <si>
    <t>COSTO DE VENTAS</t>
  </si>
  <si>
    <t>INTERCOMPAÑIAS COSTO DE VENTA</t>
  </si>
  <si>
    <t xml:space="preserve">Total 5101 </t>
  </si>
  <si>
    <t xml:space="preserve">Total 51 </t>
  </si>
  <si>
    <t>Gastos</t>
  </si>
  <si>
    <t>GASTOS DE FABRICACION</t>
  </si>
  <si>
    <t>SEGURO SOCIAL</t>
  </si>
  <si>
    <t>2% AL SAR</t>
  </si>
  <si>
    <t>5% INFONAVIT</t>
  </si>
  <si>
    <t>PLAN DE PENSIONES</t>
  </si>
  <si>
    <t>GRATIFICACIONES</t>
  </si>
  <si>
    <t>GASTOS DE PREVISION SOCIAL</t>
  </si>
  <si>
    <t>2% SOBRE NOMINAS</t>
  </si>
  <si>
    <t>GASTOS DE VENTA</t>
  </si>
  <si>
    <t xml:space="preserve">Total 6301 </t>
  </si>
  <si>
    <t xml:space="preserve">Total 63 </t>
  </si>
  <si>
    <t>GASTOS DE ADMINISTRACION</t>
  </si>
  <si>
    <t>PROVISION CUENTAS MALAS</t>
  </si>
  <si>
    <t xml:space="preserve">Total 6501 </t>
  </si>
  <si>
    <t xml:space="preserve">Total 65 </t>
  </si>
  <si>
    <t>REGALIAS</t>
  </si>
  <si>
    <t xml:space="preserve">Total 6701 </t>
  </si>
  <si>
    <t>PROVISION DE PTU</t>
  </si>
  <si>
    <t>INGRESOS FINANCIEROS</t>
  </si>
  <si>
    <t>INTERESES GANADOS BANCOS</t>
  </si>
  <si>
    <t xml:space="preserve">Total 7101 </t>
  </si>
  <si>
    <t>GANANCIA CAMBIARIA</t>
  </si>
  <si>
    <t>UTILIDAD EN CAMBIOS</t>
  </si>
  <si>
    <t xml:space="preserve">Total 7105 </t>
  </si>
  <si>
    <t xml:space="preserve">Total 71 </t>
  </si>
  <si>
    <t>GASTOS FINANCIEROS</t>
  </si>
  <si>
    <t>INTERESES A PAGADOS A BANCOS</t>
  </si>
  <si>
    <t xml:space="preserve">Total 7201 </t>
  </si>
  <si>
    <t>INTERESES PAGADOS A PROVEEDORES</t>
  </si>
  <si>
    <t xml:space="preserve">Total 7202 </t>
  </si>
  <si>
    <t>CARGOS BANCARIOS</t>
  </si>
  <si>
    <t xml:space="preserve">Total 7203 </t>
  </si>
  <si>
    <t>PERDIDA EN CAMBIOS</t>
  </si>
  <si>
    <t xml:space="preserve">Total 7204 </t>
  </si>
  <si>
    <t xml:space="preserve">Total 72 </t>
  </si>
  <si>
    <t>Otros Ingresos y Egresos</t>
  </si>
  <si>
    <t>OTROS INGRESOS</t>
  </si>
  <si>
    <t>INGRESOS POR FLETES</t>
  </si>
  <si>
    <t>INGRESOS POR FLETES NACIONALES</t>
  </si>
  <si>
    <t>INGRESOS POR FLETES EXPORTACION</t>
  </si>
  <si>
    <t xml:space="preserve">Total 8101 </t>
  </si>
  <si>
    <t>INGRESOS POR COMISIONES Y REGALIAS</t>
  </si>
  <si>
    <t>INGRESOS POR COMISIONES NACIONALES</t>
  </si>
  <si>
    <t>INGRESOS POR COMISIONES EXPORTACION</t>
  </si>
  <si>
    <t>INGRESOS POR REGALIAS NACIONALES</t>
  </si>
  <si>
    <t xml:space="preserve">Total 8103 </t>
  </si>
  <si>
    <t>VENTA DE ACTIVO FIJO</t>
  </si>
  <si>
    <t>UTILIDAD VENTA ACTIVO FIJO</t>
  </si>
  <si>
    <t>UTILIDAD O PERDIDA ACTIVO FIJO</t>
  </si>
  <si>
    <t>OTROS INGRESOS EXENTOS I.V.A</t>
  </si>
  <si>
    <t>DIFERENCIAS POR REDONDEO</t>
  </si>
  <si>
    <t>OTROS INGRESOS GRAVADOS POR I.V.A.</t>
  </si>
  <si>
    <t xml:space="preserve">Total 8106 </t>
  </si>
  <si>
    <t xml:space="preserve">Total 81 </t>
  </si>
  <si>
    <t>OTROS GASTOS</t>
  </si>
  <si>
    <t xml:space="preserve">Total 8201 </t>
  </si>
  <si>
    <t xml:space="preserve">Total 82 </t>
  </si>
  <si>
    <t>Total Otros Ingresos y Egresos</t>
  </si>
  <si>
    <t>Total</t>
  </si>
  <si>
    <t>Febrero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</si>
  <si>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</si>
  <si>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</si>
  <si>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</si>
  <si>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</si>
  <si>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</si>
  <si>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</si>
  <si>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</si>
  <si>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</si>
  <si>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</si>
  <si>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</si>
  <si>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</si>
  <si>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</si>
  <si>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MXN</t>
  </si>
  <si>
    <t>Número</t>
  </si>
  <si>
    <t>Nombre</t>
  </si>
  <si>
    <t>Saldo inicial</t>
  </si>
  <si>
    <t>Cuenta</t>
  </si>
  <si>
    <t>Periodo</t>
  </si>
  <si>
    <t>Moneda</t>
  </si>
  <si>
    <t>Saldo Final</t>
  </si>
  <si>
    <t>Saldo en balanza</t>
  </si>
  <si>
    <t>Diferencia</t>
  </si>
  <si>
    <t>Movimientos en conciliación / Diferencias</t>
  </si>
  <si>
    <t>Anexo1</t>
  </si>
  <si>
    <t>FALSO: Diferencia</t>
  </si>
  <si>
    <t>Preparo:</t>
  </si>
  <si>
    <t>Revisó:</t>
  </si>
  <si>
    <t>Autorizo:</t>
  </si>
  <si>
    <t>Comentarios</t>
  </si>
  <si>
    <t>Documentación Soporte</t>
  </si>
  <si>
    <t>Reposiciones de caja chica</t>
  </si>
  <si>
    <t>Gastos comprobados</t>
  </si>
  <si>
    <t>ACERO</t>
  </si>
  <si>
    <t>CERAMICA</t>
  </si>
  <si>
    <t>FILTROS</t>
  </si>
  <si>
    <t>CONSUMIBLES</t>
  </si>
  <si>
    <t>JAIME L</t>
  </si>
  <si>
    <t>ARMANDO G</t>
  </si>
  <si>
    <t>JESUS J</t>
  </si>
  <si>
    <t>ANTICIPOS A DESPACHOS ADUANAL</t>
  </si>
  <si>
    <t>OTRAS PROVISIONES DE GASTOS</t>
  </si>
  <si>
    <t>PRODUCTO 1</t>
  </si>
  <si>
    <t>PRODUCTO 2</t>
  </si>
  <si>
    <t>PRODUCTO 3</t>
  </si>
  <si>
    <t>PRODUCTO 4</t>
  </si>
  <si>
    <t>PRODUCTO 5</t>
  </si>
  <si>
    <t>%</t>
  </si>
  <si>
    <t>____________</t>
  </si>
  <si>
    <t>Cuenta Agrupadora</t>
  </si>
  <si>
    <t>UTILIDAD NETA</t>
  </si>
  <si>
    <t>% UTILIDAD NETA</t>
  </si>
  <si>
    <t>TRABAJO DE OFICINA</t>
  </si>
  <si>
    <t>TRABAJO TECNICO</t>
  </si>
  <si>
    <t>INDEMNIZACIONES POR DESPIDO</t>
  </si>
  <si>
    <t>GASTOS EDUCACIONALES</t>
  </si>
  <si>
    <t>ACCESORIOS DIVERSOS</t>
  </si>
  <si>
    <t>AGUA</t>
  </si>
  <si>
    <t>GASTOS DE AUTOMOVIL</t>
  </si>
  <si>
    <t>ELECTRICIDAD</t>
  </si>
  <si>
    <t>MODIFICACIONES NO CAPITALIZABLES</t>
  </si>
  <si>
    <t>PAPELERIA Y ARTICULOS DE ESCRITORIO</t>
  </si>
  <si>
    <t>IMPUESTO PREDIAL</t>
  </si>
  <si>
    <t>SEGUROS</t>
  </si>
  <si>
    <t>VIAJES</t>
  </si>
  <si>
    <t>ATENCIONES A CLIENTES</t>
  </si>
  <si>
    <t>ARRENDAMIENTO DE INMUEBLES</t>
  </si>
  <si>
    <t>GASTOS CONTRATISTAS</t>
  </si>
  <si>
    <t>HONORARIOS PERSONAS FISICAS</t>
  </si>
  <si>
    <t>HONORARIOS PERSONAS MORALES</t>
  </si>
  <si>
    <t>TELEFONOS Y TELEGRAFOS</t>
  </si>
  <si>
    <t>GASTOS MEDICOS</t>
  </si>
  <si>
    <t>COMISIONES</t>
  </si>
  <si>
    <t>PROMOCION Y PUBLICIDAD</t>
  </si>
  <si>
    <t>BANQUETES Y COCTELES</t>
  </si>
  <si>
    <t>CUOTAS Y SUSCRIPCIONES</t>
  </si>
  <si>
    <t>COMEDOR</t>
  </si>
  <si>
    <t>IMPUESTOS Y DERECHOS FEDERALES</t>
  </si>
  <si>
    <t>IMPUESTOS Y DERECHOS LOCALES</t>
  </si>
  <si>
    <t>GASTOS VARIOS</t>
  </si>
  <si>
    <t>GASTOS NO DEDUCIBLES</t>
  </si>
  <si>
    <t>ARRENDAMIENTO DE MUEBLES</t>
  </si>
  <si>
    <t>INTERESES GANADOS INVERSIONES BANCOS</t>
  </si>
  <si>
    <t>PERDIDA CAMBIARIA</t>
  </si>
  <si>
    <t>MAQUINARIA Y HERRAMIENTA EN CONSTRUCCI[ON</t>
  </si>
  <si>
    <t>Total 2210</t>
  </si>
  <si>
    <t>BENEFICIOS A LOS EMPLEADOS AL RETIRO</t>
  </si>
  <si>
    <t>PRESTAMOS INSTITUCIONES BANCARIAS</t>
  </si>
  <si>
    <t>BANCOMER 1250248</t>
  </si>
  <si>
    <t>SANTANDER 9821542</t>
  </si>
  <si>
    <t>Total 2112</t>
  </si>
  <si>
    <t>PASIVO POR ACTIVOS EN ARRENDAMIENTO</t>
  </si>
  <si>
    <t>PRESTAMOS BANCARIOS</t>
  </si>
  <si>
    <t>BENEFICIO A LOS EMPLEADOS</t>
  </si>
  <si>
    <t>ARRENDAMIENTO SUCURSAL</t>
  </si>
  <si>
    <t>PRESTAMOS BANCARIOS LARGO PLAZO</t>
  </si>
  <si>
    <t>Total 2230</t>
  </si>
  <si>
    <t>Total 2220</t>
  </si>
  <si>
    <t>DERECHOS DE USO</t>
  </si>
  <si>
    <t>ACTIVOS EN ARRENDAMIENTO</t>
  </si>
  <si>
    <t>ACTIVO EN ARRENDAMIENTO</t>
  </si>
  <si>
    <t>IMPUESTOS A LA UTILIDAD  DIFERIDO</t>
  </si>
  <si>
    <t>IMPUESTOS DIFERIDOS</t>
  </si>
  <si>
    <t>IMPUESTO DIFERIDO</t>
  </si>
  <si>
    <t>TOTAL PASIVO</t>
  </si>
  <si>
    <t>TOTAL ACTIVOS</t>
  </si>
  <si>
    <t xml:space="preserve">TRABAJO TECNICO </t>
  </si>
  <si>
    <t xml:space="preserve">TIEMPO EXTRA </t>
  </si>
  <si>
    <t xml:space="preserve">INDEMNIZACIONES POR DESPIDO </t>
  </si>
  <si>
    <t xml:space="preserve">SEGURO SOCIAL </t>
  </si>
  <si>
    <t xml:space="preserve">2% AL SAR </t>
  </si>
  <si>
    <t xml:space="preserve">5% INFONAVIT </t>
  </si>
  <si>
    <t xml:space="preserve">VACACIONES POR PAGAR </t>
  </si>
  <si>
    <t xml:space="preserve">PRIMA DE ANTIGÜEDAD </t>
  </si>
  <si>
    <t xml:space="preserve">PLAN DE PENSIONES </t>
  </si>
  <si>
    <t xml:space="preserve">GASTOS EDUCACIONALES </t>
  </si>
  <si>
    <t xml:space="preserve">GRATIFICACIONES </t>
  </si>
  <si>
    <t xml:space="preserve">ACCESORIOS DIVERSOS </t>
  </si>
  <si>
    <t xml:space="preserve">AGUA </t>
  </si>
  <si>
    <t xml:space="preserve">GASTOS DE AUTOMOVIL </t>
  </si>
  <si>
    <t xml:space="preserve">ELECTRICIDAD </t>
  </si>
  <si>
    <t xml:space="preserve">MODIFICACIONES NO CAPITALIZABLES </t>
  </si>
  <si>
    <t xml:space="preserve">PAPELERIA Y ARTICULOS DE ESCRITORIO </t>
  </si>
  <si>
    <t xml:space="preserve">IMPUESTO PREDIAL </t>
  </si>
  <si>
    <t xml:space="preserve">DEPRECIACION </t>
  </si>
  <si>
    <t xml:space="preserve">VIAJES </t>
  </si>
  <si>
    <t xml:space="preserve">OBSOLESCENCIA DE INVENTARIOS </t>
  </si>
  <si>
    <t xml:space="preserve">GASTOS CONTRATISTAS </t>
  </si>
  <si>
    <t xml:space="preserve">HONORARIOS PERSONAS FISICAS </t>
  </si>
  <si>
    <t xml:space="preserve">HONORARIOS PERSONAS MORALES </t>
  </si>
  <si>
    <t xml:space="preserve">TELEFONOS Y TELEGRAFOS </t>
  </si>
  <si>
    <t xml:space="preserve">GASTOS MEDICOS </t>
  </si>
  <si>
    <t xml:space="preserve">GASTOS DE PREVISION SOCIAL </t>
  </si>
  <si>
    <t xml:space="preserve">BANQUETES Y COCTELES </t>
  </si>
  <si>
    <t xml:space="preserve">CUOTAS Y SUSCRIPCIONES </t>
  </si>
  <si>
    <t xml:space="preserve">COMEDOR </t>
  </si>
  <si>
    <t xml:space="preserve">IMPUESTOS Y DERECHOS FEDERALES </t>
  </si>
  <si>
    <t xml:space="preserve">IMPUESTOS Y DERECHOS LOCALES </t>
  </si>
  <si>
    <t xml:space="preserve">2% SOBRE NOMINAS </t>
  </si>
  <si>
    <t xml:space="preserve">GASTOS VARIOS </t>
  </si>
  <si>
    <t xml:space="preserve">GASTOS NO DEDUCIBLES </t>
  </si>
  <si>
    <t xml:space="preserve">AJUSTES DE INVENTARIOS </t>
  </si>
  <si>
    <t xml:space="preserve">ARRENDAMIENTO DE MUEBLES </t>
  </si>
  <si>
    <t xml:space="preserve">RESERVA PARA GARANTIAS </t>
  </si>
  <si>
    <t>MANO DE OBRA</t>
  </si>
  <si>
    <t>PRIMAANTIGÜEDAD</t>
  </si>
  <si>
    <t>PLANPENSIONES</t>
  </si>
  <si>
    <t>GASTOSAUTOMOVIL</t>
  </si>
  <si>
    <t>ERIA Y ARTICULOSESCRITORIO</t>
  </si>
  <si>
    <t>ARRENDAMIENTOINMUEBLES</t>
  </si>
  <si>
    <t>GASTOSPREVISION SOCIAL</t>
  </si>
  <si>
    <t>ARRENDAMIENTOMUEBLES</t>
  </si>
  <si>
    <t>TOTAL GASTOS</t>
  </si>
  <si>
    <t>PROVISION DE ISR Y PTU</t>
  </si>
  <si>
    <t>TOTAL COSTO DE VENTAS</t>
  </si>
  <si>
    <t>TOTAL INGRESOS</t>
  </si>
  <si>
    <t>TOTAL CAPITAL CONTABLE</t>
  </si>
  <si>
    <t>Total 22</t>
  </si>
  <si>
    <t>MATERIALES INDIRECTOS</t>
  </si>
  <si>
    <t>ABSORCION MANO DE OBRA</t>
  </si>
  <si>
    <t>ABSORCION GASTOS DE PRODUCCIÓN</t>
  </si>
  <si>
    <t>GASTOS DE INGENIERIA</t>
  </si>
  <si>
    <t>Total 8104</t>
  </si>
  <si>
    <t>Var%</t>
  </si>
  <si>
    <t xml:space="preserve">ACTIVO </t>
  </si>
  <si>
    <t>Efectivo y equivalentes</t>
  </si>
  <si>
    <t>Inventarios-Neto</t>
  </si>
  <si>
    <t>Pagos anticipados</t>
  </si>
  <si>
    <t>Activo circulante</t>
  </si>
  <si>
    <t xml:space="preserve">Propiedad planta y equipo </t>
  </si>
  <si>
    <t xml:space="preserve">Activos intangibles </t>
  </si>
  <si>
    <t xml:space="preserve">TOTAL ACTIVO </t>
  </si>
  <si>
    <t xml:space="preserve">Beneficios directos a los empleados </t>
  </si>
  <si>
    <t xml:space="preserve">Provisiones </t>
  </si>
  <si>
    <t xml:space="preserve">Anticipos de clientes </t>
  </si>
  <si>
    <t xml:space="preserve">TOTAL PASIVO </t>
  </si>
  <si>
    <t>CAPITAL</t>
  </si>
  <si>
    <t xml:space="preserve">Capital contable </t>
  </si>
  <si>
    <t xml:space="preserve">Resultado del Ejercicio </t>
  </si>
  <si>
    <t>Capital Social</t>
  </si>
  <si>
    <t>Aportaciones para futuros aumentos de capital</t>
  </si>
  <si>
    <t>TOTAL CAPITAL</t>
  </si>
  <si>
    <t>TOTAL PASIVO + CAPITAL</t>
  </si>
  <si>
    <t>NIF C-1</t>
  </si>
  <si>
    <t>NIF C-4</t>
  </si>
  <si>
    <t>NIF C-3</t>
  </si>
  <si>
    <t>NIF D-3</t>
  </si>
  <si>
    <t>NIF C-5</t>
  </si>
  <si>
    <t>NIF C-6</t>
  </si>
  <si>
    <t>NORMA</t>
  </si>
  <si>
    <t>NIF C-11</t>
  </si>
  <si>
    <t>NIF D-4</t>
  </si>
  <si>
    <t>INV</t>
  </si>
  <si>
    <t>Rubro</t>
  </si>
  <si>
    <t>Inversiones en valores</t>
  </si>
  <si>
    <t>Inversión neta del arrendador en arrendamientos capitalizables</t>
  </si>
  <si>
    <t>Derechos de uso por arrendamientos</t>
  </si>
  <si>
    <t>Impuesto a la utilidad diferido</t>
  </si>
  <si>
    <t>Impuestos por recuperar</t>
  </si>
  <si>
    <t xml:space="preserve">Otras inversiones permanentes </t>
  </si>
  <si>
    <t>Pasivo por activos en arrendamiento</t>
  </si>
  <si>
    <t>Q1</t>
  </si>
  <si>
    <t>Q2</t>
  </si>
  <si>
    <t>Q3</t>
  </si>
  <si>
    <t>depositos</t>
  </si>
  <si>
    <t>retiros</t>
  </si>
  <si>
    <t>Cuentas por cobrar - Neto</t>
  </si>
  <si>
    <t>Empresa el ejemplo, S.A. de C.V.</t>
  </si>
  <si>
    <t>PROPIEDADES, PLANTA Y EQUIPO</t>
  </si>
  <si>
    <t>NIF C-2</t>
  </si>
  <si>
    <t>NIF D-5</t>
  </si>
  <si>
    <t>ACTIVO NO CIRCULANTE</t>
  </si>
  <si>
    <t>Proveedores y otras cuentas por pagar</t>
  </si>
  <si>
    <t>NIF C-19</t>
  </si>
  <si>
    <t>Préstamos Instituciones Financieras  y Acreedores</t>
  </si>
  <si>
    <t>NIF D-1</t>
  </si>
  <si>
    <t>Pasivo por Impuesto a la utilidad causado</t>
  </si>
  <si>
    <t>Pasivo circulante</t>
  </si>
  <si>
    <t>Deuda a largo plazo</t>
  </si>
  <si>
    <t>Provisión por impuesto diferido</t>
  </si>
  <si>
    <t>ISR DIFERIDO</t>
  </si>
  <si>
    <t>Utilidades (o pérdidas) acumuladas</t>
  </si>
  <si>
    <t>NIF C-8</t>
  </si>
  <si>
    <t>PASIVO</t>
  </si>
  <si>
    <t>PASIVO NO CIRCULANTE</t>
  </si>
  <si>
    <t>COMPROBACIÓN 0</t>
  </si>
  <si>
    <t>TOTAL FINANCIAMIENTO</t>
  </si>
  <si>
    <t>IMPUESTOS A LA UTILIDAD</t>
  </si>
  <si>
    <t xml:space="preserve">Total 8001 </t>
  </si>
  <si>
    <t xml:space="preserve">Total 80 </t>
  </si>
  <si>
    <t>TOTAL IMPUESTOS</t>
  </si>
  <si>
    <t>UTILIDAD BRUTA</t>
  </si>
  <si>
    <t>ABSORCION INVENTARIO</t>
  </si>
  <si>
    <t>Total 5301</t>
  </si>
  <si>
    <t>Total 5201</t>
  </si>
  <si>
    <t>Gastos de operación</t>
  </si>
  <si>
    <t>Resultado Integral de financiamiento</t>
  </si>
  <si>
    <t>TOTAL RESULTADO INTEGRAL DE FINANCIAMIENTO</t>
  </si>
  <si>
    <t>TOTAL OTROS INGRESOS</t>
  </si>
  <si>
    <t>TOTAL OTROS GASTOS</t>
  </si>
  <si>
    <t>Impuestos a la Utilidad</t>
  </si>
  <si>
    <t>UTILIDAD DE OPERACION</t>
  </si>
  <si>
    <t>INTERESES PAGADOS</t>
  </si>
  <si>
    <t>INTERESES SOBRE PASIVO POR ARRENDAMIENTO</t>
  </si>
  <si>
    <t>UTILIDAD ANTES DE IMPUESTOS</t>
  </si>
  <si>
    <t>COSTO DE PRODUCCION</t>
  </si>
  <si>
    <t>Q4</t>
  </si>
  <si>
    <t>Encargado de Caja Chica</t>
  </si>
  <si>
    <t>Contraloria</t>
  </si>
  <si>
    <t>Gerente de Tesoreria</t>
  </si>
  <si>
    <t>Cargos</t>
  </si>
  <si>
    <t>Abonos</t>
  </si>
  <si>
    <t>Fecha:</t>
  </si>
  <si>
    <t>Autorizó:</t>
  </si>
  <si>
    <t xml:space="preserve">  </t>
  </si>
  <si>
    <t>Cheques pendientes por cobro, integración en conciliación bancaria</t>
  </si>
  <si>
    <t>MXN / USD</t>
  </si>
  <si>
    <t>Jefe de Tesoreria</t>
  </si>
  <si>
    <t>Gerente de Contabilidad</t>
  </si>
  <si>
    <t>Dirección de Finanzas</t>
  </si>
  <si>
    <t>Jefatura de cuentas por cobrar</t>
  </si>
  <si>
    <t>Contador General</t>
  </si>
  <si>
    <t>Anexar:
- Reporte de antiguedad de saldos
- Pantalla de sistema
- Confirmación de saldos Intercompañias</t>
  </si>
  <si>
    <t>Anexar:
- Estado de Cuenta de Inversión y auxiliar de la cuenta</t>
  </si>
  <si>
    <t>Anexar:
- Cartas responsivas de caja chica
- Cortes de caja revisados y autorizados</t>
  </si>
  <si>
    <t>Anexar:
- Cálculo de reserva de cuentas incobrables</t>
  </si>
  <si>
    <t>debito</t>
  </si>
  <si>
    <t>credito</t>
  </si>
  <si>
    <t>Anexar:
- Integración de saldo por antiguedad y de ser necesario justificación por saldos vencidos y estatus de acción</t>
  </si>
  <si>
    <t>INVENTARIO</t>
  </si>
  <si>
    <t>entradas</t>
  </si>
  <si>
    <t>salidas</t>
  </si>
  <si>
    <t>Jefe de Almacén</t>
  </si>
  <si>
    <t>PROVISION DIFERIDO</t>
  </si>
  <si>
    <t>Anexar:
- Integración del inventario con antiguedad
-Pantalla del sistema con el stock al cierre del mes
- Comentarios y explicación de variaciones y ajustes
- Explicación del motivo de lenta rotación</t>
  </si>
  <si>
    <t>Anexar:
- Cálculo de la reserva por deterioro, revisada y autorizada</t>
  </si>
  <si>
    <t>Jefe de Costos</t>
  </si>
  <si>
    <t>Contralor</t>
  </si>
  <si>
    <t>Director de Finanzas</t>
  </si>
  <si>
    <t>Anexar:
- Conciliaciones Bancaria autorizadas
- Estados de Cuenta Bancarios en electrónico.
- Resumen de Conciliaciones</t>
  </si>
  <si>
    <t>Encargado de Impuestos</t>
  </si>
  <si>
    <t>ok</t>
  </si>
  <si>
    <t>Jefe de cuentas por pagar</t>
  </si>
  <si>
    <t xml:space="preserve">Anexar:
- Integración de saldo
- Soporte de documentos y comentarios de antiguedad </t>
  </si>
  <si>
    <t>incrementos</t>
  </si>
  <si>
    <t>amortizaciones</t>
  </si>
  <si>
    <t xml:space="preserve">Anexar:
- Cédula de determinacion de anticipos
</t>
  </si>
  <si>
    <t>PAGOS ANTICIPADOS</t>
  </si>
  <si>
    <t>Encargado de Contabilidad</t>
  </si>
  <si>
    <t>Nota: 
Los depositos en garantia no llevan CFDI</t>
  </si>
  <si>
    <t>Anexar:
- Hoja de trabajo
- Prueba Global</t>
  </si>
  <si>
    <t>PPE</t>
  </si>
  <si>
    <t>Conciliación de Balance: Activo</t>
  </si>
  <si>
    <t>Anexar:
- Resumen
- Cédula depreciación
- Soporte de bajas y altas</t>
  </si>
  <si>
    <t>DEPRECIACION DERECHO DE USO</t>
  </si>
  <si>
    <t>INTERESES PASIVO ARRENDAMIENTO</t>
  </si>
  <si>
    <t>INTERESES ARRENDAMIENTO</t>
  </si>
  <si>
    <t>Anexar:
- Cálculo de depreciación y amortización de intereses de arrendamiento</t>
  </si>
  <si>
    <t>El ejemplo, S.A. de C.V.</t>
  </si>
  <si>
    <t>Conciliación de balance: Pasivo</t>
  </si>
  <si>
    <t>Pago</t>
  </si>
  <si>
    <t>Provisiones</t>
  </si>
  <si>
    <t>Jefatura de Cuentas por Pagar</t>
  </si>
  <si>
    <t>Fecha</t>
  </si>
  <si>
    <t>ENTRADAS POR FACTURAR</t>
  </si>
  <si>
    <t>Jefatura de Tesoreria</t>
  </si>
  <si>
    <t>Anexar
- Resumen e integracion de saldo, amortizacion de intereses
- Estado de cuenta</t>
  </si>
  <si>
    <t>anticipos</t>
  </si>
  <si>
    <t>aplicacion anticipos</t>
  </si>
  <si>
    <t>Jefatura de Contabilidad</t>
  </si>
  <si>
    <t>CONTRIBUCIONES Y RETENCIONES POR PAGAR</t>
  </si>
  <si>
    <t>ANEXAR:
- Integración de retenciones
- Vaciado de contribuciones laborales y liquidación</t>
  </si>
  <si>
    <t>Analista de Impuestos</t>
  </si>
  <si>
    <t>PROVISION DE IMPUESTOS</t>
  </si>
  <si>
    <t>PROVISION DE ISR DIFERIDO</t>
  </si>
  <si>
    <t>Pendiente ajuste de provisión por auditoria</t>
  </si>
  <si>
    <t>Anexar:
- Cálculo de Impuesto Annual
- Cálculo de Diferido</t>
  </si>
  <si>
    <t>Anexar
- Resumen e integracion de saldo (Revisar antiguedad)
- CFDIs</t>
  </si>
  <si>
    <t>NIF C-9 / C-1</t>
  </si>
  <si>
    <t>Anexar:
- Integración de reservas por concepto y soporte documental</t>
  </si>
  <si>
    <t>Anexar:
- Cálculo de PTU
- Integración</t>
  </si>
  <si>
    <t>Anexar:
- Cálculo de interes y amortización</t>
  </si>
  <si>
    <t>El Ejemplo, S.A. de C.V.</t>
  </si>
  <si>
    <t>Dom.</t>
  </si>
  <si>
    <t>Lun.</t>
  </si>
  <si>
    <t>Mar.</t>
  </si>
  <si>
    <t>Mié.</t>
  </si>
  <si>
    <t>Jue.</t>
  </si>
  <si>
    <t>Vie.</t>
  </si>
  <si>
    <t>Sáb.</t>
  </si>
  <si>
    <t>ACTIVIDADES</t>
  </si>
  <si>
    <t>CREDITO Y COBRANZA</t>
  </si>
  <si>
    <t>Aplicación de totalidad de: cobros, notas de crédito y notas de cargo</t>
  </si>
  <si>
    <t>.</t>
  </si>
  <si>
    <t>Depuración de  cuentas concentradoras de clientes</t>
  </si>
  <si>
    <t>12:00p.m.</t>
  </si>
  <si>
    <t>1:00p.m.</t>
  </si>
  <si>
    <t>COMPRAS</t>
  </si>
  <si>
    <t>Reporte: Mercancía en devolución pendiente de recibir</t>
  </si>
  <si>
    <t>Reporte: Notas de crédito recibidas durante el mes (envíar a cuentas por pagar)</t>
  </si>
  <si>
    <t>Validación de totalidad de facturas de proveedores provisionadas</t>
  </si>
  <si>
    <t>Provisión de totalidad de gastos fijos: servicios públicos</t>
  </si>
  <si>
    <t>Viáticos: seguimiento, validación y solicitud de descuento vía nómina</t>
  </si>
  <si>
    <t>Control de aplicación de anticipos no facturados y notas de crédito</t>
  </si>
  <si>
    <t>TESORERÍA</t>
  </si>
  <si>
    <t>Aplicación de totalidad de ingresos (distintos a cobranza) y egresos</t>
  </si>
  <si>
    <t>Aplicación de cargos bancarios automáticos</t>
  </si>
  <si>
    <t>Actualización de tablas de amortización de créditos bancarios</t>
  </si>
  <si>
    <t>Validación de pago de gastos fijos: servicios públicos y tarjetas de crédito</t>
  </si>
  <si>
    <t xml:space="preserve">Conciliación de créditos bancarios </t>
  </si>
  <si>
    <t>Elaboración de flujos de efectivo</t>
  </si>
  <si>
    <t>ALMACEN</t>
  </si>
  <si>
    <t>Despeje de área de "Recepción de mercancía"</t>
  </si>
  <si>
    <t>Validación de total de mercancía defectuosa (C1) con ubicación asignada (PR-R)</t>
  </si>
  <si>
    <t>Reporte: Integración de almacenes y antigüedad de saldos</t>
  </si>
  <si>
    <t>COSTOS</t>
  </si>
  <si>
    <t xml:space="preserve">Cálculo de costos de venta y variaciones </t>
  </si>
  <si>
    <t>Cálculo de resultado marginal por unidad de negocio</t>
  </si>
  <si>
    <t>Conciliación de costo de venta y almacén</t>
  </si>
  <si>
    <t>Provisión: Reserva por inventarios obsoletos</t>
  </si>
  <si>
    <t>R.H</t>
  </si>
  <si>
    <t>Provisión de nómina semanal y quincenal</t>
  </si>
  <si>
    <t>Conciliación de pagos de préstamos a empleados a FONACOT</t>
  </si>
  <si>
    <t>Conciliación de préstamos e intereses cobrados a empleados</t>
  </si>
  <si>
    <t>CONTABILIDAD</t>
  </si>
  <si>
    <t>Reconciliación inter-compañias</t>
  </si>
  <si>
    <t>Amortización de pagos anticipados</t>
  </si>
  <si>
    <t>Provisiones: pasivos, servicios profesionales, reserva de cuentas incobrables</t>
  </si>
  <si>
    <t>Actualización de cédulas de activos fijos y depreciación</t>
  </si>
  <si>
    <t>Reevaluación de partidas monetarias en moneda extranjera</t>
  </si>
  <si>
    <t>Conciliación de IVA y retenciones</t>
  </si>
  <si>
    <t>Cálculo de impuestos federales y estatales (ISR, IVA, retenciones, ISN)</t>
  </si>
  <si>
    <t>Provisión de impuestos federales y estatales</t>
  </si>
  <si>
    <t>Emisión de información financiera: E.F, notas, KPYs, análisis contra presupuestos</t>
  </si>
  <si>
    <t>Revisión de balanza de comprobación</t>
  </si>
  <si>
    <t>Reconciliación de cuentas y ajustes</t>
  </si>
  <si>
    <t>Validación de información financiera y envío a Dirección General</t>
  </si>
  <si>
    <t>Análisis de rentabilidad por unidad de negocio</t>
  </si>
  <si>
    <t>Checklist de cierre</t>
  </si>
  <si>
    <t>El Ejemplo S.A. de C.V.</t>
  </si>
  <si>
    <t>Entrega Estados Financieros</t>
  </si>
  <si>
    <t>Cierre Modulos</t>
  </si>
  <si>
    <t>Cierre de Módulo</t>
  </si>
  <si>
    <t>Empresa 1</t>
  </si>
  <si>
    <r>
      <t xml:space="preserve">Cierre de módulo: </t>
    </r>
    <r>
      <rPr>
        <b/>
        <sz val="10"/>
        <rFont val="Calibri"/>
        <family val="2"/>
      </rPr>
      <t>Menú de crédito</t>
    </r>
  </si>
  <si>
    <r>
      <t xml:space="preserve">Conciliación libro vs. Sublibro: </t>
    </r>
    <r>
      <rPr>
        <b/>
        <sz val="10"/>
        <color indexed="8"/>
        <rFont val="Calibri"/>
        <family val="2"/>
      </rPr>
      <t>Contpaq vs. Menú de crédito</t>
    </r>
  </si>
  <si>
    <r>
      <t>Reporte: Detalle de c</t>
    </r>
    <r>
      <rPr>
        <sz val="10"/>
        <color indexed="8"/>
        <rFont val="Calibri"/>
        <family val="2"/>
      </rPr>
      <t>artera de clientes con antigüedad de saldos</t>
    </r>
  </si>
  <si>
    <r>
      <t xml:space="preserve">Cierre de módulo: </t>
    </r>
    <r>
      <rPr>
        <b/>
        <sz val="10"/>
        <color indexed="8"/>
        <rFont val="Calibri"/>
        <family val="2"/>
      </rPr>
      <t>Menú de adquisiciones, Control de gastos y Bancos</t>
    </r>
  </si>
  <si>
    <r>
      <t xml:space="preserve">Conciliación libro vs. Sublibro: </t>
    </r>
    <r>
      <rPr>
        <b/>
        <sz val="10"/>
        <color indexed="8"/>
        <rFont val="Calibri"/>
        <family val="2"/>
      </rPr>
      <t>Contpaq vs. Adquisiciones</t>
    </r>
  </si>
  <si>
    <r>
      <t>Reportes: Detalle de proveedores</t>
    </r>
    <r>
      <rPr>
        <sz val="10"/>
        <color indexed="8"/>
        <rFont val="Calibri"/>
        <family val="2"/>
      </rPr>
      <t xml:space="preserve"> con antigüedad de saldos y Control de viáticos</t>
    </r>
  </si>
  <si>
    <r>
      <t xml:space="preserve">Conciliación bancaria: </t>
    </r>
    <r>
      <rPr>
        <b/>
        <sz val="10"/>
        <color indexed="8"/>
        <rFont val="Calibri"/>
        <family val="2"/>
      </rPr>
      <t>Estado de cuenta vs. Bancos en Adquisiciones/Bancos</t>
    </r>
  </si>
  <si>
    <r>
      <t xml:space="preserve">Conciliación libro vs. Sublibro: </t>
    </r>
    <r>
      <rPr>
        <b/>
        <sz val="10"/>
        <color indexed="8"/>
        <rFont val="Calibri"/>
        <family val="2"/>
      </rPr>
      <t>Contpaq vs. Adquisiciones/Bancos</t>
    </r>
  </si>
  <si>
    <r>
      <t xml:space="preserve">Carga: </t>
    </r>
    <r>
      <rPr>
        <b/>
        <sz val="10"/>
        <color indexed="8"/>
        <rFont val="Calibri"/>
        <family val="2"/>
      </rPr>
      <t>Póliza contable de nómina</t>
    </r>
  </si>
  <si>
    <r>
      <t xml:space="preserve">Validación de conciliaciones: </t>
    </r>
    <r>
      <rPr>
        <b/>
        <sz val="10"/>
        <color indexed="8"/>
        <rFont val="Calibri"/>
        <family val="2"/>
      </rPr>
      <t>libro vs. sublibros</t>
    </r>
  </si>
  <si>
    <r>
      <t xml:space="preserve">Cierre de libro: </t>
    </r>
    <r>
      <rPr>
        <b/>
        <sz val="10"/>
        <color indexed="8"/>
        <rFont val="Calibri"/>
        <family val="2"/>
      </rPr>
      <t>Contpaq</t>
    </r>
  </si>
  <si>
    <t>Empresa 2</t>
  </si>
  <si>
    <t>Empresa 3</t>
  </si>
  <si>
    <t>Empresa 4</t>
  </si>
  <si>
    <t>En Proceso</t>
  </si>
  <si>
    <t>Concluido</t>
  </si>
  <si>
    <t>Rollforward AF</t>
  </si>
  <si>
    <t>Actividades de operación:</t>
  </si>
  <si>
    <t xml:space="preserve">Saldo Inicial </t>
  </si>
  <si>
    <t>ISR Pagado</t>
  </si>
  <si>
    <t xml:space="preserve">Utilidad antes de impuestos a la utilidad </t>
  </si>
  <si>
    <t>Adiciones</t>
  </si>
  <si>
    <t>Isr Resultados</t>
  </si>
  <si>
    <t>Impuestos a la utilidad legal</t>
  </si>
  <si>
    <t>Depreciación</t>
  </si>
  <si>
    <t xml:space="preserve">Partidas relacionadas con actividades de inversión: </t>
  </si>
  <si>
    <t>Bajas</t>
  </si>
  <si>
    <t xml:space="preserve">Depreciación y amortización </t>
  </si>
  <si>
    <t>Partidas relacionadas con actividades de financiamiento:</t>
  </si>
  <si>
    <t xml:space="preserve">Intereses a cargo </t>
  </si>
  <si>
    <t>Fluctuación cambiaria no realizada</t>
  </si>
  <si>
    <t>(Aumento) disminución en:</t>
  </si>
  <si>
    <t>Cuentas por cobrar</t>
  </si>
  <si>
    <t>Inventarios</t>
  </si>
  <si>
    <t>Derchos de uso por arrendamiento</t>
  </si>
  <si>
    <t>Aumento (disminución) en:</t>
  </si>
  <si>
    <t xml:space="preserve">Cuentas por pagar a proveedores </t>
  </si>
  <si>
    <t>Anticipo clientes</t>
  </si>
  <si>
    <t>Impuestos la utilidad pagados</t>
  </si>
  <si>
    <t>Pagos por arrendamiento de activos</t>
  </si>
  <si>
    <t>Flujos netos de efectivo de actividades de operación</t>
  </si>
  <si>
    <t>Actividades de inversión:</t>
  </si>
  <si>
    <t>Adquisición de propiedades, planta y equipo</t>
  </si>
  <si>
    <t xml:space="preserve">Venta de propiedades, planta y equipo </t>
  </si>
  <si>
    <t>Flujos netos de efectivo de actividades de inversión</t>
  </si>
  <si>
    <t>Actividades de financiamiento:</t>
  </si>
  <si>
    <t>Préstamos obtenidos</t>
  </si>
  <si>
    <t>Pago de préstamos</t>
  </si>
  <si>
    <t>Flujos netos de efectivo de actividades de financiamiento</t>
  </si>
  <si>
    <t>Aumento (disminución) neto de efectivo y equivalentes de efectivo</t>
  </si>
  <si>
    <t>Efectivo y equivalentes de efectivo al principio del período</t>
  </si>
  <si>
    <t xml:space="preserve">Efectivo y equivalentes de efectivo al final del período </t>
  </si>
  <si>
    <t>Saldo Balance</t>
  </si>
  <si>
    <t>Dif</t>
  </si>
  <si>
    <t>Impuestos diferidos</t>
  </si>
  <si>
    <r>
      <t xml:space="preserve">Estado de Flujo de Efectivo </t>
    </r>
    <r>
      <rPr>
        <i/>
        <sz val="10"/>
        <rFont val="Calibri"/>
        <family val="2"/>
      </rPr>
      <t>(método indirecto)</t>
    </r>
  </si>
  <si>
    <t>Var $</t>
  </si>
  <si>
    <t>Anexar:
- Soporte documental (Contratos)</t>
  </si>
  <si>
    <t>Anexar
- Resumen e integracion de saldo
- Pantalla de cuenta puente de entradas de almacén</t>
  </si>
  <si>
    <t>Anexar:
- Acumulado de Nómina
- Análisis de variaciones</t>
  </si>
  <si>
    <t>PROVISIONES</t>
  </si>
  <si>
    <t>El cálculo actuarial de los pasivos laborales revela la mejor estimación de los posibles pagos futuros a los que la entidad deberá hacer frente, una vez que se cumplan los requisitos descritos dentro de los planes por beneficios a los empleados. La Normativa D3, estipula que las empresas deben contabilizar las obligaciones con sus empleados, tanto legales como implícitas, determinando el valor presente de estos beneficios y el valor razonable de cualquier activo (pasivo) del plan, con una regularidad suficiente y mediante un estudio actuarial.
RESULTADOS  - BENEFICIO A LOS EMPLEADOS          X
PASIVO            -  BENEFICIOS A LOS EMPLEADOS                  X</t>
  </si>
  <si>
    <t>Utilidades retenidas</t>
  </si>
  <si>
    <t>Total del capital</t>
  </si>
  <si>
    <t>Reserva</t>
  </si>
  <si>
    <t xml:space="preserve">Utilidad del ejercicio </t>
  </si>
  <si>
    <t>Decreto de dividendos</t>
  </si>
  <si>
    <t>RAZONES FINANCIERAS</t>
  </si>
  <si>
    <t>NIF B2</t>
  </si>
  <si>
    <t>NIF B3</t>
  </si>
  <si>
    <t>NIF B6</t>
  </si>
  <si>
    <t>VAR Q %</t>
  </si>
  <si>
    <t>abonos</t>
  </si>
  <si>
    <t>Cuentas de orden</t>
  </si>
  <si>
    <t>UFIN  del ejercicio</t>
  </si>
  <si>
    <t>CUFIN del ejercicio</t>
  </si>
  <si>
    <t>CUFIN de ejercicios anteriores</t>
  </si>
  <si>
    <t>CUFINRE del ejercicio</t>
  </si>
  <si>
    <t>CUFINRE de ejercicios anteriores</t>
  </si>
  <si>
    <t>CUCA del ejercicio</t>
  </si>
  <si>
    <t>CUCA de ejercicios anteriores</t>
  </si>
  <si>
    <t>Ajuste anual por inflacion acumulable</t>
  </si>
  <si>
    <t>Ajuste anual por inflacion deducible</t>
  </si>
  <si>
    <t>Deduccion de inversión</t>
  </si>
  <si>
    <t>Utilidad o pérdida fiscal en venta/ baja de activo fijo</t>
  </si>
  <si>
    <t>Utilidad o pérdida fiscal en venta acciones o partes sociales</t>
  </si>
  <si>
    <t>Mercancia en consignación</t>
  </si>
  <si>
    <t>Otras cuentas de orden</t>
  </si>
  <si>
    <t>Pérdidas fiscales pendientes de amortizar actualizadas</t>
  </si>
  <si>
    <t>El Ejemplo, SA de CV</t>
  </si>
  <si>
    <t>Conciliación Fiscal Contable</t>
  </si>
  <si>
    <t>CONCILIACION CONTABLE FISCAL</t>
  </si>
  <si>
    <t>I S R</t>
  </si>
  <si>
    <t>P T U</t>
  </si>
  <si>
    <t>RESULTADO CONTABLE</t>
  </si>
  <si>
    <t>MAS</t>
  </si>
  <si>
    <t>INGRESOS FISCALES NO CONTABLES</t>
  </si>
  <si>
    <t>ANTICIPO DE CLIENTES DEL EJERCICIO</t>
  </si>
  <si>
    <t>UTILIDAD FISCAL EN VENTA DE ACTIVOS FIJOS</t>
  </si>
  <si>
    <t>DEDUCCIONES CONTABLES NO FISCALES</t>
  </si>
  <si>
    <t>GASTOS MEDICOS NO DEDUCIBLES</t>
  </si>
  <si>
    <t>RESERVA CUENTAS INCOBRABLES</t>
  </si>
  <si>
    <t>HONORARIOS DE AUDITORIA</t>
  </si>
  <si>
    <t>AMERICAN EXPRESS</t>
  </si>
  <si>
    <t>PROVISION COMISIONES</t>
  </si>
  <si>
    <t>PROVISION FLETES</t>
  </si>
  <si>
    <t>PRIMA DE ANTIGUEDAD</t>
  </si>
  <si>
    <t>INDEMNIZACION LEGAL</t>
  </si>
  <si>
    <t>PROVISION DE REGALIAS</t>
  </si>
  <si>
    <t>CTS POR PAGAR A P. FISICAS, AC, Y S.C.</t>
  </si>
  <si>
    <t>MENOS</t>
  </si>
  <si>
    <t>DEDUCCIONES FISCALES NO CONTABLES</t>
  </si>
  <si>
    <t>DEPRECIACION FISCAL</t>
  </si>
  <si>
    <t>PAGOS DE REGALIAS</t>
  </si>
  <si>
    <t>AJUSTE ANNUAL POR INFLACION</t>
  </si>
  <si>
    <t>PERDIDA FISCAL EN VENTA DE ACTIVO FIJO</t>
  </si>
  <si>
    <t xml:space="preserve">MENOS </t>
  </si>
  <si>
    <t>INGRESOS CONTABLES NO FISCALES</t>
  </si>
  <si>
    <t>ANTICIPOS DE CLIENTES DEL EJERCICIO ANTERIOR</t>
  </si>
  <si>
    <t>UTILIDAD FISCAL</t>
  </si>
  <si>
    <t>RESULTADO FISCAL</t>
  </si>
  <si>
    <t>PTU DEDUCIBLE</t>
  </si>
  <si>
    <t>IMPUESTO EQUIVALENTE</t>
  </si>
  <si>
    <t>PROVISION</t>
  </si>
  <si>
    <t>Cálculo de Tasa Efectiva (Diferido)</t>
  </si>
  <si>
    <t>DETERMINACION ISR DIFERIDO</t>
  </si>
  <si>
    <t>CUENTA</t>
  </si>
  <si>
    <t>NOMBRE</t>
  </si>
  <si>
    <t>SALDO FINAL</t>
  </si>
  <si>
    <t>SALDO INICIAL</t>
  </si>
  <si>
    <t>INTEGRACIÓN DE PROVISIONES</t>
  </si>
  <si>
    <t>SALDOS INICIALES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</si>
  <si>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</si>
  <si>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</si>
  <si>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</si>
  <si>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</si>
  <si>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</si>
  <si>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</si>
  <si>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</si>
  <si>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</si>
  <si>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</si>
  <si>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</si>
  <si>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</si>
  <si>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</si>
  <si>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EFECTO</t>
  </si>
  <si>
    <t>INVENTARIO FISICO ANUAL</t>
  </si>
  <si>
    <t>DEPOSITO EN GARANTIA</t>
  </si>
  <si>
    <t>AJUSTE ANUAL POR INFLACION</t>
  </si>
  <si>
    <t>CONCEPTO</t>
  </si>
  <si>
    <t>MESES</t>
  </si>
  <si>
    <t>CLIENTES</t>
  </si>
  <si>
    <t>SUMA DE CREDITOS</t>
  </si>
  <si>
    <t>PROVEEDORES</t>
  </si>
  <si>
    <t>IMPUESTOS</t>
  </si>
  <si>
    <t>SUMA DE PASIVOS</t>
  </si>
  <si>
    <t>DIFERENCIA DE CREDITOS Y DEUDAS</t>
  </si>
  <si>
    <t>SUMA DE SALDOS PROMEDIOS</t>
  </si>
  <si>
    <t>FACTO R DE ACTUALIZACION</t>
  </si>
  <si>
    <t>AJUSTE POR INFLACION  MENSUAL</t>
  </si>
  <si>
    <t>DETERMINACIÓN DEL AJUSTE</t>
  </si>
  <si>
    <t>1- Registro ISR del Ejercicio</t>
  </si>
  <si>
    <t>CARGO</t>
  </si>
  <si>
    <t>ABONO</t>
  </si>
  <si>
    <t>2-Registro Pago Provisional</t>
  </si>
  <si>
    <t>3-Pago del ISR del Ejercicio</t>
  </si>
  <si>
    <t>4- Provision PTU</t>
  </si>
  <si>
    <t>5- Reclasificacion PTU una vez que se cierra el ejercicio</t>
  </si>
  <si>
    <t>6- Pago de  PTU</t>
  </si>
  <si>
    <t>7-Registro ISR diferido</t>
  </si>
  <si>
    <t>ISR DIFERIDO RESULTADO</t>
  </si>
  <si>
    <t>ISR DIFERIDO PASIVO</t>
  </si>
  <si>
    <t>8-Registro IVA Acreditable por pagar con IVA Retenido</t>
  </si>
  <si>
    <t>GASTOS RESULTADO</t>
  </si>
  <si>
    <t>IVA RETENIDO NO PAGADO</t>
  </si>
  <si>
    <t>9- Registro IVA Trasladado por cobrar</t>
  </si>
  <si>
    <t>10-Registro IVA Acreditable pagado</t>
  </si>
  <si>
    <t>IVA RETENIDO PAGADO</t>
  </si>
  <si>
    <t>11- Registro IVA Trasladado Cobrado</t>
  </si>
  <si>
    <t>12- Registro IVA Por Pagar</t>
  </si>
  <si>
    <t>Nota: Se reduce el IVA Pagado con el IVA Retenido por pagos a proveedores del mes</t>
  </si>
  <si>
    <t>IVA ACREDITABLE POR IVA RETENIDO PAGADO DECLARACION MES ANTERIOR</t>
  </si>
  <si>
    <t>13- Registro Pago IVA</t>
  </si>
  <si>
    <t>14-Registro Nomina por Pagar</t>
  </si>
  <si>
    <t>SUELDOS RESULTADO</t>
  </si>
  <si>
    <t>12- Registro Pago Nomina</t>
  </si>
  <si>
    <t>13- Registro Pago Cuotas de Seguridad Social</t>
  </si>
  <si>
    <t>14- Registro Pago ISR Retenido por Salarios</t>
  </si>
  <si>
    <t>EJEMPLO, S.A. DE C.V.</t>
  </si>
  <si>
    <t>UTILIDAD FISCAL VENTA DE ACTIVO FIJO</t>
  </si>
  <si>
    <t>DEPRECIACION</t>
  </si>
  <si>
    <t>CONTABLE</t>
  </si>
  <si>
    <t>PRECIO</t>
  </si>
  <si>
    <t>UTILIDAD O</t>
  </si>
  <si>
    <t xml:space="preserve">FECHA </t>
  </si>
  <si>
    <t>FECHA DE</t>
  </si>
  <si>
    <t>MESES A</t>
  </si>
  <si>
    <t>VALOR</t>
  </si>
  <si>
    <t>INPC</t>
  </si>
  <si>
    <t>FACTOR</t>
  </si>
  <si>
    <t>UTILIDAD</t>
  </si>
  <si>
    <t>MONTO ORIGINAL</t>
  </si>
  <si>
    <t>ACUMULADA</t>
  </si>
  <si>
    <t>COSTO</t>
  </si>
  <si>
    <t>DE VENTA</t>
  </si>
  <si>
    <t>PERDIDA</t>
  </si>
  <si>
    <t>ADQUISICION</t>
  </si>
  <si>
    <t>DEPRECIAR</t>
  </si>
  <si>
    <t>DEPRECIADOS</t>
  </si>
  <si>
    <t>POR</t>
  </si>
  <si>
    <t>REMANENTE</t>
  </si>
  <si>
    <t>FECHA</t>
  </si>
  <si>
    <t>ACTUALIZACION</t>
  </si>
  <si>
    <t>DE ACTUALIZACION</t>
  </si>
  <si>
    <t>O PERDIDA</t>
  </si>
  <si>
    <t>DE LA INVERSION</t>
  </si>
  <si>
    <t>ACTUALIZADO</t>
  </si>
  <si>
    <t>FISCAL</t>
  </si>
  <si>
    <t>-</t>
  </si>
  <si>
    <t>OTP-2012-013 EQUIPO DE COMPUTO</t>
  </si>
  <si>
    <t>OTP-2011-011 EQUIPO DE TRANSPORTE</t>
  </si>
  <si>
    <t>OTP-2011-008 EQUIPO DE TRANSPORTE</t>
  </si>
  <si>
    <t>OTP-2011-005 EQUIPO DE TRANSPORTE</t>
  </si>
  <si>
    <t>OTP-2011-038 EQUIPO DE TRANPORTE</t>
  </si>
  <si>
    <t>OTP-2005-012 EQUIPO DE COMPUTO</t>
  </si>
  <si>
    <t>OTP-2012-013-B EQUIPO DE COMPUTO</t>
  </si>
  <si>
    <t>OTP-2008-015 EQUIPO DE TRANSPORTE</t>
  </si>
  <si>
    <t>PERDIDA FISCAL</t>
  </si>
  <si>
    <t>Utilidad Contable</t>
  </si>
  <si>
    <t>Perdida Contable</t>
  </si>
  <si>
    <t>Actualizacion</t>
  </si>
  <si>
    <t>CUENTA CONTABLE</t>
  </si>
  <si>
    <t>DESCRIPCION CUENTA</t>
  </si>
  <si>
    <t>IMPORTE</t>
  </si>
  <si>
    <t>INGRESOS</t>
  </si>
  <si>
    <t>DEDUCCIONES</t>
  </si>
  <si>
    <t>DESCRIPCION</t>
  </si>
  <si>
    <t>TOTAL DEDUCCIONES</t>
  </si>
  <si>
    <t xml:space="preserve">UTILIDAD FISCAL </t>
  </si>
  <si>
    <t>FUNDAMENTO</t>
  </si>
  <si>
    <t>Fraccion XI Articulo 27 LISR no se otorga en forma general</t>
  </si>
  <si>
    <t>Integracion Hoja de Trabajo</t>
  </si>
  <si>
    <t>Fraccion V Articulo 27 LISR</t>
  </si>
  <si>
    <t>Serie</t>
  </si>
  <si>
    <t>Nº documento</t>
  </si>
  <si>
    <t>Nº trans.</t>
  </si>
  <si>
    <t>Cuenta de contrapartida</t>
  </si>
  <si>
    <t>Nombre de la cuenta de contrapartida</t>
  </si>
  <si>
    <t>GDL</t>
  </si>
  <si>
    <t>AS 1117707</t>
  </si>
  <si>
    <t>IP009</t>
  </si>
  <si>
    <t>AS 1128438</t>
  </si>
  <si>
    <t>PP 1033430</t>
  </si>
  <si>
    <t>AS 1147530</t>
  </si>
  <si>
    <t>REGALIAS AL EXTRANJERO</t>
  </si>
  <si>
    <t>RETENCION ISR</t>
  </si>
  <si>
    <t>Retencion de ISR por Regalias</t>
  </si>
  <si>
    <t>Regalias Pagadas</t>
  </si>
  <si>
    <t>Tasa Retencion Articulo 12 Convenio para Evitar la Doble Tributacion entre México y E.U.A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</si>
  <si>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</si>
  <si>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</si>
  <si>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</si>
  <si>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</si>
  <si>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</si>
  <si>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</si>
  <si>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</si>
  <si>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</si>
  <si>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</si>
  <si>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</si>
  <si>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</si>
  <si>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</si>
  <si>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ULTMO INPC EJERCICIO INMEDIATO ANTERIOR</t>
  </si>
  <si>
    <t>ULTIMO INPC DEL EJERCICIO</t>
  </si>
  <si>
    <t>Cuentas Moneda Extranjera Ajuste Anual por Inflacion</t>
  </si>
  <si>
    <t>T.C Cierre de Mes</t>
  </si>
  <si>
    <t>Dolares</t>
  </si>
  <si>
    <t xml:space="preserve"> Pesos Balanza</t>
  </si>
  <si>
    <t>Dato que se obtiene de Pestaña Ajuste Anual Cta Dolares</t>
  </si>
  <si>
    <t>Solo se indica el importe a pagar de manera bimestral primer parrafo articulo 46 LISR</t>
  </si>
  <si>
    <t>Tipo de cambio para solventar obligaciones denominadas en dólares de los EE.UU.A.,
pagaderas en la República Mexicana</t>
  </si>
  <si>
    <t>Información diaria</t>
  </si>
  <si>
    <t>Determinación</t>
  </si>
  <si>
    <t>Publicación
DOF</t>
  </si>
  <si>
    <t>Para solventar
obligaciones</t>
  </si>
  <si>
    <t>N/E</t>
  </si>
  <si>
    <t>T.C Inicio del Mes</t>
  </si>
  <si>
    <t>Pesos Ajuste Anual por Inflacion</t>
  </si>
  <si>
    <t>SALDO FINAL ANTICIPO DE CLIENTES DEL EJERCICIO</t>
  </si>
  <si>
    <t>SALDO INICIAL ANTICIPO DE CLIENTES DEL EJERCICIO</t>
  </si>
  <si>
    <t>GASTOS ANTICIPADOS</t>
  </si>
  <si>
    <t>CTS POR PAGAR A P. FISICAS, AC, Y S.C.NO PAGADAS AL CIERRE 2020</t>
  </si>
  <si>
    <t>CTS POR PAGAR A P. FISICAS, AC, Y S.C.NO PAGADAS AL CIERRE 2019</t>
  </si>
  <si>
    <t>DIFERENCIA UTILIDAD FISCAL CONCILIACION FISCAL CONTABLE</t>
  </si>
  <si>
    <t>DIFERENCIA POR AJUSTE DE IMPUESTO DEL EJERCICIO</t>
  </si>
  <si>
    <t>PF, SC Y AC NO PAGADAS AL CIERRE</t>
  </si>
  <si>
    <t>DIFERENCIA REGALIAS PAGADAS CONTRA PROVISIONADAS</t>
  </si>
  <si>
    <t>INGRESOS NOMINALES:</t>
  </si>
  <si>
    <t xml:space="preserve">INGRESOS ACUMULABLES </t>
  </si>
  <si>
    <t>MENOS :</t>
  </si>
  <si>
    <t>AJUSTE ANUAL POR INFLACIÓN ACUMULABLE</t>
  </si>
  <si>
    <t>Determinacion Coeficiente de Utilidad</t>
  </si>
  <si>
    <t>IMPORTE POR PROVISIONAR</t>
  </si>
  <si>
    <t>ARRENDAMIENTO MUEBLES</t>
  </si>
  <si>
    <t>Importe que se debe de conciliar contra el saldo de proveedores</t>
  </si>
  <si>
    <t>Importe que se debe de integrar contra reporte de recibos de nomina</t>
  </si>
  <si>
    <t>Importe origen de cedula de depreciacion fiscal, se anexa cedula de ejemplo de determinacion de depreciacion fiscal</t>
  </si>
  <si>
    <t>El ejemlpo, S.A. de C.V.</t>
  </si>
  <si>
    <t>Integración de saldos a favor de IVA</t>
  </si>
  <si>
    <t>PERIODO</t>
  </si>
  <si>
    <t>IVA</t>
  </si>
  <si>
    <t>PRESENTACIÓN</t>
  </si>
  <si>
    <t>A FAVOR</t>
  </si>
  <si>
    <t>ACUMULADO</t>
  </si>
  <si>
    <t>Folio</t>
  </si>
  <si>
    <t>060061</t>
  </si>
  <si>
    <t>148526</t>
  </si>
  <si>
    <t>IVA a cargo abril</t>
  </si>
  <si>
    <t>IVA a cargo mayo</t>
  </si>
  <si>
    <t>072246</t>
  </si>
  <si>
    <t>IVA a cargo junio</t>
  </si>
  <si>
    <t>059220</t>
  </si>
  <si>
    <t>059083</t>
  </si>
  <si>
    <t>052679</t>
  </si>
  <si>
    <t>114733</t>
  </si>
  <si>
    <t>IVA a cargo septiembre</t>
  </si>
  <si>
    <t>122049</t>
  </si>
  <si>
    <t>IVA a cargo octubre</t>
  </si>
  <si>
    <t>075312</t>
  </si>
  <si>
    <t>104409</t>
  </si>
  <si>
    <t>131402</t>
  </si>
  <si>
    <t>IVA a cargo Diciembre</t>
  </si>
  <si>
    <t>EFECTIVO EN CAJA Y DEPÓSITOS EN INSTITUCIONES DE CRÉDITO NACIONALES</t>
  </si>
  <si>
    <t>INVERSIONES EN VALORES CON INSTITUCIONES NACIONALES (EXCEPTO ACCIONES)</t>
  </si>
  <si>
    <t>CUENTAS Y DOCUMENTOS POR COBRAR NACIONALES (PARTES RELACIONADAS)</t>
  </si>
  <si>
    <t>CUENTAS Y DOCUMENTOS POR COBRAR NACIONALES (PARTES NO RELACIONADAS)</t>
  </si>
  <si>
    <t>CUENTAS Y DOCUMENTOS POR COBRAR DEL EXTRANJERO (PARTES RELACIONADAS)</t>
  </si>
  <si>
    <t>CUENTAS Y DOCUMENTOS POR COBRAR DEL EXTRANJERO (PARTES NO RELACIONADAS)</t>
  </si>
  <si>
    <t>CONTRIBUCIONES A FAVOR</t>
  </si>
  <si>
    <t>INVENTARIOS</t>
  </si>
  <si>
    <t>OTROS ACTIVOS CIRCULANTES</t>
  </si>
  <si>
    <t>CONSTRUCCIONES</t>
  </si>
  <si>
    <t>MAQUINARIA Y EQUIPO</t>
  </si>
  <si>
    <t>MOBILIARIO Y EQUIPO DE OFICINA</t>
  </si>
  <si>
    <t>EQUIPO DE TRANSPORTE</t>
  </si>
  <si>
    <t>DEPRECIACION ACUMULADA</t>
  </si>
  <si>
    <t>CUENTAS Y DOCUMENTOS POR PAGAR NACIONALES (PARTES RELACIONADAS)</t>
  </si>
  <si>
    <t>CUENTAS Y DOCUMENTOS POR PAGAR NACIONALES (PARTES NO RELACIONADAS)</t>
  </si>
  <si>
    <t>CUENTAS Y DOCUMENTOS POR PAGAR DEL EXTRANJERO (PARTES NO RELACIONADAS)</t>
  </si>
  <si>
    <t>CONTRIBUCIONES POR PAGAR</t>
  </si>
  <si>
    <t>ANTICIPOS DE CLIENTES PARTES RELACIONADAS</t>
  </si>
  <si>
    <t>OTROS PASIVOS</t>
  </si>
  <si>
    <t>CAPITAL SOCIAL PROVENIENTE DE APORTACIONES</t>
  </si>
  <si>
    <t>RESERVAS</t>
  </si>
  <si>
    <t>UTILIDADES ACUMULADAS</t>
  </si>
  <si>
    <t>VENTAS Y/O SERVICIOS NACIONALES</t>
  </si>
  <si>
    <t>VENTAS Y/O SERVICIOS EXTRANJEROS</t>
  </si>
  <si>
    <t>DEVOLUCIONES, DESCUENTOS Y BONIFICACIONES SOBRE VENTAS NACIONALES</t>
  </si>
  <si>
    <t>COSTO DE LAS MERCANCIAS</t>
  </si>
  <si>
    <t>GASTOS DE OPERACIÓN</t>
  </si>
  <si>
    <t>INTERESES DEVENGADOS A FAVOR NACIONALES</t>
  </si>
  <si>
    <t>INTERESES DEVENGADOS A CARGO NACIONALES</t>
  </si>
  <si>
    <t>OTROS GASTOS NACIONALES</t>
  </si>
  <si>
    <t>ISR</t>
  </si>
  <si>
    <t>PTU</t>
  </si>
  <si>
    <t>UTILIDAD O PERDIDA NETA</t>
  </si>
  <si>
    <t>GANANCIA EN LA ENAJENACION DE TERRENOS Y ACTIVO FIJO</t>
  </si>
  <si>
    <t>COSTO DE VENTA CONTABLE</t>
  </si>
  <si>
    <t>GASTOS QUE NO REUNEN REQUISITOS FISCALES</t>
  </si>
  <si>
    <t>ISR Y PTU</t>
  </si>
  <si>
    <t>OTRAS DEDUCCIONES CONTABLES NO FISCALES</t>
  </si>
  <si>
    <t>AJUSTE ANUAL POR INFLACION DEDUCIBLE</t>
  </si>
  <si>
    <t>COSTO DE LO VENDIDO FISCAL</t>
  </si>
  <si>
    <t>DEDUCCION DE INVERSIONES</t>
  </si>
  <si>
    <t>PERDIDA FISCAL EN ENAJENACION DE TERREROS Y ACTIVO FIJO</t>
  </si>
  <si>
    <t>OTRAS DEDUCCIONES FISCALES NO CONTABLES</t>
  </si>
  <si>
    <t>ANTICIPOS DE CLIENTES DE EJERCICIOS ANTERIORES</t>
  </si>
  <si>
    <t>UTILIDAD CONTABLE EN ENAJENACION DE ACTIVO FIJO</t>
  </si>
  <si>
    <t>Clasificacion Declaracion Anual SAT</t>
  </si>
  <si>
    <t>CTS POR PAGAR A P. FISICAS, AC, Y S.C. EJ. ANTERIOR</t>
  </si>
  <si>
    <t>TASA 30%</t>
  </si>
  <si>
    <t>ISR DEL EJERCICIO</t>
  </si>
  <si>
    <t>EFECTO NETO EN RESULTADOS DE LA TASA EFECTIVA</t>
  </si>
  <si>
    <t>UTILIDAD ANTES DE ISR</t>
  </si>
  <si>
    <t>TASA EFECTIVA</t>
  </si>
  <si>
    <t>I. Balanza</t>
  </si>
  <si>
    <t>II. Balance General</t>
  </si>
  <si>
    <t>III. Estado de Resultados</t>
  </si>
  <si>
    <t>IV. Estado de Cambios en el Capital Contable</t>
  </si>
  <si>
    <t>V.Estado de Flujo de Efectivo</t>
  </si>
  <si>
    <t>VI. Conciliaciones de Balance Activo</t>
  </si>
  <si>
    <t>VII. Conciliaciones de Balance Pasivo</t>
  </si>
  <si>
    <t>VIII. Ajuste anual por inflacion</t>
  </si>
  <si>
    <t>IX. Cuentas en moneda extranjera Ajuste Anual</t>
  </si>
  <si>
    <t>X. Utilidad o Perdida Fiscal Venta de Activo Fijo</t>
  </si>
  <si>
    <t>XI. Regalias Pagadas Durante el Ejercicio</t>
  </si>
  <si>
    <t>XII. Provisiones</t>
  </si>
  <si>
    <t>XIII. Resultado Fiscal</t>
  </si>
  <si>
    <t>XIV. Coeficiente de Utilidad</t>
  </si>
  <si>
    <t>XV. Tasa Efectiva Impuesto Diferido</t>
  </si>
  <si>
    <t>Amarre de Ingresos contra XML</t>
  </si>
  <si>
    <t>Amarre de Salarios contra XML y Retenciones por Salarios</t>
  </si>
  <si>
    <t>Amarre de XML Recibidos contra abonos a proveedores</t>
  </si>
  <si>
    <t>Revision analitica de la balanza para identificar cuentas con efectos fiscales</t>
  </si>
  <si>
    <t>Pre Conciliacion Fiscal Contable al Cierre de Cada Mes y todos sus calculos</t>
  </si>
  <si>
    <t>Llenado y envio de declaraciones mensuales</t>
  </si>
  <si>
    <t>Envío de contabilidad electrónica del mes anterior</t>
  </si>
  <si>
    <t>Envio de Declaracion Informativa de operaciones con terceros (DIOT)</t>
  </si>
  <si>
    <t>DATO BALANZA</t>
  </si>
  <si>
    <t>DATO HOJA DE TRABAJO PROVISIONES</t>
  </si>
  <si>
    <t>NO DEDUCIBLES NO SE OTORGA DE MANERA GENERAL LA PRESTACION</t>
  </si>
  <si>
    <t>SE DEDUCEN EN BASE A FLUJO</t>
  </si>
  <si>
    <t>INGRESOS EXENTOS SUELDOS 47%</t>
  </si>
  <si>
    <t>COMENTARIO</t>
  </si>
  <si>
    <t>HOJA DE TRABAJO AJUSTE ANUAL POR INFLACION</t>
  </si>
  <si>
    <t>HOJA DE TRABAJO VENTA DE ACTIVO FIJO</t>
  </si>
  <si>
    <t>SE DEDUCE EL 47% O EL 53% DE LOS INGRESOS EXENTOS DE SALARIOS</t>
  </si>
  <si>
    <t>INDICE!A1</t>
  </si>
  <si>
    <t>UTILIDAD DEL EJERCICIO 2019</t>
  </si>
  <si>
    <t>UTILIDAD DEL EJERCICIO 2020</t>
  </si>
  <si>
    <t>UTILIDAD DEL EJERCICIO 2018</t>
  </si>
  <si>
    <t>ISR: Se integra determinación en la pestaña XIII ISR Diferido: Se integra determinación XV</t>
  </si>
  <si>
    <t>Fraccion XXX Articulo 28 LISR y Articulo 9 LISR ultimo parrafo</t>
  </si>
  <si>
    <t>PREVISION SOCIAL NO DEDUCIBLE</t>
  </si>
  <si>
    <t>Revision de la cuenta de gastos no deducibles</t>
  </si>
  <si>
    <t>Verificacion de proveedores en listas negras del SAT (69 B CFF)</t>
  </si>
  <si>
    <t>Revision selectiva del calculo de contribuciones por a salarios</t>
  </si>
  <si>
    <t>XVI. Ej Polizas Cont Impuestos</t>
  </si>
  <si>
    <t>XVII. Razones Financieras</t>
  </si>
  <si>
    <t>XVIII. Calendario</t>
  </si>
  <si>
    <t>XIX. Lista de Revision</t>
  </si>
  <si>
    <t>XX. INPC</t>
  </si>
  <si>
    <t>XXI. T. Cambio</t>
  </si>
  <si>
    <t>XXII. Int Saldos a Favor</t>
  </si>
  <si>
    <t>Balanza de Comprobación Mensual Acumulada 2024</t>
  </si>
  <si>
    <t>Estado de Situación Financiera al 31 de Diciembre 2024</t>
  </si>
  <si>
    <t>Estado de Resultado Integral al 31 de Diciembre 2024</t>
  </si>
  <si>
    <t>Estado de Cambios en el Capital Contable al 31 de Diciembre 2024</t>
  </si>
  <si>
    <t>Saldo al 31 de Diciembre 2024</t>
  </si>
  <si>
    <t>Diciembre 2024</t>
  </si>
  <si>
    <t>A Diciembre 2024</t>
  </si>
  <si>
    <t>AÑO 2024</t>
  </si>
  <si>
    <t>AL 31 DE DICIEMBRE 2024</t>
  </si>
  <si>
    <t>Integracion Regalias Pagadas 2024</t>
  </si>
  <si>
    <t>PAGO REGALIAS 4to. TRIM. 2023</t>
  </si>
  <si>
    <t>PAGO REGALIAS 1er. TRIM. 2024</t>
  </si>
  <si>
    <t>PAGO REGALIAS 2do. TRIM. 2024</t>
  </si>
  <si>
    <t>PAGO REGALIAS 3er. TRIM. 2024</t>
  </si>
  <si>
    <t>EJERCICIO 2024</t>
  </si>
  <si>
    <t>UTILIDAD FISCAL  2024:</t>
  </si>
  <si>
    <t>COEFICIENTE DE UTILIDAD 2024</t>
  </si>
  <si>
    <t>Calendario de Cierre 2024</t>
  </si>
  <si>
    <t>Enero 2024</t>
  </si>
  <si>
    <t>Febrero 2024</t>
  </si>
  <si>
    <t>Abril 2024</t>
  </si>
  <si>
    <t>Junio 2024</t>
  </si>
  <si>
    <t>Agosto 2024</t>
  </si>
  <si>
    <t>Octubre 2024</t>
  </si>
  <si>
    <t>Marzo 2024</t>
  </si>
  <si>
    <t>Mayo 2024</t>
  </si>
  <si>
    <t>Julio 2024</t>
  </si>
  <si>
    <t>Septiembre 2024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</si>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</sst>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0.0%"/>
    <numFmt numFmtId="170" formatCode="#,##0.00000"/>
    <numFmt numFmtId="171" formatCode="#,##0.0"/>
    <numFmt numFmtId="172" formatCode="mmmm\ yyyy"/>
    <numFmt numFmtId="173" formatCode="ddd"/>
    <numFmt numFmtId="174" formatCode="d"/>
    <numFmt numFmtId="175" formatCode="#,##0.00_ ;[Red]\-#,##0.00\ "/>
    <numFmt numFmtId="176" formatCode="#,##0.00_ ;\-#,##0.00\ "/>
    <numFmt numFmtId="177" formatCode="_-* #,##0.0000_-;\-* #,##0.0000_-;_-* &quot;-&quot;??_-;_-@_-"/>
    <numFmt numFmtId="178" formatCode="#,##0.000_);[Red]\(#,##0.000\)"/>
    <numFmt numFmtId="179" formatCode="0.0000"/>
    <numFmt numFmtId="180" formatCode="0.000"/>
    <numFmt numFmtId="181" formatCode="#,##0.0000"/>
    <numFmt numFmtId="182" formatCode="General_)"/>
    <numFmt numFmtId="183" formatCode="#,##0_ ;[Red]\-#,##0\ "/>
    <numFmt numFmtId="184" formatCode="#,##0.000_ ;\-#,##0.000\ "/>
  </numFmts>
  <fonts count="10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Helv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9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i/>
      <sz val="9"/>
      <color theme="1"/>
      <name val="Arial"/>
      <family val="2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9"/>
      <color rgb="FF0070C0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rgb="FF244062"/>
      <name val="Calibri"/>
      <family val="2"/>
      <scheme val="minor"/>
    </font>
    <font>
      <sz val="11"/>
      <color rgb="FF244062"/>
      <name val="Calibri"/>
      <family val="2"/>
      <scheme val="minor"/>
    </font>
    <font>
      <b/>
      <sz val="12"/>
      <color rgb="FF263E74"/>
      <name val="Arial"/>
      <family val="2"/>
    </font>
    <font>
      <b/>
      <sz val="14"/>
      <color rgb="FF263E74"/>
      <name val="Arial"/>
      <family val="2"/>
    </font>
    <font>
      <b/>
      <sz val="10"/>
      <color rgb="FFFFFFCC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 Narrow"/>
      <family val="2"/>
    </font>
    <font>
      <sz val="10"/>
      <color rgb="FF6D84A3"/>
      <name val="Calibri"/>
      <family val="2"/>
      <scheme val="minor"/>
    </font>
    <font>
      <sz val="10"/>
      <color rgb="FF226EB4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i/>
      <sz val="10"/>
      <name val="Calibri"/>
      <family val="2"/>
    </font>
    <font>
      <sz val="9"/>
      <color rgb="FF042344"/>
      <name val="Montserrat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rgb="FFFF0000"/>
      <name val="Arial"/>
      <family val="2"/>
    </font>
    <font>
      <u/>
      <sz val="12"/>
      <name val="Arial"/>
      <family val="2"/>
    </font>
    <font>
      <sz val="12"/>
      <color theme="0"/>
      <name val="Arial"/>
      <family val="2"/>
    </font>
    <font>
      <b/>
      <sz val="10"/>
      <color rgb="FF92D05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7.5"/>
      <name val="Verdana"/>
      <family val="2"/>
    </font>
    <font>
      <sz val="10"/>
      <name val="Verdana"/>
      <family val="2"/>
    </font>
    <font>
      <b/>
      <sz val="9"/>
      <color indexed="53"/>
      <name val="Arial"/>
      <family val="2"/>
    </font>
    <font>
      <b/>
      <sz val="9"/>
      <color indexed="9"/>
      <name val="Arial"/>
      <family val="2"/>
    </font>
    <font>
      <b/>
      <sz val="10"/>
      <color indexed="2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sz val="10"/>
      <name val="Courier"/>
      <family val="3"/>
    </font>
    <font>
      <b/>
      <sz val="11"/>
      <name val="Tahoma"/>
      <family val="2"/>
    </font>
    <font>
      <b/>
      <sz val="11"/>
      <color indexed="10"/>
      <name val="Tahoma"/>
      <family val="2"/>
    </font>
    <font>
      <sz val="11"/>
      <name val="Tahoma"/>
      <family val="2"/>
    </font>
    <font>
      <sz val="10"/>
      <color theme="0" tint="-0.499984740745262"/>
      <name val="Tahoma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9"/>
      <name val="Arial"/>
      <family val="2"/>
    </font>
    <font>
      <u/>
      <sz val="12"/>
      <color theme="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EE3EA"/>
        <bgColor indexed="64"/>
      </patternFill>
    </fill>
    <fill>
      <patternFill patternType="solid">
        <fgColor rgb="FF415D8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2" tint="-0.499984740745262"/>
      </left>
      <right style="thin">
        <color theme="1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1"/>
      </right>
      <top/>
      <bottom/>
      <diagonal/>
    </border>
    <border>
      <left style="thin">
        <color rgb="FF718DB7"/>
      </left>
      <right/>
      <top style="thin">
        <color rgb="FF718DB7"/>
      </top>
      <bottom/>
      <diagonal/>
    </border>
    <border>
      <left/>
      <right/>
      <top style="thin">
        <color rgb="FF718DB7"/>
      </top>
      <bottom/>
      <diagonal/>
    </border>
    <border>
      <left/>
      <right style="thin">
        <color rgb="FF718DB7"/>
      </right>
      <top style="thin">
        <color rgb="FF718DB7"/>
      </top>
      <bottom/>
      <diagonal/>
    </border>
    <border>
      <left style="thin">
        <color rgb="FF718DB7"/>
      </left>
      <right style="thin">
        <color rgb="FFDDEBF7"/>
      </right>
      <top style="thin">
        <color indexed="54"/>
      </top>
      <bottom/>
      <diagonal/>
    </border>
    <border>
      <left style="thin">
        <color rgb="FFDDEBF7"/>
      </left>
      <right style="thin">
        <color rgb="FFDDEBF7"/>
      </right>
      <top style="thin">
        <color indexed="54"/>
      </top>
      <bottom/>
      <diagonal/>
    </border>
    <border>
      <left style="thin">
        <color rgb="FFDDEBF7"/>
      </left>
      <right style="thin">
        <color rgb="FF718DB7"/>
      </right>
      <top style="thin">
        <color indexed="5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theme="2"/>
      </left>
      <right style="dotted">
        <color theme="2"/>
      </right>
      <top style="thin">
        <color indexed="64"/>
      </top>
      <bottom style="dotted">
        <color theme="2"/>
      </bottom>
      <diagonal/>
    </border>
    <border>
      <left style="dotted">
        <color theme="2"/>
      </left>
      <right style="thin">
        <color indexed="64"/>
      </right>
      <top style="thin">
        <color indexed="64"/>
      </top>
      <bottom style="dotted">
        <color theme="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theme="2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dotted">
        <color theme="2"/>
      </left>
      <right style="thin">
        <color indexed="64"/>
      </right>
      <top style="dotted">
        <color theme="2"/>
      </top>
      <bottom style="dotted">
        <color theme="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 style="thin">
        <color indexed="64"/>
      </bottom>
      <diagonal/>
    </border>
    <border>
      <left style="dotted">
        <color theme="2"/>
      </left>
      <right style="thin">
        <color indexed="64"/>
      </right>
      <top style="dotted">
        <color theme="2"/>
      </top>
      <bottom style="thin">
        <color indexed="64"/>
      </bottom>
      <diagonal/>
    </border>
    <border>
      <left style="dotted">
        <color theme="2"/>
      </left>
      <right/>
      <top style="thin">
        <color indexed="64"/>
      </top>
      <bottom style="dotted">
        <color theme="2"/>
      </bottom>
      <diagonal/>
    </border>
    <border>
      <left/>
      <right/>
      <top style="thin">
        <color indexed="64"/>
      </top>
      <bottom style="dotted">
        <color theme="2"/>
      </bottom>
      <diagonal/>
    </border>
    <border>
      <left/>
      <right style="dotted">
        <color theme="2"/>
      </right>
      <top style="thin">
        <color indexed="64"/>
      </top>
      <bottom style="dotted">
        <color theme="2"/>
      </bottom>
      <diagonal/>
    </border>
    <border>
      <left style="dotted">
        <color theme="2"/>
      </left>
      <right/>
      <top style="dotted">
        <color theme="2"/>
      </top>
      <bottom style="dotted">
        <color theme="2"/>
      </bottom>
      <diagonal/>
    </border>
    <border>
      <left/>
      <right/>
      <top style="dotted">
        <color theme="2"/>
      </top>
      <bottom style="dotted">
        <color theme="2"/>
      </bottom>
      <diagonal/>
    </border>
    <border>
      <left/>
      <right style="dotted">
        <color theme="2"/>
      </right>
      <top style="dotted">
        <color theme="2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/>
      <bottom style="thin">
        <color indexed="64"/>
      </bottom>
      <diagonal/>
    </border>
    <border>
      <left style="dotted">
        <color theme="2"/>
      </left>
      <right style="dotted">
        <color theme="2"/>
      </right>
      <top/>
      <bottom style="dotted">
        <color theme="2"/>
      </bottom>
      <diagonal/>
    </border>
    <border>
      <left style="dotted">
        <color theme="2"/>
      </left>
      <right style="thin">
        <color indexed="64"/>
      </right>
      <top/>
      <bottom style="dotted">
        <color theme="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2" borderId="0" applyNumberFormat="0" applyBorder="0" applyAlignment="0" applyProtection="0"/>
    <xf numFmtId="0" fontId="13" fillId="0" borderId="0"/>
    <xf numFmtId="0" fontId="11" fillId="0" borderId="0"/>
    <xf numFmtId="0" fontId="9" fillId="0" borderId="0"/>
    <xf numFmtId="0" fontId="20" fillId="0" borderId="0" applyNumberForma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9" fontId="62" fillId="12" borderId="0" applyBorder="0" applyProtection="0">
      <alignment horizontal="left" vertical="top" wrapText="1"/>
    </xf>
    <xf numFmtId="0" fontId="12" fillId="0" borderId="0"/>
    <xf numFmtId="44" fontId="12" fillId="0" borderId="0" applyFont="0" applyFill="0" applyBorder="0" applyAlignment="0" applyProtection="0"/>
    <xf numFmtId="44" fontId="80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182" fontId="96" fillId="0" borderId="0"/>
    <xf numFmtId="37" fontId="96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/>
    <xf numFmtId="0" fontId="3" fillId="0" borderId="0"/>
    <xf numFmtId="44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2">
    <xf numFmtId="0" fontId="0" fillId="0" borderId="0" xfId="0"/>
    <xf numFmtId="0" fontId="14" fillId="5" borderId="0" xfId="4" applyFont="1" applyFill="1"/>
    <xf numFmtId="0" fontId="15" fillId="5" borderId="0" xfId="4" applyFont="1" applyFill="1"/>
    <xf numFmtId="0" fontId="17" fillId="5" borderId="0" xfId="4" applyFont="1" applyFill="1" applyAlignment="1">
      <alignment horizontal="left" indent="34"/>
    </xf>
    <xf numFmtId="0" fontId="19" fillId="5" borderId="0" xfId="4" applyFont="1" applyFill="1"/>
    <xf numFmtId="0" fontId="15" fillId="0" borderId="0" xfId="4" applyFont="1"/>
    <xf numFmtId="0" fontId="14" fillId="0" borderId="10" xfId="4" applyFont="1" applyBorder="1"/>
    <xf numFmtId="4" fontId="15" fillId="6" borderId="12" xfId="4" applyNumberFormat="1" applyFont="1" applyFill="1" applyBorder="1"/>
    <xf numFmtId="0" fontId="15" fillId="0" borderId="7" xfId="4" applyFont="1" applyBorder="1"/>
    <xf numFmtId="0" fontId="15" fillId="0" borderId="8" xfId="4" applyFont="1" applyBorder="1"/>
    <xf numFmtId="0" fontId="15" fillId="0" borderId="9" xfId="4" applyFont="1" applyBorder="1"/>
    <xf numFmtId="0" fontId="14" fillId="0" borderId="13" xfId="4" applyFont="1" applyBorder="1" applyAlignment="1">
      <alignment horizontal="left"/>
    </xf>
    <xf numFmtId="0" fontId="14" fillId="0" borderId="12" xfId="4" applyFont="1" applyBorder="1" applyAlignment="1">
      <alignment horizontal="left"/>
    </xf>
    <xf numFmtId="4" fontId="14" fillId="0" borderId="12" xfId="4" applyNumberFormat="1" applyFont="1" applyBorder="1"/>
    <xf numFmtId="4" fontId="15" fillId="8" borderId="12" xfId="4" applyNumberFormat="1" applyFont="1" applyFill="1" applyBorder="1"/>
    <xf numFmtId="0" fontId="15" fillId="0" borderId="12" xfId="4" applyFont="1" applyBorder="1"/>
    <xf numFmtId="0" fontId="15" fillId="0" borderId="10" xfId="4" applyFont="1" applyBorder="1"/>
    <xf numFmtId="0" fontId="14" fillId="0" borderId="6" xfId="4" applyFont="1" applyBorder="1" applyAlignment="1">
      <alignment horizontal="left"/>
    </xf>
    <xf numFmtId="0" fontId="15" fillId="0" borderId="14" xfId="4" applyFont="1" applyBorder="1"/>
    <xf numFmtId="0" fontId="15" fillId="0" borderId="15" xfId="4" applyFont="1" applyBorder="1"/>
    <xf numFmtId="0" fontId="15" fillId="6" borderId="12" xfId="4" applyFont="1" applyFill="1" applyBorder="1"/>
    <xf numFmtId="4" fontId="10" fillId="2" borderId="12" xfId="3" applyNumberFormat="1" applyBorder="1" applyAlignment="1">
      <alignment horizontal="center" vertical="center"/>
    </xf>
    <xf numFmtId="0" fontId="15" fillId="0" borderId="0" xfId="4" quotePrefix="1" applyFont="1"/>
    <xf numFmtId="0" fontId="15" fillId="6" borderId="6" xfId="4" applyFont="1" applyFill="1" applyBorder="1" applyAlignment="1">
      <alignment horizontal="center"/>
    </xf>
    <xf numFmtId="0" fontId="23" fillId="5" borderId="0" xfId="4" applyFont="1" applyFill="1"/>
    <xf numFmtId="0" fontId="8" fillId="0" borderId="0" xfId="11"/>
    <xf numFmtId="0" fontId="25" fillId="0" borderId="0" xfId="11" applyFont="1"/>
    <xf numFmtId="0" fontId="25" fillId="0" borderId="23" xfId="11" applyFont="1" applyBorder="1"/>
    <xf numFmtId="0" fontId="8" fillId="0" borderId="26" xfId="11" applyBorder="1"/>
    <xf numFmtId="0" fontId="25" fillId="0" borderId="26" xfId="11" applyFont="1" applyBorder="1"/>
    <xf numFmtId="9" fontId="0" fillId="0" borderId="0" xfId="12" applyFont="1"/>
    <xf numFmtId="2" fontId="15" fillId="3" borderId="0" xfId="11" applyNumberFormat="1" applyFont="1" applyFill="1" applyAlignment="1">
      <alignment horizontal="center"/>
    </xf>
    <xf numFmtId="0" fontId="14" fillId="3" borderId="22" xfId="11" applyFont="1" applyFill="1" applyBorder="1"/>
    <xf numFmtId="49" fontId="14" fillId="3" borderId="22" xfId="11" applyNumberFormat="1" applyFont="1" applyFill="1" applyBorder="1"/>
    <xf numFmtId="0" fontId="15" fillId="3" borderId="0" xfId="11" applyFont="1" applyFill="1"/>
    <xf numFmtId="0" fontId="24" fillId="9" borderId="21" xfId="11" applyFont="1" applyFill="1" applyBorder="1" applyAlignment="1">
      <alignment horizontal="center"/>
    </xf>
    <xf numFmtId="0" fontId="25" fillId="0" borderId="0" xfId="11" applyFont="1" applyAlignment="1">
      <alignment horizontal="center"/>
    </xf>
    <xf numFmtId="1" fontId="27" fillId="9" borderId="21" xfId="11" applyNumberFormat="1" applyFont="1" applyFill="1" applyBorder="1" applyAlignment="1">
      <alignment horizontal="center"/>
    </xf>
    <xf numFmtId="1" fontId="11" fillId="0" borderId="0" xfId="11" applyNumberFormat="1" applyFont="1" applyAlignment="1">
      <alignment horizontal="center"/>
    </xf>
    <xf numFmtId="1" fontId="28" fillId="0" borderId="22" xfId="11" applyNumberFormat="1" applyFont="1" applyBorder="1"/>
    <xf numFmtId="1" fontId="29" fillId="0" borderId="0" xfId="11" applyNumberFormat="1" applyFont="1"/>
    <xf numFmtId="1" fontId="29" fillId="0" borderId="24" xfId="11" applyNumberFormat="1" applyFont="1" applyBorder="1"/>
    <xf numFmtId="164" fontId="29" fillId="0" borderId="0" xfId="11" applyNumberFormat="1" applyFont="1"/>
    <xf numFmtId="164" fontId="30" fillId="0" borderId="29" xfId="11" applyNumberFormat="1" applyFont="1" applyBorder="1"/>
    <xf numFmtId="165" fontId="29" fillId="0" borderId="0" xfId="11" applyNumberFormat="1" applyFont="1"/>
    <xf numFmtId="1" fontId="29" fillId="0" borderId="0" xfId="11" quotePrefix="1" applyNumberFormat="1" applyFont="1"/>
    <xf numFmtId="1" fontId="31" fillId="3" borderId="0" xfId="11" applyNumberFormat="1" applyFont="1" applyFill="1" applyAlignment="1">
      <alignment horizontal="center"/>
    </xf>
    <xf numFmtId="1" fontId="32" fillId="3" borderId="22" xfId="11" applyNumberFormat="1" applyFont="1" applyFill="1" applyBorder="1"/>
    <xf numFmtId="1" fontId="31" fillId="0" borderId="24" xfId="10" applyNumberFormat="1" applyFont="1" applyBorder="1"/>
    <xf numFmtId="9" fontId="31" fillId="0" borderId="0" xfId="2" applyFont="1" applyBorder="1"/>
    <xf numFmtId="1" fontId="31" fillId="0" borderId="0" xfId="10" applyNumberFormat="1" applyFont="1" applyBorder="1"/>
    <xf numFmtId="1" fontId="31" fillId="3" borderId="0" xfId="10" applyNumberFormat="1" applyFont="1" applyFill="1" applyAlignment="1">
      <alignment horizontal="center"/>
    </xf>
    <xf numFmtId="1" fontId="31" fillId="3" borderId="22" xfId="10" applyNumberFormat="1" applyFont="1" applyFill="1" applyBorder="1" applyAlignment="1">
      <alignment horizontal="center"/>
    </xf>
    <xf numFmtId="1" fontId="31" fillId="0" borderId="0" xfId="10" applyNumberFormat="1" applyFont="1"/>
    <xf numFmtId="1" fontId="33" fillId="9" borderId="21" xfId="10" applyNumberFormat="1" applyFont="1" applyFill="1" applyBorder="1" applyAlignment="1">
      <alignment horizontal="center"/>
    </xf>
    <xf numFmtId="0" fontId="8" fillId="0" borderId="17" xfId="11" applyBorder="1"/>
    <xf numFmtId="164" fontId="29" fillId="0" borderId="18" xfId="11" applyNumberFormat="1" applyFont="1" applyBorder="1"/>
    <xf numFmtId="1" fontId="31" fillId="0" borderId="18" xfId="10" applyNumberFormat="1" applyFont="1" applyBorder="1"/>
    <xf numFmtId="0" fontId="26" fillId="0" borderId="0" xfId="6" applyFont="1"/>
    <xf numFmtId="0" fontId="3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168" fontId="28" fillId="0" borderId="0" xfId="1" applyNumberFormat="1" applyFont="1" applyFill="1" applyAlignment="1">
      <alignment horizontal="left"/>
    </xf>
    <xf numFmtId="0" fontId="11" fillId="0" borderId="0" xfId="0" applyFont="1" applyAlignment="1">
      <alignment horizontal="left"/>
    </xf>
    <xf numFmtId="168" fontId="11" fillId="0" borderId="0" xfId="1" applyNumberFormat="1" applyFont="1" applyFill="1" applyAlignment="1">
      <alignment horizontal="left"/>
    </xf>
    <xf numFmtId="0" fontId="35" fillId="0" borderId="0" xfId="0" applyFont="1" applyAlignment="1">
      <alignment horizontal="left"/>
    </xf>
    <xf numFmtId="168" fontId="35" fillId="0" borderId="0" xfId="1" applyNumberFormat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7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168" fontId="30" fillId="0" borderId="0" xfId="1" applyNumberFormat="1" applyFont="1" applyFill="1" applyAlignment="1">
      <alignment horizontal="left"/>
    </xf>
    <xf numFmtId="0" fontId="36" fillId="0" borderId="0" xfId="0" applyFont="1" applyAlignment="1">
      <alignment horizontal="left"/>
    </xf>
    <xf numFmtId="168" fontId="34" fillId="0" borderId="0" xfId="1" applyNumberFormat="1" applyFont="1" applyFill="1" applyAlignment="1">
      <alignment horizontal="left"/>
    </xf>
    <xf numFmtId="43" fontId="11" fillId="0" borderId="0" xfId="0" applyNumberFormat="1" applyFont="1" applyAlignment="1">
      <alignment horizontal="left"/>
    </xf>
    <xf numFmtId="164" fontId="34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0" fontId="34" fillId="0" borderId="0" xfId="0" quotePrefix="1" applyFont="1" applyAlignment="1">
      <alignment horizontal="left"/>
    </xf>
    <xf numFmtId="168" fontId="35" fillId="0" borderId="1" xfId="1" applyNumberFormat="1" applyFont="1" applyFill="1" applyBorder="1" applyAlignment="1">
      <alignment horizontal="left"/>
    </xf>
    <xf numFmtId="9" fontId="28" fillId="0" borderId="0" xfId="2" applyFont="1" applyFill="1" applyAlignment="1">
      <alignment horizontal="center"/>
    </xf>
    <xf numFmtId="1" fontId="32" fillId="3" borderId="22" xfId="10" applyNumberFormat="1" applyFont="1" applyFill="1" applyBorder="1"/>
    <xf numFmtId="1" fontId="31" fillId="0" borderId="25" xfId="10" applyNumberFormat="1" applyFont="1" applyBorder="1"/>
    <xf numFmtId="9" fontId="31" fillId="0" borderId="27" xfId="2" applyFont="1" applyBorder="1"/>
    <xf numFmtId="1" fontId="37" fillId="0" borderId="27" xfId="11" applyNumberFormat="1" applyFont="1" applyBorder="1"/>
    <xf numFmtId="1" fontId="31" fillId="0" borderId="27" xfId="10" applyNumberFormat="1" applyFont="1" applyBorder="1"/>
    <xf numFmtId="1" fontId="31" fillId="0" borderId="19" xfId="10" applyNumberFormat="1" applyFont="1" applyBorder="1"/>
    <xf numFmtId="164" fontId="30" fillId="0" borderId="24" xfId="11" applyNumberFormat="1" applyFont="1" applyBorder="1"/>
    <xf numFmtId="9" fontId="32" fillId="0" borderId="24" xfId="2" applyFont="1" applyBorder="1"/>
    <xf numFmtId="9" fontId="31" fillId="0" borderId="25" xfId="2" applyFont="1" applyBorder="1"/>
    <xf numFmtId="0" fontId="8" fillId="0" borderId="23" xfId="11" applyBorder="1"/>
    <xf numFmtId="164" fontId="29" fillId="0" borderId="24" xfId="11" applyNumberFormat="1" applyFont="1" applyBorder="1"/>
    <xf numFmtId="9" fontId="32" fillId="0" borderId="29" xfId="2" applyFont="1" applyBorder="1"/>
    <xf numFmtId="0" fontId="25" fillId="0" borderId="28" xfId="11" applyFont="1" applyBorder="1"/>
    <xf numFmtId="9" fontId="31" fillId="0" borderId="30" xfId="2" applyFont="1" applyBorder="1"/>
    <xf numFmtId="0" fontId="25" fillId="0" borderId="31" xfId="11" applyFont="1" applyBorder="1"/>
    <xf numFmtId="164" fontId="30" fillId="0" borderId="20" xfId="11" applyNumberFormat="1" applyFont="1" applyBorder="1"/>
    <xf numFmtId="9" fontId="32" fillId="0" borderId="20" xfId="2" applyFont="1" applyBorder="1"/>
    <xf numFmtId="9" fontId="31" fillId="0" borderId="32" xfId="2" applyFont="1" applyBorder="1"/>
    <xf numFmtId="2" fontId="38" fillId="3" borderId="0" xfId="11" applyNumberFormat="1" applyFont="1" applyFill="1" applyAlignment="1">
      <alignment horizontal="center"/>
    </xf>
    <xf numFmtId="0" fontId="39" fillId="0" borderId="0" xfId="11" applyFont="1"/>
    <xf numFmtId="0" fontId="40" fillId="0" borderId="0" xfId="11" applyFont="1" applyAlignment="1">
      <alignment horizontal="center"/>
    </xf>
    <xf numFmtId="0" fontId="40" fillId="0" borderId="0" xfId="11" applyFont="1"/>
    <xf numFmtId="9" fontId="31" fillId="0" borderId="0" xfId="12" applyFont="1"/>
    <xf numFmtId="165" fontId="28" fillId="0" borderId="0" xfId="1" applyNumberFormat="1" applyFont="1" applyFill="1" applyAlignment="1">
      <alignment horizontal="left"/>
    </xf>
    <xf numFmtId="165" fontId="11" fillId="0" borderId="0" xfId="1" applyNumberFormat="1" applyFont="1" applyFill="1" applyAlignment="1">
      <alignment horizontal="left"/>
    </xf>
    <xf numFmtId="165" fontId="34" fillId="0" borderId="0" xfId="1" applyNumberFormat="1" applyFont="1" applyFill="1" applyAlignment="1">
      <alignment horizontal="left"/>
    </xf>
    <xf numFmtId="164" fontId="28" fillId="0" borderId="0" xfId="1" applyNumberFormat="1" applyFont="1" applyFill="1" applyAlignment="1">
      <alignment horizontal="left"/>
    </xf>
    <xf numFmtId="164" fontId="11" fillId="0" borderId="0" xfId="1" applyNumberFormat="1" applyFont="1" applyFill="1" applyAlignment="1">
      <alignment horizontal="left"/>
    </xf>
    <xf numFmtId="164" fontId="35" fillId="0" borderId="0" xfId="1" applyNumberFormat="1" applyFont="1" applyFill="1" applyAlignment="1">
      <alignment horizontal="left"/>
    </xf>
    <xf numFmtId="164" fontId="28" fillId="0" borderId="0" xfId="2" applyNumberFormat="1" applyFont="1" applyFill="1" applyAlignment="1">
      <alignment horizontal="center"/>
    </xf>
    <xf numFmtId="0" fontId="15" fillId="9" borderId="0" xfId="4" applyFont="1" applyFill="1"/>
    <xf numFmtId="0" fontId="15" fillId="9" borderId="0" xfId="4" quotePrefix="1" applyFont="1" applyFill="1"/>
    <xf numFmtId="0" fontId="41" fillId="9" borderId="0" xfId="4" applyFont="1" applyFill="1"/>
    <xf numFmtId="168" fontId="36" fillId="0" borderId="0" xfId="1" applyNumberFormat="1" applyFont="1" applyFill="1" applyAlignment="1">
      <alignment horizontal="left"/>
    </xf>
    <xf numFmtId="43" fontId="36" fillId="0" borderId="0" xfId="1" applyFont="1" applyFill="1" applyAlignment="1">
      <alignment horizontal="left"/>
    </xf>
    <xf numFmtId="164" fontId="36" fillId="0" borderId="0" xfId="1" applyNumberFormat="1" applyFont="1" applyFill="1" applyAlignment="1">
      <alignment horizontal="left"/>
    </xf>
    <xf numFmtId="0" fontId="28" fillId="0" borderId="0" xfId="0" applyFont="1" applyAlignment="1">
      <alignment horizontal="center"/>
    </xf>
    <xf numFmtId="164" fontId="28" fillId="0" borderId="0" xfId="1" applyNumberFormat="1" applyFont="1" applyFill="1" applyAlignment="1">
      <alignment horizontal="center"/>
    </xf>
    <xf numFmtId="168" fontId="11" fillId="4" borderId="0" xfId="1" applyNumberFormat="1" applyFont="1" applyFill="1" applyAlignment="1">
      <alignment horizontal="left"/>
    </xf>
    <xf numFmtId="9" fontId="44" fillId="0" borderId="0" xfId="2" applyFont="1" applyFill="1" applyAlignment="1">
      <alignment horizontal="left"/>
    </xf>
    <xf numFmtId="9" fontId="46" fillId="0" borderId="0" xfId="2" applyFont="1" applyFill="1" applyAlignment="1">
      <alignment horizontal="left"/>
    </xf>
    <xf numFmtId="9" fontId="42" fillId="0" borderId="0" xfId="2" applyFont="1" applyFill="1" applyAlignment="1">
      <alignment horizontal="center"/>
    </xf>
    <xf numFmtId="9" fontId="45" fillId="0" borderId="0" xfId="2" applyFont="1" applyFill="1" applyAlignment="1">
      <alignment horizontal="left"/>
    </xf>
    <xf numFmtId="1" fontId="28" fillId="0" borderId="0" xfId="11" applyNumberFormat="1" applyFont="1"/>
    <xf numFmtId="2" fontId="49" fillId="3" borderId="0" xfId="11" applyNumberFormat="1" applyFont="1" applyFill="1" applyAlignment="1">
      <alignment horizontal="left"/>
    </xf>
    <xf numFmtId="2" fontId="50" fillId="3" borderId="0" xfId="11" applyNumberFormat="1" applyFont="1" applyFill="1" applyAlignment="1">
      <alignment horizontal="center"/>
    </xf>
    <xf numFmtId="1" fontId="12" fillId="0" borderId="0" xfId="11" applyNumberFormat="1" applyFont="1" applyAlignment="1">
      <alignment horizontal="center"/>
    </xf>
    <xf numFmtId="1" fontId="51" fillId="3" borderId="0" xfId="11" applyNumberFormat="1" applyFont="1" applyFill="1" applyAlignment="1">
      <alignment horizontal="center"/>
    </xf>
    <xf numFmtId="1" fontId="51" fillId="3" borderId="0" xfId="10" applyNumberFormat="1" applyFont="1" applyFill="1" applyAlignment="1">
      <alignment horizontal="center"/>
    </xf>
    <xf numFmtId="164" fontId="30" fillId="0" borderId="0" xfId="11" applyNumberFormat="1" applyFont="1"/>
    <xf numFmtId="9" fontId="32" fillId="0" borderId="0" xfId="2" applyFont="1" applyBorder="1"/>
    <xf numFmtId="9" fontId="32" fillId="0" borderId="27" xfId="2" applyFont="1" applyBorder="1"/>
    <xf numFmtId="9" fontId="32" fillId="0" borderId="25" xfId="2" applyFont="1" applyBorder="1"/>
    <xf numFmtId="0" fontId="28" fillId="4" borderId="0" xfId="0" applyFont="1" applyFill="1" applyAlignment="1">
      <alignment horizontal="left"/>
    </xf>
    <xf numFmtId="164" fontId="34" fillId="0" borderId="0" xfId="1" applyNumberFormat="1" applyFont="1" applyFill="1" applyAlignment="1">
      <alignment horizontal="left"/>
    </xf>
    <xf numFmtId="169" fontId="44" fillId="0" borderId="0" xfId="2" applyNumberFormat="1" applyFont="1" applyFill="1" applyAlignment="1">
      <alignment horizontal="left"/>
    </xf>
    <xf numFmtId="43" fontId="28" fillId="0" borderId="0" xfId="1" applyFont="1" applyFill="1" applyAlignment="1">
      <alignment horizontal="left"/>
    </xf>
    <xf numFmtId="9" fontId="47" fillId="0" borderId="0" xfId="2" applyFont="1" applyFill="1" applyAlignment="1">
      <alignment horizontal="left"/>
    </xf>
    <xf numFmtId="9" fontId="42" fillId="0" borderId="0" xfId="2" applyFont="1" applyFill="1" applyAlignment="1">
      <alignment horizontal="left"/>
    </xf>
    <xf numFmtId="9" fontId="48" fillId="0" borderId="0" xfId="2" applyFont="1" applyFill="1" applyAlignment="1">
      <alignment horizontal="left"/>
    </xf>
    <xf numFmtId="164" fontId="11" fillId="0" borderId="0" xfId="11" applyNumberFormat="1" applyFont="1" applyAlignment="1">
      <alignment horizontal="center"/>
    </xf>
    <xf numFmtId="164" fontId="12" fillId="0" borderId="0" xfId="11" applyNumberFormat="1" applyFont="1" applyAlignment="1">
      <alignment horizontal="center"/>
    </xf>
    <xf numFmtId="164" fontId="28" fillId="0" borderId="22" xfId="11" applyNumberFormat="1" applyFont="1" applyBorder="1"/>
    <xf numFmtId="164" fontId="28" fillId="0" borderId="0" xfId="11" applyNumberFormat="1" applyFont="1"/>
    <xf numFmtId="3" fontId="15" fillId="6" borderId="12" xfId="4" applyNumberFormat="1" applyFont="1" applyFill="1" applyBorder="1"/>
    <xf numFmtId="3" fontId="14" fillId="0" borderId="12" xfId="4" applyNumberFormat="1" applyFont="1" applyBorder="1"/>
    <xf numFmtId="3" fontId="15" fillId="8" borderId="12" xfId="4" applyNumberFormat="1" applyFont="1" applyFill="1" applyBorder="1"/>
    <xf numFmtId="0" fontId="15" fillId="0" borderId="33" xfId="4" applyFont="1" applyBorder="1"/>
    <xf numFmtId="0" fontId="15" fillId="0" borderId="34" xfId="4" applyFont="1" applyBorder="1"/>
    <xf numFmtId="0" fontId="15" fillId="0" borderId="35" xfId="4" applyFont="1" applyBorder="1"/>
    <xf numFmtId="0" fontId="22" fillId="0" borderId="36" xfId="4" applyFont="1" applyBorder="1"/>
    <xf numFmtId="0" fontId="30" fillId="0" borderId="0" xfId="0" applyFont="1" applyAlignment="1">
      <alignment horizontal="left"/>
    </xf>
    <xf numFmtId="0" fontId="16" fillId="9" borderId="0" xfId="4" applyFont="1" applyFill="1"/>
    <xf numFmtId="0" fontId="11" fillId="0" borderId="0" xfId="0" applyFont="1"/>
    <xf numFmtId="170" fontId="14" fillId="0" borderId="12" xfId="4" applyNumberFormat="1" applyFont="1" applyBorder="1"/>
    <xf numFmtId="0" fontId="21" fillId="0" borderId="0" xfId="4" applyFont="1" applyAlignment="1">
      <alignment horizontal="center"/>
    </xf>
    <xf numFmtId="2" fontId="38" fillId="0" borderId="0" xfId="11" applyNumberFormat="1" applyFont="1" applyAlignment="1">
      <alignment horizontal="center"/>
    </xf>
    <xf numFmtId="2" fontId="15" fillId="0" borderId="0" xfId="11" applyNumberFormat="1" applyFont="1" applyAlignment="1">
      <alignment horizontal="center"/>
    </xf>
    <xf numFmtId="9" fontId="31" fillId="0" borderId="0" xfId="2" applyFont="1" applyFill="1" applyAlignment="1">
      <alignment horizontal="center"/>
    </xf>
    <xf numFmtId="1" fontId="31" fillId="0" borderId="0" xfId="10" applyNumberFormat="1" applyFont="1" applyFill="1" applyAlignment="1">
      <alignment horizontal="center"/>
    </xf>
    <xf numFmtId="2" fontId="49" fillId="0" borderId="0" xfId="11" applyNumberFormat="1" applyFont="1" applyAlignment="1">
      <alignment horizontal="left"/>
    </xf>
    <xf numFmtId="2" fontId="50" fillId="0" borderId="0" xfId="11" applyNumberFormat="1" applyFont="1" applyAlignment="1">
      <alignment horizontal="center"/>
    </xf>
    <xf numFmtId="1" fontId="51" fillId="0" borderId="0" xfId="10" applyNumberFormat="1" applyFont="1" applyFill="1" applyAlignment="1">
      <alignment horizontal="center"/>
    </xf>
    <xf numFmtId="0" fontId="14" fillId="0" borderId="22" xfId="11" applyFont="1" applyBorder="1"/>
    <xf numFmtId="9" fontId="32" fillId="0" borderId="22" xfId="2" applyFont="1" applyFill="1" applyBorder="1"/>
    <xf numFmtId="1" fontId="32" fillId="0" borderId="22" xfId="10" applyNumberFormat="1" applyFont="1" applyFill="1" applyBorder="1"/>
    <xf numFmtId="49" fontId="14" fillId="0" borderId="22" xfId="11" applyNumberFormat="1" applyFont="1" applyBorder="1"/>
    <xf numFmtId="0" fontId="15" fillId="0" borderId="0" xfId="11" applyFont="1"/>
    <xf numFmtId="0" fontId="14" fillId="0" borderId="0" xfId="11" applyFont="1"/>
    <xf numFmtId="9" fontId="32" fillId="0" borderId="0" xfId="2" applyFont="1" applyFill="1" applyBorder="1"/>
    <xf numFmtId="1" fontId="32" fillId="0" borderId="0" xfId="10" applyNumberFormat="1" applyFont="1" applyFill="1" applyBorder="1"/>
    <xf numFmtId="49" fontId="14" fillId="0" borderId="0" xfId="11" applyNumberFormat="1" applyFont="1"/>
    <xf numFmtId="0" fontId="28" fillId="0" borderId="0" xfId="1" applyNumberFormat="1" applyFont="1" applyFill="1" applyAlignment="1">
      <alignment horizontal="center"/>
    </xf>
    <xf numFmtId="171" fontId="14" fillId="0" borderId="12" xfId="4" applyNumberFormat="1" applyFont="1" applyBorder="1"/>
    <xf numFmtId="0" fontId="15" fillId="0" borderId="0" xfId="4" applyFont="1" applyAlignment="1">
      <alignment horizontal="center"/>
    </xf>
    <xf numFmtId="168" fontId="29" fillId="0" borderId="0" xfId="1" applyNumberFormat="1" applyFont="1" applyFill="1" applyAlignment="1">
      <alignment horizontal="left"/>
    </xf>
    <xf numFmtId="0" fontId="56" fillId="0" borderId="0" xfId="0" applyFont="1"/>
    <xf numFmtId="0" fontId="57" fillId="0" borderId="0" xfId="7" applyFont="1" applyAlignment="1">
      <alignment horizontal="right"/>
    </xf>
    <xf numFmtId="0" fontId="57" fillId="0" borderId="0" xfId="0" applyFont="1"/>
    <xf numFmtId="172" fontId="58" fillId="10" borderId="41" xfId="5" applyNumberFormat="1" applyFont="1" applyFill="1" applyBorder="1" applyAlignment="1">
      <alignment horizontal="centerContinuous" vertical="center"/>
    </xf>
    <xf numFmtId="0" fontId="59" fillId="10" borderId="42" xfId="5" applyFont="1" applyFill="1" applyBorder="1" applyAlignment="1">
      <alignment horizontal="centerContinuous"/>
    </xf>
    <xf numFmtId="0" fontId="59" fillId="10" borderId="43" xfId="5" applyFont="1" applyFill="1" applyBorder="1" applyAlignment="1">
      <alignment horizontal="centerContinuous"/>
    </xf>
    <xf numFmtId="172" fontId="58" fillId="10" borderId="41" xfId="6" applyNumberFormat="1" applyFont="1" applyFill="1" applyBorder="1" applyAlignment="1">
      <alignment horizontal="centerContinuous" vertical="center"/>
    </xf>
    <xf numFmtId="0" fontId="59" fillId="10" borderId="42" xfId="6" applyFont="1" applyFill="1" applyBorder="1" applyAlignment="1">
      <alignment horizontal="centerContinuous"/>
    </xf>
    <xf numFmtId="0" fontId="59" fillId="10" borderId="43" xfId="6" applyFont="1" applyFill="1" applyBorder="1" applyAlignment="1">
      <alignment horizontal="centerContinuous"/>
    </xf>
    <xf numFmtId="173" fontId="60" fillId="11" borderId="44" xfId="5" quotePrefix="1" applyNumberFormat="1" applyFont="1" applyFill="1" applyBorder="1" applyAlignment="1">
      <alignment horizontal="center" shrinkToFit="1"/>
    </xf>
    <xf numFmtId="173" fontId="61" fillId="11" borderId="45" xfId="5" quotePrefix="1" applyNumberFormat="1" applyFont="1" applyFill="1" applyBorder="1" applyAlignment="1">
      <alignment horizontal="center" shrinkToFit="1"/>
    </xf>
    <xf numFmtId="173" fontId="60" fillId="11" borderId="46" xfId="5" quotePrefix="1" applyNumberFormat="1" applyFont="1" applyFill="1" applyBorder="1" applyAlignment="1">
      <alignment horizontal="center" shrinkToFit="1"/>
    </xf>
    <xf numFmtId="173" fontId="60" fillId="11" borderId="44" xfId="6" quotePrefix="1" applyNumberFormat="1" applyFont="1" applyFill="1" applyBorder="1" applyAlignment="1">
      <alignment horizontal="center" shrinkToFit="1"/>
    </xf>
    <xf numFmtId="173" fontId="61" fillId="11" borderId="45" xfId="6" quotePrefix="1" applyNumberFormat="1" applyFont="1" applyFill="1" applyBorder="1" applyAlignment="1">
      <alignment horizontal="center" shrinkToFit="1"/>
    </xf>
    <xf numFmtId="173" fontId="60" fillId="11" borderId="46" xfId="6" quotePrefix="1" applyNumberFormat="1" applyFont="1" applyFill="1" applyBorder="1" applyAlignment="1">
      <alignment horizontal="center" shrinkToFit="1"/>
    </xf>
    <xf numFmtId="0" fontId="11" fillId="0" borderId="0" xfId="5"/>
    <xf numFmtId="0" fontId="11" fillId="0" borderId="0" xfId="6" applyFont="1"/>
    <xf numFmtId="0" fontId="63" fillId="0" borderId="0" xfId="0" applyFont="1"/>
    <xf numFmtId="0" fontId="64" fillId="0" borderId="0" xfId="7" applyFont="1" applyAlignment="1">
      <alignment horizontal="right"/>
    </xf>
    <xf numFmtId="0" fontId="12" fillId="0" borderId="0" xfId="14"/>
    <xf numFmtId="0" fontId="12" fillId="0" borderId="0" xfId="14" applyAlignment="1">
      <alignment horizontal="center"/>
    </xf>
    <xf numFmtId="0" fontId="70" fillId="0" borderId="0" xfId="14" applyFont="1"/>
    <xf numFmtId="43" fontId="12" fillId="0" borderId="0" xfId="1" applyFont="1"/>
    <xf numFmtId="168" fontId="12" fillId="0" borderId="0" xfId="1" applyNumberFormat="1" applyFont="1"/>
    <xf numFmtId="168" fontId="12" fillId="0" borderId="0" xfId="1" applyNumberFormat="1" applyFont="1" applyFill="1"/>
    <xf numFmtId="43" fontId="12" fillId="0" borderId="24" xfId="1" applyFont="1" applyBorder="1"/>
    <xf numFmtId="168" fontId="12" fillId="0" borderId="24" xfId="1" applyNumberFormat="1" applyFont="1" applyBorder="1"/>
    <xf numFmtId="0" fontId="12" fillId="0" borderId="0" xfId="14" applyAlignment="1">
      <alignment wrapText="1"/>
    </xf>
    <xf numFmtId="0" fontId="71" fillId="0" borderId="0" xfId="14" applyFont="1"/>
    <xf numFmtId="0" fontId="70" fillId="0" borderId="0" xfId="14" applyFont="1" applyAlignment="1">
      <alignment horizontal="center"/>
    </xf>
    <xf numFmtId="164" fontId="12" fillId="0" borderId="0" xfId="14" applyNumberFormat="1"/>
    <xf numFmtId="164" fontId="12" fillId="0" borderId="0" xfId="15" applyNumberFormat="1" applyFont="1" applyFill="1"/>
    <xf numFmtId="164" fontId="12" fillId="0" borderId="0" xfId="1" applyNumberFormat="1" applyFont="1" applyFill="1"/>
    <xf numFmtId="164" fontId="12" fillId="0" borderId="0" xfId="1" applyNumberFormat="1" applyFont="1" applyFill="1" applyAlignment="1">
      <alignment wrapText="1"/>
    </xf>
    <xf numFmtId="164" fontId="12" fillId="0" borderId="18" xfId="1" applyNumberFormat="1" applyFont="1" applyFill="1" applyBorder="1"/>
    <xf numFmtId="164" fontId="12" fillId="0" borderId="66" xfId="1" applyNumberFormat="1" applyFont="1" applyFill="1" applyBorder="1"/>
    <xf numFmtId="164" fontId="71" fillId="0" borderId="1" xfId="1" applyNumberFormat="1" applyFont="1" applyFill="1" applyBorder="1"/>
    <xf numFmtId="43" fontId="29" fillId="0" borderId="0" xfId="1" applyFont="1" applyFill="1" applyBorder="1"/>
    <xf numFmtId="43" fontId="31" fillId="0" borderId="0" xfId="1" applyFont="1" applyBorder="1"/>
    <xf numFmtId="43" fontId="29" fillId="0" borderId="24" xfId="1" applyFont="1" applyFill="1" applyBorder="1"/>
    <xf numFmtId="43" fontId="29" fillId="0" borderId="0" xfId="1" applyFont="1" applyFill="1"/>
    <xf numFmtId="168" fontId="29" fillId="0" borderId="0" xfId="1" applyNumberFormat="1" applyFont="1" applyFill="1"/>
    <xf numFmtId="164" fontId="71" fillId="0" borderId="0" xfId="14" applyNumberFormat="1" applyFont="1"/>
    <xf numFmtId="0" fontId="12" fillId="0" borderId="0" xfId="14" applyAlignment="1">
      <alignment horizontal="right"/>
    </xf>
    <xf numFmtId="0" fontId="27" fillId="9" borderId="0" xfId="0" applyFont="1" applyFill="1" applyAlignment="1">
      <alignment horizontal="left"/>
    </xf>
    <xf numFmtId="164" fontId="27" fillId="9" borderId="0" xfId="1" applyNumberFormat="1" applyFont="1" applyFill="1" applyAlignment="1">
      <alignment horizontal="left"/>
    </xf>
    <xf numFmtId="9" fontId="52" fillId="9" borderId="0" xfId="2" applyFont="1" applyFill="1" applyAlignment="1">
      <alignment horizontal="left"/>
    </xf>
    <xf numFmtId="165" fontId="27" fillId="9" borderId="0" xfId="1" applyNumberFormat="1" applyFont="1" applyFill="1" applyAlignment="1">
      <alignment horizontal="left"/>
    </xf>
    <xf numFmtId="164" fontId="27" fillId="9" borderId="1" xfId="1" applyNumberFormat="1" applyFont="1" applyFill="1" applyBorder="1" applyAlignment="1">
      <alignment horizontal="left"/>
    </xf>
    <xf numFmtId="169" fontId="53" fillId="9" borderId="0" xfId="2" applyNumberFormat="1" applyFont="1" applyFill="1" applyAlignment="1">
      <alignment horizontal="left"/>
    </xf>
    <xf numFmtId="9" fontId="42" fillId="6" borderId="0" xfId="2" applyFont="1" applyFill="1" applyBorder="1" applyAlignment="1">
      <alignment horizontal="center"/>
    </xf>
    <xf numFmtId="9" fontId="42" fillId="6" borderId="0" xfId="2" applyFont="1" applyFill="1" applyAlignment="1">
      <alignment horizontal="center"/>
    </xf>
    <xf numFmtId="9" fontId="44" fillId="6" borderId="0" xfId="2" applyFont="1" applyFill="1" applyAlignment="1">
      <alignment horizontal="left"/>
    </xf>
    <xf numFmtId="164" fontId="11" fillId="6" borderId="0" xfId="1" applyNumberFormat="1" applyFont="1" applyFill="1" applyAlignment="1">
      <alignment horizontal="left"/>
    </xf>
    <xf numFmtId="168" fontId="11" fillId="6" borderId="0" xfId="1" applyNumberFormat="1" applyFont="1" applyFill="1" applyAlignment="1">
      <alignment horizontal="left"/>
    </xf>
    <xf numFmtId="164" fontId="35" fillId="6" borderId="0" xfId="1" applyNumberFormat="1" applyFont="1" applyFill="1" applyAlignment="1">
      <alignment horizontal="left"/>
    </xf>
    <xf numFmtId="164" fontId="34" fillId="6" borderId="0" xfId="1" applyNumberFormat="1" applyFont="1" applyFill="1" applyAlignment="1">
      <alignment horizontal="left"/>
    </xf>
    <xf numFmtId="168" fontId="34" fillId="6" borderId="0" xfId="1" applyNumberFormat="1" applyFont="1" applyFill="1" applyAlignment="1">
      <alignment horizontal="left"/>
    </xf>
    <xf numFmtId="165" fontId="28" fillId="6" borderId="0" xfId="1" applyNumberFormat="1" applyFont="1" applyFill="1" applyAlignment="1">
      <alignment horizontal="left"/>
    </xf>
    <xf numFmtId="165" fontId="34" fillId="6" borderId="0" xfId="1" applyNumberFormat="1" applyFont="1" applyFill="1" applyAlignment="1">
      <alignment horizontal="left"/>
    </xf>
    <xf numFmtId="164" fontId="28" fillId="6" borderId="0" xfId="1" applyNumberFormat="1" applyFont="1" applyFill="1" applyAlignment="1">
      <alignment horizontal="left"/>
    </xf>
    <xf numFmtId="165" fontId="11" fillId="6" borderId="0" xfId="1" applyNumberFormat="1" applyFont="1" applyFill="1" applyAlignment="1">
      <alignment horizontal="left"/>
    </xf>
    <xf numFmtId="0" fontId="42" fillId="6" borderId="0" xfId="1" applyNumberFormat="1" applyFont="1" applyFill="1" applyAlignment="1">
      <alignment horizontal="center"/>
    </xf>
    <xf numFmtId="43" fontId="15" fillId="0" borderId="0" xfId="1" applyFont="1" applyFill="1" applyAlignment="1">
      <alignment horizontal="center"/>
    </xf>
    <xf numFmtId="43" fontId="50" fillId="0" borderId="0" xfId="1" applyFont="1" applyFill="1" applyAlignment="1">
      <alignment horizontal="center"/>
    </xf>
    <xf numFmtId="43" fontId="14" fillId="0" borderId="22" xfId="1" applyFont="1" applyFill="1" applyBorder="1"/>
    <xf numFmtId="43" fontId="14" fillId="0" borderId="0" xfId="1" applyFont="1" applyFill="1"/>
    <xf numFmtId="43" fontId="8" fillId="0" borderId="0" xfId="1" applyFont="1" applyFill="1"/>
    <xf numFmtId="43" fontId="25" fillId="0" borderId="0" xfId="1" applyFont="1" applyFill="1"/>
    <xf numFmtId="43" fontId="12" fillId="0" borderId="0" xfId="1" applyFont="1" applyBorder="1"/>
    <xf numFmtId="167" fontId="12" fillId="0" borderId="0" xfId="14" applyNumberFormat="1"/>
    <xf numFmtId="4" fontId="14" fillId="0" borderId="13" xfId="4" applyNumberFormat="1" applyFont="1" applyBorder="1" applyAlignment="1">
      <alignment horizontal="left"/>
    </xf>
    <xf numFmtId="0" fontId="73" fillId="0" borderId="0" xfId="0" applyFont="1"/>
    <xf numFmtId="0" fontId="0" fillId="9" borderId="0" xfId="0" applyFill="1"/>
    <xf numFmtId="0" fontId="12" fillId="0" borderId="0" xfId="0" applyFont="1"/>
    <xf numFmtId="164" fontId="12" fillId="0" borderId="0" xfId="0" applyNumberFormat="1" applyFont="1"/>
    <xf numFmtId="0" fontId="7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8" fontId="12" fillId="0" borderId="0" xfId="1" applyNumberFormat="1" applyFont="1" applyFill="1" applyAlignment="1">
      <alignment horizontal="left"/>
    </xf>
    <xf numFmtId="0" fontId="75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77" fillId="0" borderId="0" xfId="0" applyFont="1"/>
    <xf numFmtId="43" fontId="12" fillId="0" borderId="0" xfId="1" applyFont="1" applyFill="1" applyAlignment="1">
      <alignment horizontal="left"/>
    </xf>
    <xf numFmtId="168" fontId="78" fillId="9" borderId="1" xfId="0" applyNumberFormat="1" applyFont="1" applyFill="1" applyBorder="1" applyAlignment="1">
      <alignment horizontal="left"/>
    </xf>
    <xf numFmtId="0" fontId="78" fillId="9" borderId="0" xfId="0" applyFont="1" applyFill="1"/>
    <xf numFmtId="2" fontId="26" fillId="9" borderId="0" xfId="11" applyNumberFormat="1" applyFont="1" applyFill="1" applyAlignment="1">
      <alignment horizontal="center"/>
    </xf>
    <xf numFmtId="0" fontId="16" fillId="9" borderId="22" xfId="11" applyFont="1" applyFill="1" applyBorder="1"/>
    <xf numFmtId="49" fontId="18" fillId="9" borderId="22" xfId="11" applyNumberFormat="1" applyFont="1" applyFill="1" applyBorder="1"/>
    <xf numFmtId="0" fontId="26" fillId="9" borderId="22" xfId="11" applyFont="1" applyFill="1" applyBorder="1" applyAlignment="1">
      <alignment horizontal="center"/>
    </xf>
    <xf numFmtId="2" fontId="26" fillId="9" borderId="22" xfId="11" applyNumberFormat="1" applyFont="1" applyFill="1" applyBorder="1" applyAlignment="1">
      <alignment horizontal="center"/>
    </xf>
    <xf numFmtId="0" fontId="26" fillId="9" borderId="0" xfId="11" applyFont="1" applyFill="1"/>
    <xf numFmtId="0" fontId="11" fillId="0" borderId="0" xfId="5" applyAlignment="1">
      <alignment readingOrder="1"/>
    </xf>
    <xf numFmtId="0" fontId="79" fillId="0" borderId="0" xfId="5" applyFont="1" applyAlignment="1">
      <alignment readingOrder="1"/>
    </xf>
    <xf numFmtId="0" fontId="11" fillId="0" borderId="0" xfId="14" applyFont="1"/>
    <xf numFmtId="9" fontId="52" fillId="9" borderId="0" xfId="2" applyFont="1" applyFill="1" applyBorder="1" applyAlignment="1">
      <alignment horizontal="center"/>
    </xf>
    <xf numFmtId="9" fontId="52" fillId="9" borderId="0" xfId="2" applyFont="1" applyFill="1" applyAlignment="1">
      <alignment horizontal="center"/>
    </xf>
    <xf numFmtId="9" fontId="53" fillId="9" borderId="0" xfId="2" applyFont="1" applyFill="1" applyAlignment="1">
      <alignment horizontal="left"/>
    </xf>
    <xf numFmtId="9" fontId="43" fillId="9" borderId="0" xfId="2" applyFont="1" applyFill="1" applyAlignment="1">
      <alignment horizontal="left"/>
    </xf>
    <xf numFmtId="164" fontId="43" fillId="9" borderId="0" xfId="1" applyNumberFormat="1" applyFont="1" applyFill="1" applyAlignment="1">
      <alignment horizontal="left"/>
    </xf>
    <xf numFmtId="168" fontId="43" fillId="9" borderId="0" xfId="1" applyNumberFormat="1" applyFont="1" applyFill="1" applyAlignment="1">
      <alignment horizontal="left"/>
    </xf>
    <xf numFmtId="168" fontId="27" fillId="9" borderId="0" xfId="1" applyNumberFormat="1" applyFont="1" applyFill="1" applyAlignment="1">
      <alignment horizontal="left"/>
    </xf>
    <xf numFmtId="165" fontId="43" fillId="9" borderId="0" xfId="1" applyNumberFormat="1" applyFont="1" applyFill="1" applyAlignment="1">
      <alignment horizontal="left"/>
    </xf>
    <xf numFmtId="169" fontId="43" fillId="9" borderId="0" xfId="2" applyNumberFormat="1" applyFont="1" applyFill="1" applyAlignment="1">
      <alignment horizontal="left"/>
    </xf>
    <xf numFmtId="9" fontId="53" fillId="0" borderId="0" xfId="2" applyFont="1" applyFill="1" applyAlignment="1">
      <alignment horizontal="left"/>
    </xf>
    <xf numFmtId="168" fontId="43" fillId="0" borderId="0" xfId="1" applyNumberFormat="1" applyFont="1" applyFill="1" applyAlignment="1">
      <alignment horizontal="left"/>
    </xf>
    <xf numFmtId="9" fontId="52" fillId="0" borderId="0" xfId="2" applyFont="1" applyFill="1" applyAlignment="1">
      <alignment horizontal="center"/>
    </xf>
    <xf numFmtId="9" fontId="27" fillId="0" borderId="0" xfId="2" applyFont="1" applyFill="1" applyAlignment="1">
      <alignment horizontal="center"/>
    </xf>
    <xf numFmtId="164" fontId="43" fillId="0" borderId="0" xfId="1" applyNumberFormat="1" applyFont="1" applyFill="1" applyAlignment="1">
      <alignment horizontal="left"/>
    </xf>
    <xf numFmtId="43" fontId="27" fillId="0" borderId="0" xfId="1" applyFont="1" applyFill="1" applyAlignment="1">
      <alignment horizontal="center"/>
    </xf>
    <xf numFmtId="164" fontId="27" fillId="0" borderId="0" xfId="2" applyNumberFormat="1" applyFont="1" applyFill="1" applyAlignment="1">
      <alignment horizontal="center"/>
    </xf>
    <xf numFmtId="43" fontId="27" fillId="0" borderId="0" xfId="1" applyFont="1" applyFill="1" applyAlignment="1">
      <alignment horizontal="left"/>
    </xf>
    <xf numFmtId="43" fontId="43" fillId="0" borderId="0" xfId="1" applyFont="1" applyFill="1" applyAlignment="1">
      <alignment horizontal="left"/>
    </xf>
    <xf numFmtId="44" fontId="11" fillId="0" borderId="0" xfId="16" applyFont="1" applyFill="1" applyAlignment="1">
      <alignment horizontal="left"/>
    </xf>
    <xf numFmtId="0" fontId="28" fillId="0" borderId="0" xfId="5" applyFont="1"/>
    <xf numFmtId="0" fontId="28" fillId="0" borderId="21" xfId="5" applyFont="1" applyBorder="1"/>
    <xf numFmtId="43" fontId="11" fillId="0" borderId="18" xfId="1" applyFont="1" applyFill="1" applyBorder="1"/>
    <xf numFmtId="9" fontId="11" fillId="0" borderId="0" xfId="17" applyFont="1" applyFill="1"/>
    <xf numFmtId="0" fontId="28" fillId="0" borderId="0" xfId="0" applyFont="1"/>
    <xf numFmtId="4" fontId="11" fillId="0" borderId="0" xfId="0" applyNumberFormat="1" applyFont="1"/>
    <xf numFmtId="0" fontId="27" fillId="18" borderId="54" xfId="0" applyFont="1" applyFill="1" applyBorder="1" applyAlignment="1">
      <alignment horizontal="center"/>
    </xf>
    <xf numFmtId="4" fontId="27" fillId="18" borderId="54" xfId="0" applyNumberFormat="1" applyFont="1" applyFill="1" applyBorder="1"/>
    <xf numFmtId="0" fontId="11" fillId="0" borderId="0" xfId="19"/>
    <xf numFmtId="9" fontId="11" fillId="4" borderId="0" xfId="0" applyNumberFormat="1" applyFont="1" applyFill="1"/>
    <xf numFmtId="0" fontId="28" fillId="0" borderId="0" xfId="19" applyFont="1"/>
    <xf numFmtId="164" fontId="11" fillId="0" borderId="0" xfId="20" applyNumberFormat="1" applyFont="1" applyFill="1" applyBorder="1"/>
    <xf numFmtId="164" fontId="11" fillId="0" borderId="0" xfId="19" applyNumberFormat="1"/>
    <xf numFmtId="164" fontId="28" fillId="0" borderId="0" xfId="19" applyNumberFormat="1" applyFont="1" applyAlignment="1">
      <alignment horizontal="center"/>
    </xf>
    <xf numFmtId="164" fontId="43" fillId="9" borderId="0" xfId="20" quotePrefix="1" applyNumberFormat="1" applyFont="1" applyFill="1" applyBorder="1" applyAlignment="1">
      <alignment horizontal="center"/>
    </xf>
    <xf numFmtId="164" fontId="28" fillId="19" borderId="0" xfId="19" applyNumberFormat="1" applyFont="1" applyFill="1" applyAlignment="1">
      <alignment horizontal="center"/>
    </xf>
    <xf numFmtId="0" fontId="11" fillId="0" borderId="0" xfId="19" applyAlignment="1">
      <alignment horizontal="center"/>
    </xf>
    <xf numFmtId="168" fontId="11" fillId="0" borderId="0" xfId="19" applyNumberFormat="1"/>
    <xf numFmtId="164" fontId="43" fillId="9" borderId="0" xfId="19" applyNumberFormat="1" applyFont="1" applyFill="1"/>
    <xf numFmtId="164" fontId="11" fillId="0" borderId="0" xfId="19" applyNumberFormat="1" applyAlignment="1">
      <alignment horizontal="right"/>
    </xf>
    <xf numFmtId="0" fontId="69" fillId="0" borderId="0" xfId="19" applyFont="1"/>
    <xf numFmtId="43" fontId="11" fillId="0" borderId="0" xfId="19" applyNumberFormat="1"/>
    <xf numFmtId="43" fontId="69" fillId="0" borderId="0" xfId="19" applyNumberFormat="1" applyFont="1"/>
    <xf numFmtId="0" fontId="82" fillId="0" borderId="0" xfId="19" applyFont="1" applyAlignment="1">
      <alignment horizontal="left"/>
    </xf>
    <xf numFmtId="0" fontId="83" fillId="18" borderId="21" xfId="19" applyFont="1" applyFill="1" applyBorder="1" applyAlignment="1">
      <alignment horizontal="center"/>
    </xf>
    <xf numFmtId="43" fontId="83" fillId="18" borderId="21" xfId="19" applyNumberFormat="1" applyFont="1" applyFill="1" applyBorder="1" applyAlignment="1">
      <alignment horizontal="center"/>
    </xf>
    <xf numFmtId="43" fontId="82" fillId="18" borderId="21" xfId="19" applyNumberFormat="1" applyFont="1" applyFill="1" applyBorder="1" applyAlignment="1">
      <alignment horizontal="center"/>
    </xf>
    <xf numFmtId="0" fontId="82" fillId="18" borderId="21" xfId="19" applyFont="1" applyFill="1" applyBorder="1" applyAlignment="1">
      <alignment horizontal="center"/>
    </xf>
    <xf numFmtId="0" fontId="83" fillId="18" borderId="51" xfId="19" applyFont="1" applyFill="1" applyBorder="1" applyAlignment="1">
      <alignment horizontal="center"/>
    </xf>
    <xf numFmtId="0" fontId="83" fillId="18" borderId="70" xfId="19" applyFont="1" applyFill="1" applyBorder="1" applyAlignment="1">
      <alignment horizontal="center"/>
    </xf>
    <xf numFmtId="0" fontId="69" fillId="0" borderId="0" xfId="19" applyFont="1" applyAlignment="1">
      <alignment horizontal="center"/>
    </xf>
    <xf numFmtId="0" fontId="83" fillId="0" borderId="0" xfId="19" applyFont="1"/>
    <xf numFmtId="0" fontId="83" fillId="0" borderId="21" xfId="19" applyFont="1" applyBorder="1" applyAlignment="1">
      <alignment horizontal="center"/>
    </xf>
    <xf numFmtId="0" fontId="84" fillId="0" borderId="21" xfId="19" applyFont="1" applyBorder="1"/>
    <xf numFmtId="43" fontId="85" fillId="0" borderId="51" xfId="19" applyNumberFormat="1" applyFont="1" applyBorder="1"/>
    <xf numFmtId="176" fontId="69" fillId="0" borderId="70" xfId="19" applyNumberFormat="1" applyFont="1" applyBorder="1"/>
    <xf numFmtId="0" fontId="86" fillId="0" borderId="21" xfId="19" applyFont="1" applyBorder="1" applyAlignment="1">
      <alignment horizontal="center"/>
    </xf>
    <xf numFmtId="0" fontId="86" fillId="0" borderId="0" xfId="19" applyFont="1" applyAlignment="1">
      <alignment horizontal="center"/>
    </xf>
    <xf numFmtId="0" fontId="84" fillId="0" borderId="0" xfId="19" applyFont="1"/>
    <xf numFmtId="175" fontId="11" fillId="0" borderId="0" xfId="19" applyNumberFormat="1"/>
    <xf numFmtId="175" fontId="82" fillId="0" borderId="0" xfId="19" applyNumberFormat="1" applyFont="1"/>
    <xf numFmtId="175" fontId="86" fillId="0" borderId="0" xfId="19" applyNumberFormat="1" applyFont="1"/>
    <xf numFmtId="43" fontId="69" fillId="0" borderId="51" xfId="19" applyNumberFormat="1" applyFont="1" applyBorder="1"/>
    <xf numFmtId="43" fontId="69" fillId="0" borderId="70" xfId="19" applyNumberFormat="1" applyFont="1" applyBorder="1"/>
    <xf numFmtId="43" fontId="85" fillId="0" borderId="0" xfId="19" applyNumberFormat="1" applyFont="1"/>
    <xf numFmtId="43" fontId="82" fillId="0" borderId="0" xfId="19" applyNumberFormat="1" applyFont="1"/>
    <xf numFmtId="0" fontId="87" fillId="0" borderId="0" xfId="19" applyFont="1"/>
    <xf numFmtId="43" fontId="0" fillId="0" borderId="0" xfId="21" applyFont="1"/>
    <xf numFmtId="177" fontId="69" fillId="0" borderId="18" xfId="19" applyNumberFormat="1" applyFont="1" applyBorder="1"/>
    <xf numFmtId="177" fontId="69" fillId="0" borderId="0" xfId="19" applyNumberFormat="1" applyFont="1"/>
    <xf numFmtId="43" fontId="82" fillId="0" borderId="1" xfId="19" applyNumberFormat="1" applyFont="1" applyBorder="1"/>
    <xf numFmtId="178" fontId="88" fillId="0" borderId="0" xfId="19" applyNumberFormat="1" applyFont="1" applyAlignment="1">
      <alignment horizontal="center" wrapText="1"/>
    </xf>
    <xf numFmtId="0" fontId="82" fillId="0" borderId="0" xfId="19" applyFont="1" applyAlignment="1">
      <alignment horizontal="center"/>
    </xf>
    <xf numFmtId="0" fontId="11" fillId="0" borderId="0" xfId="22" applyFont="1"/>
    <xf numFmtId="4" fontId="11" fillId="0" borderId="0" xfId="22" applyNumberFormat="1" applyFont="1"/>
    <xf numFmtId="0" fontId="12" fillId="0" borderId="0" xfId="22"/>
    <xf numFmtId="0" fontId="28" fillId="0" borderId="21" xfId="22" applyFont="1" applyBorder="1" applyAlignment="1">
      <alignment horizontal="center"/>
    </xf>
    <xf numFmtId="4" fontId="28" fillId="0" borderId="21" xfId="22" applyNumberFormat="1" applyFont="1" applyBorder="1" applyAlignment="1">
      <alignment horizontal="center"/>
    </xf>
    <xf numFmtId="0" fontId="28" fillId="0" borderId="0" xfId="22" applyFont="1" applyAlignment="1">
      <alignment horizontal="center"/>
    </xf>
    <xf numFmtId="0" fontId="11" fillId="0" borderId="0" xfId="22" applyFont="1" applyAlignment="1">
      <alignment horizontal="left"/>
    </xf>
    <xf numFmtId="0" fontId="12" fillId="0" borderId="0" xfId="22" applyAlignment="1">
      <alignment wrapText="1"/>
    </xf>
    <xf numFmtId="0" fontId="11" fillId="0" borderId="0" xfId="22" applyFont="1" applyAlignment="1">
      <alignment wrapText="1"/>
    </xf>
    <xf numFmtId="4" fontId="28" fillId="0" borderId="0" xfId="22" applyNumberFormat="1" applyFont="1" applyAlignment="1">
      <alignment horizontal="center"/>
    </xf>
    <xf numFmtId="4" fontId="11" fillId="0" borderId="0" xfId="23" applyNumberFormat="1" applyFont="1"/>
    <xf numFmtId="1" fontId="11" fillId="0" borderId="0" xfId="23" applyNumberFormat="1" applyFont="1"/>
    <xf numFmtId="179" fontId="11" fillId="0" borderId="0" xfId="23" applyNumberFormat="1" applyFont="1"/>
    <xf numFmtId="4" fontId="28" fillId="0" borderId="0" xfId="23" applyNumberFormat="1" applyFont="1"/>
    <xf numFmtId="4" fontId="11" fillId="0" borderId="0" xfId="23" applyNumberFormat="1" applyFont="1" applyAlignment="1">
      <alignment horizontal="center"/>
    </xf>
    <xf numFmtId="1" fontId="11" fillId="0" borderId="0" xfId="23" applyNumberFormat="1" applyFont="1" applyAlignment="1">
      <alignment horizontal="center"/>
    </xf>
    <xf numFmtId="179" fontId="11" fillId="0" borderId="0" xfId="23" applyNumberFormat="1" applyFont="1" applyAlignment="1">
      <alignment horizontal="center"/>
    </xf>
    <xf numFmtId="1" fontId="11" fillId="0" borderId="0" xfId="23" applyNumberFormat="1" applyFont="1" applyAlignment="1">
      <alignment horizontal="center" wrapText="1"/>
    </xf>
    <xf numFmtId="4" fontId="11" fillId="0" borderId="0" xfId="23" applyNumberFormat="1" applyFont="1" applyAlignment="1">
      <alignment horizontal="fill"/>
    </xf>
    <xf numFmtId="1" fontId="11" fillId="0" borderId="0" xfId="23" applyNumberFormat="1" applyFont="1" applyAlignment="1">
      <alignment horizontal="fill"/>
    </xf>
    <xf numFmtId="179" fontId="11" fillId="0" borderId="0" xfId="23" applyNumberFormat="1" applyFont="1" applyAlignment="1">
      <alignment horizontal="fill"/>
    </xf>
    <xf numFmtId="0" fontId="11" fillId="0" borderId="0" xfId="23" applyFont="1" applyAlignment="1">
      <alignment wrapText="1"/>
    </xf>
    <xf numFmtId="15" fontId="11" fillId="0" borderId="0" xfId="23" applyNumberFormat="1" applyFont="1"/>
    <xf numFmtId="4" fontId="11" fillId="4" borderId="0" xfId="23" applyNumberFormat="1" applyFont="1" applyFill="1"/>
    <xf numFmtId="4" fontId="11" fillId="0" borderId="0" xfId="23" applyNumberFormat="1" applyFont="1" applyAlignment="1">
      <alignment wrapText="1"/>
    </xf>
    <xf numFmtId="168" fontId="28" fillId="0" borderId="0" xfId="0" applyNumberFormat="1" applyFont="1" applyAlignment="1">
      <alignment horizontal="left"/>
    </xf>
    <xf numFmtId="43" fontId="28" fillId="0" borderId="0" xfId="1" applyFont="1"/>
    <xf numFmtId="43" fontId="0" fillId="0" borderId="0" xfId="1" applyFont="1"/>
    <xf numFmtId="14" fontId="11" fillId="0" borderId="0" xfId="5" applyNumberFormat="1"/>
    <xf numFmtId="43" fontId="11" fillId="0" borderId="0" xfId="24" applyFont="1" applyFill="1"/>
    <xf numFmtId="43" fontId="0" fillId="0" borderId="0" xfId="1" applyFont="1" applyFill="1"/>
    <xf numFmtId="43" fontId="28" fillId="0" borderId="21" xfId="24" applyFont="1" applyBorder="1"/>
    <xf numFmtId="0" fontId="6" fillId="0" borderId="0" xfId="25"/>
    <xf numFmtId="0" fontId="6" fillId="0" borderId="0" xfId="25" applyAlignment="1">
      <alignment vertical="center" wrapText="1"/>
    </xf>
    <xf numFmtId="0" fontId="89" fillId="0" borderId="0" xfId="0" applyFont="1"/>
    <xf numFmtId="180" fontId="89" fillId="0" borderId="0" xfId="0" applyNumberFormat="1" applyFont="1"/>
    <xf numFmtId="0" fontId="69" fillId="0" borderId="0" xfId="19" applyFont="1" applyAlignment="1">
      <alignment wrapText="1"/>
    </xf>
    <xf numFmtId="43" fontId="83" fillId="0" borderId="21" xfId="19" applyNumberFormat="1" applyFont="1" applyBorder="1" applyAlignment="1">
      <alignment horizontal="center"/>
    </xf>
    <xf numFmtId="43" fontId="82" fillId="0" borderId="21" xfId="19" applyNumberFormat="1" applyFont="1" applyBorder="1" applyAlignment="1">
      <alignment horizontal="center"/>
    </xf>
    <xf numFmtId="0" fontId="82" fillId="0" borderId="21" xfId="19" applyFont="1" applyBorder="1" applyAlignment="1">
      <alignment horizontal="center"/>
    </xf>
    <xf numFmtId="175" fontId="69" fillId="0" borderId="0" xfId="19" applyNumberFormat="1" applyFont="1"/>
    <xf numFmtId="43" fontId="69" fillId="0" borderId="21" xfId="19" applyNumberFormat="1" applyFont="1" applyBorder="1"/>
    <xf numFmtId="176" fontId="69" fillId="0" borderId="21" xfId="19" applyNumberFormat="1" applyFont="1" applyBorder="1"/>
    <xf numFmtId="175" fontId="69" fillId="0" borderId="21" xfId="19" applyNumberFormat="1" applyFont="1" applyBorder="1"/>
    <xf numFmtId="43" fontId="85" fillId="0" borderId="26" xfId="19" applyNumberFormat="1" applyFont="1" applyBorder="1"/>
    <xf numFmtId="175" fontId="69" fillId="0" borderId="26" xfId="19" applyNumberFormat="1" applyFont="1" applyBorder="1"/>
    <xf numFmtId="4" fontId="11" fillId="0" borderId="69" xfId="0" applyNumberFormat="1" applyFont="1" applyBorder="1"/>
    <xf numFmtId="0" fontId="11" fillId="3" borderId="0" xfId="5" applyFill="1"/>
    <xf numFmtId="0" fontId="28" fillId="3" borderId="0" xfId="5" applyFont="1" applyFill="1"/>
    <xf numFmtId="3" fontId="92" fillId="3" borderId="0" xfId="5" applyNumberFormat="1" applyFont="1" applyFill="1"/>
    <xf numFmtId="38" fontId="92" fillId="3" borderId="0" xfId="5" applyNumberFormat="1" applyFont="1" applyFill="1"/>
    <xf numFmtId="38" fontId="93" fillId="3" borderId="0" xfId="5" applyNumberFormat="1" applyFont="1" applyFill="1"/>
    <xf numFmtId="0" fontId="94" fillId="3" borderId="0" xfId="5" applyFont="1" applyFill="1" applyAlignment="1">
      <alignment horizontal="center"/>
    </xf>
    <xf numFmtId="0" fontId="95" fillId="3" borderId="0" xfId="5" applyFont="1" applyFill="1"/>
    <xf numFmtId="3" fontId="93" fillId="3" borderId="0" xfId="5" applyNumberFormat="1" applyFont="1" applyFill="1"/>
    <xf numFmtId="3" fontId="28" fillId="3" borderId="0" xfId="5" applyNumberFormat="1" applyFont="1" applyFill="1"/>
    <xf numFmtId="4" fontId="11" fillId="3" borderId="0" xfId="0" applyNumberFormat="1" applyFont="1" applyFill="1"/>
    <xf numFmtId="0" fontId="11" fillId="0" borderId="0" xfId="19" quotePrefix="1" applyAlignment="1">
      <alignment horizontal="right"/>
    </xf>
    <xf numFmtId="0" fontId="11" fillId="0" borderId="0" xfId="19" quotePrefix="1"/>
    <xf numFmtId="3" fontId="28" fillId="0" borderId="0" xfId="5" applyNumberFormat="1" applyFont="1"/>
    <xf numFmtId="0" fontId="81" fillId="0" borderId="0" xfId="5" applyFont="1"/>
    <xf numFmtId="3" fontId="11" fillId="0" borderId="0" xfId="5" applyNumberFormat="1"/>
    <xf numFmtId="0" fontId="11" fillId="0" borderId="0" xfId="5" applyAlignment="1">
      <alignment horizontal="left"/>
    </xf>
    <xf numFmtId="3" fontId="28" fillId="0" borderId="18" xfId="5" applyNumberFormat="1" applyFont="1" applyBorder="1"/>
    <xf numFmtId="3" fontId="11" fillId="0" borderId="18" xfId="5" applyNumberFormat="1" applyBorder="1"/>
    <xf numFmtId="0" fontId="11" fillId="0" borderId="0" xfId="5" applyAlignment="1">
      <alignment wrapText="1"/>
    </xf>
    <xf numFmtId="3" fontId="28" fillId="0" borderId="1" xfId="5" applyNumberFormat="1" applyFont="1" applyBorder="1"/>
    <xf numFmtId="3" fontId="28" fillId="0" borderId="68" xfId="5" applyNumberFormat="1" applyFont="1" applyBorder="1"/>
    <xf numFmtId="43" fontId="11" fillId="0" borderId="0" xfId="5" applyNumberFormat="1"/>
    <xf numFmtId="0" fontId="28" fillId="0" borderId="21" xfId="5" applyFont="1" applyBorder="1" applyAlignment="1">
      <alignment horizontal="center"/>
    </xf>
    <xf numFmtId="3" fontId="28" fillId="0" borderId="67" xfId="5" applyNumberFormat="1" applyFont="1" applyBorder="1" applyAlignment="1">
      <alignment horizontal="center"/>
    </xf>
    <xf numFmtId="0" fontId="11" fillId="0" borderId="0" xfId="5" applyAlignment="1">
      <alignment horizontal="right"/>
    </xf>
    <xf numFmtId="3" fontId="11" fillId="0" borderId="0" xfId="5" applyNumberFormat="1" applyAlignment="1">
      <alignment horizontal="center"/>
    </xf>
    <xf numFmtId="0" fontId="71" fillId="0" borderId="0" xfId="26" applyFont="1"/>
    <xf numFmtId="0" fontId="5" fillId="0" borderId="0" xfId="26"/>
    <xf numFmtId="182" fontId="97" fillId="22" borderId="71" xfId="27" applyFont="1" applyFill="1" applyBorder="1" applyAlignment="1">
      <alignment horizontal="center" wrapText="1"/>
    </xf>
    <xf numFmtId="182" fontId="97" fillId="22" borderId="72" xfId="27" applyFont="1" applyFill="1" applyBorder="1" applyAlignment="1">
      <alignment horizontal="center" wrapText="1"/>
    </xf>
    <xf numFmtId="182" fontId="97" fillId="22" borderId="75" xfId="27" applyFont="1" applyFill="1" applyBorder="1" applyAlignment="1">
      <alignment horizontal="center" wrapText="1"/>
    </xf>
    <xf numFmtId="182" fontId="97" fillId="22" borderId="76" xfId="27" applyFont="1" applyFill="1" applyBorder="1" applyAlignment="1">
      <alignment horizontal="center" wrapText="1"/>
    </xf>
    <xf numFmtId="182" fontId="97" fillId="22" borderId="77" xfId="27" applyFont="1" applyFill="1" applyBorder="1" applyAlignment="1">
      <alignment horizontal="centerContinuous"/>
    </xf>
    <xf numFmtId="4" fontId="97" fillId="22" borderId="78" xfId="28" applyNumberFormat="1" applyFont="1" applyFill="1" applyBorder="1" applyAlignment="1">
      <alignment horizontal="center"/>
    </xf>
    <xf numFmtId="182" fontId="97" fillId="0" borderId="0" xfId="27" applyFont="1" applyAlignment="1">
      <alignment horizontal="center"/>
    </xf>
    <xf numFmtId="182" fontId="98" fillId="0" borderId="0" xfId="27" applyFont="1" applyAlignment="1">
      <alignment horizontal="center"/>
    </xf>
    <xf numFmtId="182" fontId="97" fillId="0" borderId="0" xfId="27" applyFont="1" applyAlignment="1">
      <alignment horizontal="centerContinuous"/>
    </xf>
    <xf numFmtId="0" fontId="99" fillId="0" borderId="0" xfId="29" applyFont="1"/>
    <xf numFmtId="4" fontId="97" fillId="0" borderId="0" xfId="28" applyNumberFormat="1" applyFont="1" applyAlignment="1">
      <alignment horizontal="center"/>
    </xf>
    <xf numFmtId="37" fontId="97" fillId="0" borderId="0" xfId="28" applyFont="1" applyAlignment="1">
      <alignment horizontal="left"/>
    </xf>
    <xf numFmtId="183" fontId="99" fillId="0" borderId="0" xfId="30" applyNumberFormat="1" applyFont="1" applyFill="1" applyBorder="1" applyAlignment="1">
      <alignment horizontal="center"/>
    </xf>
    <xf numFmtId="15" fontId="99" fillId="0" borderId="0" xfId="28" applyNumberFormat="1" applyFont="1" applyAlignment="1">
      <alignment horizontal="center"/>
    </xf>
    <xf numFmtId="49" fontId="99" fillId="0" borderId="0" xfId="28" applyNumberFormat="1" applyFont="1" applyAlignment="1">
      <alignment horizontal="center"/>
    </xf>
    <xf numFmtId="37" fontId="100" fillId="0" borderId="0" xfId="28" applyFont="1" applyAlignment="1">
      <alignment horizontal="right"/>
    </xf>
    <xf numFmtId="183" fontId="5" fillId="0" borderId="0" xfId="26" applyNumberFormat="1"/>
    <xf numFmtId="182" fontId="97" fillId="0" borderId="0" xfId="27" applyFont="1" applyAlignment="1">
      <alignment horizontal="left"/>
    </xf>
    <xf numFmtId="183" fontId="99" fillId="0" borderId="0" xfId="30" applyNumberFormat="1" applyFont="1" applyFill="1" applyAlignment="1">
      <alignment horizontal="center"/>
    </xf>
    <xf numFmtId="183" fontId="99" fillId="0" borderId="68" xfId="30" applyNumberFormat="1" applyFont="1" applyFill="1" applyBorder="1" applyAlignment="1">
      <alignment horizontal="center"/>
    </xf>
    <xf numFmtId="0" fontId="11" fillId="0" borderId="70" xfId="31" applyBorder="1" applyAlignment="1">
      <alignment vertical="center" shrinkToFit="1"/>
    </xf>
    <xf numFmtId="0" fontId="11" fillId="0" borderId="79" xfId="31" applyBorder="1" applyAlignment="1">
      <alignment vertical="center" shrinkToFit="1"/>
    </xf>
    <xf numFmtId="0" fontId="11" fillId="0" borderId="66" xfId="31" applyBorder="1" applyAlignment="1">
      <alignment vertical="center" shrinkToFit="1"/>
    </xf>
    <xf numFmtId="0" fontId="27" fillId="9" borderId="79" xfId="31" applyFont="1" applyFill="1" applyBorder="1" applyAlignment="1">
      <alignment vertical="center" shrinkToFit="1"/>
    </xf>
    <xf numFmtId="0" fontId="28" fillId="0" borderId="21" xfId="0" applyFont="1" applyBorder="1" applyAlignment="1">
      <alignment horizontal="center"/>
    </xf>
    <xf numFmtId="0" fontId="26" fillId="0" borderId="0" xfId="22" applyFont="1"/>
    <xf numFmtId="0" fontId="26" fillId="0" borderId="0" xfId="22" applyFont="1" applyAlignment="1">
      <alignment horizontal="center"/>
    </xf>
    <xf numFmtId="0" fontId="21" fillId="15" borderId="52" xfId="22" applyFont="1" applyFill="1" applyBorder="1" applyAlignment="1">
      <alignment horizontal="center"/>
    </xf>
    <xf numFmtId="0" fontId="11" fillId="4" borderId="0" xfId="22" applyFont="1" applyFill="1"/>
    <xf numFmtId="0" fontId="11" fillId="17" borderId="0" xfId="22" applyFont="1" applyFill="1"/>
    <xf numFmtId="0" fontId="21" fillId="0" borderId="0" xfId="22" applyFont="1"/>
    <xf numFmtId="0" fontId="21" fillId="14" borderId="47" xfId="22" applyFont="1" applyFill="1" applyBorder="1" applyAlignment="1">
      <alignment horizontal="center"/>
    </xf>
    <xf numFmtId="0" fontId="65" fillId="14" borderId="0" xfId="22" applyFont="1" applyFill="1" applyAlignment="1">
      <alignment horizontal="center"/>
    </xf>
    <xf numFmtId="0" fontId="21" fillId="14" borderId="0" xfId="22" applyFont="1" applyFill="1" applyAlignment="1">
      <alignment horizontal="center"/>
    </xf>
    <xf numFmtId="0" fontId="16" fillId="9" borderId="0" xfId="22" applyFont="1" applyFill="1" applyAlignment="1">
      <alignment horizontal="center"/>
    </xf>
    <xf numFmtId="0" fontId="26" fillId="3" borderId="23" xfId="22" applyFont="1" applyFill="1" applyBorder="1"/>
    <xf numFmtId="0" fontId="26" fillId="3" borderId="24" xfId="22" applyFont="1" applyFill="1" applyBorder="1" applyAlignment="1">
      <alignment horizontal="center"/>
    </xf>
    <xf numFmtId="0" fontId="21" fillId="7" borderId="49" xfId="22" applyFont="1" applyFill="1" applyBorder="1" applyAlignment="1">
      <alignment horizontal="center"/>
    </xf>
    <xf numFmtId="0" fontId="11" fillId="0" borderId="49" xfId="22" applyFont="1" applyBorder="1"/>
    <xf numFmtId="0" fontId="11" fillId="0" borderId="50" xfId="22" applyFont="1" applyBorder="1"/>
    <xf numFmtId="0" fontId="11" fillId="0" borderId="21" xfId="22" applyFont="1" applyBorder="1"/>
    <xf numFmtId="0" fontId="26" fillId="3" borderId="26" xfId="22" applyFont="1" applyFill="1" applyBorder="1"/>
    <xf numFmtId="0" fontId="26" fillId="3" borderId="0" xfId="22" applyFont="1" applyFill="1" applyAlignment="1">
      <alignment horizontal="center"/>
    </xf>
    <xf numFmtId="0" fontId="11" fillId="0" borderId="52" xfId="22" applyFont="1" applyBorder="1"/>
    <xf numFmtId="0" fontId="21" fillId="7" borderId="52" xfId="22" applyFont="1" applyFill="1" applyBorder="1" applyAlignment="1">
      <alignment horizontal="center"/>
    </xf>
    <xf numFmtId="0" fontId="11" fillId="0" borderId="53" xfId="22" applyFont="1" applyBorder="1"/>
    <xf numFmtId="0" fontId="15" fillId="3" borderId="26" xfId="22" applyFont="1" applyFill="1" applyBorder="1"/>
    <xf numFmtId="20" fontId="15" fillId="3" borderId="0" xfId="22" applyNumberFormat="1" applyFont="1" applyFill="1" applyAlignment="1">
      <alignment horizontal="center"/>
    </xf>
    <xf numFmtId="0" fontId="26" fillId="3" borderId="17" xfId="22" applyFont="1" applyFill="1" applyBorder="1"/>
    <xf numFmtId="0" fontId="26" fillId="3" borderId="18" xfId="22" applyFont="1" applyFill="1" applyBorder="1" applyAlignment="1">
      <alignment horizontal="center"/>
    </xf>
    <xf numFmtId="0" fontId="11" fillId="0" borderId="55" xfId="22" applyFont="1" applyBorder="1"/>
    <xf numFmtId="0" fontId="21" fillId="7" borderId="55" xfId="22" applyFont="1" applyFill="1" applyBorder="1" applyAlignment="1">
      <alignment horizontal="center"/>
    </xf>
    <xf numFmtId="0" fontId="11" fillId="0" borderId="56" xfId="22" applyFont="1" applyBorder="1"/>
    <xf numFmtId="0" fontId="21" fillId="0" borderId="49" xfId="22" applyFont="1" applyBorder="1" applyAlignment="1">
      <alignment horizontal="center"/>
    </xf>
    <xf numFmtId="0" fontId="21" fillId="0" borderId="55" xfId="22" applyFont="1" applyBorder="1" applyAlignment="1">
      <alignment horizontal="center"/>
    </xf>
    <xf numFmtId="20" fontId="26" fillId="3" borderId="0" xfId="22" applyNumberFormat="1" applyFont="1" applyFill="1" applyAlignment="1">
      <alignment horizontal="center"/>
    </xf>
    <xf numFmtId="0" fontId="21" fillId="0" borderId="52" xfId="22" applyFont="1" applyBorder="1" applyAlignment="1">
      <alignment horizontal="center"/>
    </xf>
    <xf numFmtId="0" fontId="21" fillId="7" borderId="57" xfId="22" applyFont="1" applyFill="1" applyBorder="1" applyAlignment="1">
      <alignment horizontal="center"/>
    </xf>
    <xf numFmtId="0" fontId="21" fillId="7" borderId="58" xfId="22" applyFont="1" applyFill="1" applyBorder="1" applyAlignment="1">
      <alignment horizontal="center"/>
    </xf>
    <xf numFmtId="0" fontId="21" fillId="7" borderId="59" xfId="22" applyFont="1" applyFill="1" applyBorder="1" applyAlignment="1">
      <alignment horizontal="center"/>
    </xf>
    <xf numFmtId="0" fontId="21" fillId="7" borderId="60" xfId="22" applyFont="1" applyFill="1" applyBorder="1" applyAlignment="1">
      <alignment horizontal="center"/>
    </xf>
    <xf numFmtId="0" fontId="21" fillId="7" borderId="61" xfId="22" applyFont="1" applyFill="1" applyBorder="1" applyAlignment="1">
      <alignment horizontal="center"/>
    </xf>
    <xf numFmtId="0" fontId="21" fillId="7" borderId="62" xfId="22" applyFont="1" applyFill="1" applyBorder="1" applyAlignment="1">
      <alignment horizontal="center"/>
    </xf>
    <xf numFmtId="0" fontId="11" fillId="0" borderId="63" xfId="22" applyFont="1" applyBorder="1"/>
    <xf numFmtId="0" fontId="21" fillId="7" borderId="18" xfId="22" applyFont="1" applyFill="1" applyBorder="1" applyAlignment="1">
      <alignment horizontal="center"/>
    </xf>
    <xf numFmtId="0" fontId="11" fillId="0" borderId="64" xfId="22" applyFont="1" applyBorder="1"/>
    <xf numFmtId="0" fontId="11" fillId="0" borderId="65" xfId="22" applyFont="1" applyBorder="1"/>
    <xf numFmtId="0" fontId="21" fillId="15" borderId="55" xfId="22" applyFont="1" applyFill="1" applyBorder="1" applyAlignment="1">
      <alignment horizontal="center"/>
    </xf>
    <xf numFmtId="0" fontId="26" fillId="3" borderId="24" xfId="22" applyFont="1" applyFill="1" applyBorder="1"/>
    <xf numFmtId="0" fontId="21" fillId="15" borderId="49" xfId="22" applyFont="1" applyFill="1" applyBorder="1" applyAlignment="1">
      <alignment horizontal="center"/>
    </xf>
    <xf numFmtId="0" fontId="26" fillId="3" borderId="0" xfId="22" applyFont="1" applyFill="1"/>
    <xf numFmtId="0" fontId="21" fillId="16" borderId="52" xfId="22" applyFont="1" applyFill="1" applyBorder="1" applyAlignment="1">
      <alignment horizontal="center"/>
    </xf>
    <xf numFmtId="0" fontId="26" fillId="3" borderId="18" xfId="22" applyFont="1" applyFill="1" applyBorder="1"/>
    <xf numFmtId="0" fontId="21" fillId="16" borderId="55" xfId="22" applyFont="1" applyFill="1" applyBorder="1" applyAlignment="1">
      <alignment horizontal="center"/>
    </xf>
    <xf numFmtId="0" fontId="11" fillId="0" borderId="21" xfId="5" applyBorder="1" applyAlignment="1">
      <alignment horizontal="center"/>
    </xf>
    <xf numFmtId="0" fontId="11" fillId="0" borderId="47" xfId="26" applyFont="1" applyBorder="1" applyAlignment="1">
      <alignment vertical="center" shrinkToFit="1"/>
    </xf>
    <xf numFmtId="0" fontId="11" fillId="0" borderId="18" xfId="26" applyFont="1" applyBorder="1" applyAlignment="1">
      <alignment vertical="center" shrinkToFit="1"/>
    </xf>
    <xf numFmtId="0" fontId="11" fillId="0" borderId="70" xfId="26" applyFont="1" applyBorder="1" applyAlignment="1">
      <alignment vertical="center" shrinkToFit="1"/>
    </xf>
    <xf numFmtId="0" fontId="26" fillId="0" borderId="26" xfId="11" applyFont="1" applyBorder="1"/>
    <xf numFmtId="0" fontId="11" fillId="0" borderId="0" xfId="26" applyFont="1" applyAlignment="1">
      <alignment vertical="center" shrinkToFit="1"/>
    </xf>
    <xf numFmtId="0" fontId="11" fillId="0" borderId="79" xfId="26" applyFont="1" applyBorder="1" applyAlignment="1">
      <alignment vertical="center" shrinkToFit="1"/>
    </xf>
    <xf numFmtId="0" fontId="11" fillId="0" borderId="66" xfId="26" applyFont="1" applyBorder="1" applyAlignment="1">
      <alignment vertical="center" shrinkToFit="1"/>
    </xf>
    <xf numFmtId="2" fontId="101" fillId="23" borderId="0" xfId="33" applyNumberFormat="1" applyFill="1" applyAlignment="1">
      <alignment horizontal="center"/>
    </xf>
    <xf numFmtId="0" fontId="101" fillId="0" borderId="0" xfId="33"/>
    <xf numFmtId="0" fontId="101" fillId="0" borderId="0" xfId="33" applyFill="1"/>
    <xf numFmtId="0" fontId="6" fillId="0" borderId="0" xfId="25" applyAlignment="1">
      <alignment horizontal="center" vertical="center" wrapText="1"/>
    </xf>
    <xf numFmtId="184" fontId="69" fillId="0" borderId="0" xfId="19" applyNumberFormat="1" applyFont="1"/>
    <xf numFmtId="178" fontId="69" fillId="0" borderId="0" xfId="19" applyNumberFormat="1" applyFont="1" applyAlignment="1">
      <alignment horizontal="center" wrapText="1"/>
    </xf>
    <xf numFmtId="0" fontId="12" fillId="0" borderId="0" xfId="0" applyFont="1" applyAlignment="1">
      <alignment vertical="center" wrapText="1"/>
    </xf>
    <xf numFmtId="0" fontId="6" fillId="0" borderId="0" xfId="25" applyAlignment="1">
      <alignment horizontal="right" vertical="center" wrapText="1"/>
    </xf>
    <xf numFmtId="0" fontId="2" fillId="0" borderId="0" xfId="25" applyFont="1"/>
    <xf numFmtId="0" fontId="2" fillId="0" borderId="0" xfId="25" applyFont="1" applyAlignment="1">
      <alignment horizontal="right" vertical="center" wrapText="1"/>
    </xf>
    <xf numFmtId="0" fontId="28" fillId="0" borderId="66" xfId="26" applyFont="1" applyBorder="1" applyAlignment="1">
      <alignment vertical="center" shrinkToFit="1"/>
    </xf>
    <xf numFmtId="0" fontId="103" fillId="0" borderId="66" xfId="26" applyFont="1" applyBorder="1" applyAlignment="1">
      <alignment vertical="center" shrinkToFit="1"/>
    </xf>
    <xf numFmtId="0" fontId="39" fillId="4" borderId="0" xfId="11" applyFont="1" applyFill="1"/>
    <xf numFmtId="0" fontId="8" fillId="4" borderId="26" xfId="11" applyFill="1" applyBorder="1"/>
    <xf numFmtId="164" fontId="29" fillId="4" borderId="0" xfId="11" applyNumberFormat="1" applyFont="1" applyFill="1"/>
    <xf numFmtId="9" fontId="31" fillId="4" borderId="0" xfId="2" applyFont="1" applyFill="1" applyBorder="1"/>
    <xf numFmtId="9" fontId="31" fillId="4" borderId="27" xfId="2" applyFont="1" applyFill="1" applyBorder="1"/>
    <xf numFmtId="43" fontId="8" fillId="4" borderId="0" xfId="1" applyFont="1" applyFill="1"/>
    <xf numFmtId="0" fontId="8" fillId="4" borderId="0" xfId="11" applyFill="1"/>
    <xf numFmtId="1" fontId="31" fillId="24" borderId="0" xfId="11" applyNumberFormat="1" applyFont="1" applyFill="1" applyAlignment="1">
      <alignment horizontal="center"/>
    </xf>
    <xf numFmtId="1" fontId="51" fillId="24" borderId="0" xfId="11" applyNumberFormat="1" applyFont="1" applyFill="1" applyAlignment="1">
      <alignment horizontal="center"/>
    </xf>
    <xf numFmtId="1" fontId="32" fillId="24" borderId="22" xfId="11" applyNumberFormat="1" applyFont="1" applyFill="1" applyBorder="1"/>
    <xf numFmtId="1" fontId="33" fillId="24" borderId="21" xfId="11" applyNumberFormat="1" applyFont="1" applyFill="1" applyBorder="1" applyAlignment="1">
      <alignment horizontal="center"/>
    </xf>
    <xf numFmtId="1" fontId="31" fillId="24" borderId="24" xfId="10" applyNumberFormat="1" applyFont="1" applyFill="1" applyBorder="1"/>
    <xf numFmtId="9" fontId="31" fillId="24" borderId="0" xfId="2" applyFont="1" applyFill="1" applyBorder="1"/>
    <xf numFmtId="9" fontId="32" fillId="24" borderId="0" xfId="2" applyFont="1" applyFill="1" applyBorder="1"/>
    <xf numFmtId="43" fontId="31" fillId="24" borderId="0" xfId="1" applyFont="1" applyFill="1" applyBorder="1"/>
    <xf numFmtId="1" fontId="31" fillId="24" borderId="18" xfId="10" applyNumberFormat="1" applyFont="1" applyFill="1" applyBorder="1"/>
    <xf numFmtId="9" fontId="32" fillId="24" borderId="24" xfId="2" applyFont="1" applyFill="1" applyBorder="1"/>
    <xf numFmtId="1" fontId="31" fillId="24" borderId="0" xfId="10" applyNumberFormat="1" applyFont="1" applyFill="1" applyBorder="1"/>
    <xf numFmtId="43" fontId="31" fillId="24" borderId="24" xfId="1" applyFont="1" applyFill="1" applyBorder="1"/>
    <xf numFmtId="9" fontId="32" fillId="24" borderId="29" xfId="2" applyFont="1" applyFill="1" applyBorder="1"/>
    <xf numFmtId="9" fontId="32" fillId="24" borderId="20" xfId="2" applyFont="1" applyFill="1" applyBorder="1"/>
    <xf numFmtId="43" fontId="31" fillId="24" borderId="0" xfId="1" applyFont="1" applyFill="1"/>
    <xf numFmtId="1" fontId="31" fillId="24" borderId="0" xfId="12" applyNumberFormat="1" applyFont="1" applyFill="1"/>
    <xf numFmtId="181" fontId="93" fillId="24" borderId="1" xfId="5" applyNumberFormat="1" applyFont="1" applyFill="1" applyBorder="1"/>
    <xf numFmtId="174" fontId="105" fillId="8" borderId="81" xfId="38" applyNumberFormat="1" applyFont="1" applyFill="1" applyBorder="1" applyAlignment="1">
      <alignment horizontal="center" vertical="center"/>
    </xf>
    <xf numFmtId="174" fontId="105" fillId="8" borderId="80" xfId="38" applyNumberFormat="1" applyFont="1" applyFill="1" applyBorder="1" applyAlignment="1">
      <alignment horizontal="center" vertical="center"/>
    </xf>
    <xf numFmtId="174" fontId="105" fillId="8" borderId="84" xfId="38" applyNumberFormat="1" applyFont="1" applyFill="1" applyBorder="1" applyAlignment="1">
      <alignment horizontal="center" vertical="center"/>
    </xf>
    <xf numFmtId="174" fontId="105" fillId="8" borderId="85" xfId="38" applyNumberFormat="1" applyFont="1" applyFill="1" applyBorder="1" applyAlignment="1">
      <alignment horizontal="center" vertical="center"/>
    </xf>
    <xf numFmtId="174" fontId="104" fillId="0" borderId="84" xfId="38" applyNumberFormat="1" applyFont="1" applyBorder="1" applyAlignment="1">
      <alignment horizontal="center" vertical="center"/>
    </xf>
    <xf numFmtId="174" fontId="104" fillId="0" borderId="83" xfId="38" applyNumberFormat="1" applyFont="1" applyBorder="1" applyAlignment="1">
      <alignment horizontal="center" vertical="center"/>
    </xf>
    <xf numFmtId="174" fontId="104" fillId="0" borderId="82" xfId="38" applyNumberFormat="1" applyFont="1" applyBorder="1" applyAlignment="1">
      <alignment horizontal="center" vertical="center"/>
    </xf>
    <xf numFmtId="174" fontId="104" fillId="0" borderId="81" xfId="38" applyNumberFormat="1" applyFont="1" applyBorder="1" applyAlignment="1">
      <alignment horizontal="center" vertical="center"/>
    </xf>
    <xf numFmtId="174" fontId="104" fillId="0" borderId="80" xfId="38" applyNumberFormat="1" applyFont="1" applyBorder="1" applyAlignment="1">
      <alignment horizontal="center" vertical="center"/>
    </xf>
    <xf numFmtId="174" fontId="104" fillId="0" borderId="0" xfId="38" applyNumberFormat="1" applyFont="1" applyAlignment="1">
      <alignment horizontal="center" vertical="center"/>
    </xf>
    <xf numFmtId="174" fontId="105" fillId="0" borderId="0" xfId="38" applyNumberFormat="1" applyFont="1" applyAlignment="1">
      <alignment horizontal="center" vertical="center"/>
    </xf>
    <xf numFmtId="174" fontId="105" fillId="8" borderId="81" xfId="39" applyNumberFormat="1" applyFont="1" applyFill="1" applyBorder="1" applyAlignment="1">
      <alignment horizontal="center" vertical="center"/>
    </xf>
    <xf numFmtId="174" fontId="105" fillId="8" borderId="80" xfId="39" applyNumberFormat="1" applyFont="1" applyFill="1" applyBorder="1" applyAlignment="1">
      <alignment horizontal="center" vertical="center"/>
    </xf>
    <xf numFmtId="174" fontId="105" fillId="8" borderId="83" xfId="39" applyNumberFormat="1" applyFont="1" applyFill="1" applyBorder="1" applyAlignment="1">
      <alignment horizontal="center" vertical="center"/>
    </xf>
    <xf numFmtId="174" fontId="105" fillId="8" borderId="84" xfId="39" applyNumberFormat="1" applyFont="1" applyFill="1" applyBorder="1" applyAlignment="1">
      <alignment horizontal="center" vertical="center"/>
    </xf>
    <xf numFmtId="174" fontId="105" fillId="8" borderId="85" xfId="39" applyNumberFormat="1" applyFont="1" applyFill="1" applyBorder="1" applyAlignment="1">
      <alignment horizontal="center" vertical="center"/>
    </xf>
    <xf numFmtId="174" fontId="105" fillId="8" borderId="82" xfId="39" applyNumberFormat="1" applyFont="1" applyFill="1" applyBorder="1" applyAlignment="1">
      <alignment horizontal="center" vertical="center"/>
    </xf>
    <xf numFmtId="174" fontId="104" fillId="0" borderId="82" xfId="39" applyNumberFormat="1" applyFont="1" applyBorder="1" applyAlignment="1">
      <alignment horizontal="center" vertical="center"/>
    </xf>
    <xf numFmtId="174" fontId="104" fillId="0" borderId="81" xfId="39" applyNumberFormat="1" applyFont="1" applyBorder="1" applyAlignment="1">
      <alignment horizontal="center" vertical="center"/>
    </xf>
    <xf numFmtId="174" fontId="104" fillId="0" borderId="80" xfId="39" applyNumberFormat="1" applyFont="1" applyBorder="1" applyAlignment="1">
      <alignment horizontal="center" vertical="center"/>
    </xf>
    <xf numFmtId="174" fontId="105" fillId="8" borderId="81" xfId="40" applyNumberFormat="1" applyFont="1" applyFill="1" applyBorder="1" applyAlignment="1">
      <alignment horizontal="center" vertical="center"/>
    </xf>
    <xf numFmtId="174" fontId="105" fillId="8" borderId="80" xfId="40" applyNumberFormat="1" applyFont="1" applyFill="1" applyBorder="1" applyAlignment="1">
      <alignment horizontal="center" vertical="center"/>
    </xf>
    <xf numFmtId="174" fontId="105" fillId="8" borderId="83" xfId="40" applyNumberFormat="1" applyFont="1" applyFill="1" applyBorder="1" applyAlignment="1">
      <alignment horizontal="center" vertical="center"/>
    </xf>
    <xf numFmtId="174" fontId="105" fillId="8" borderId="84" xfId="40" applyNumberFormat="1" applyFont="1" applyFill="1" applyBorder="1" applyAlignment="1">
      <alignment horizontal="center" vertical="center"/>
    </xf>
    <xf numFmtId="174" fontId="105" fillId="8" borderId="85" xfId="40" applyNumberFormat="1" applyFont="1" applyFill="1" applyBorder="1" applyAlignment="1">
      <alignment horizontal="center" vertical="center"/>
    </xf>
    <xf numFmtId="174" fontId="105" fillId="8" borderId="82" xfId="40" applyNumberFormat="1" applyFont="1" applyFill="1" applyBorder="1" applyAlignment="1">
      <alignment horizontal="center" vertical="center"/>
    </xf>
    <xf numFmtId="174" fontId="104" fillId="0" borderId="82" xfId="40" applyNumberFormat="1" applyFont="1" applyBorder="1" applyAlignment="1">
      <alignment horizontal="center" vertical="center"/>
    </xf>
    <xf numFmtId="174" fontId="104" fillId="0" borderId="81" xfId="40" applyNumberFormat="1" applyFont="1" applyBorder="1" applyAlignment="1">
      <alignment horizontal="center" vertical="center"/>
    </xf>
    <xf numFmtId="174" fontId="104" fillId="0" borderId="80" xfId="40" applyNumberFormat="1" applyFont="1" applyBorder="1" applyAlignment="1">
      <alignment horizontal="center" vertical="center"/>
    </xf>
    <xf numFmtId="174" fontId="105" fillId="8" borderId="81" xfId="41" applyNumberFormat="1" applyFont="1" applyFill="1" applyBorder="1" applyAlignment="1">
      <alignment horizontal="center" vertical="center"/>
    </xf>
    <xf numFmtId="174" fontId="105" fillId="8" borderId="80" xfId="41" applyNumberFormat="1" applyFont="1" applyFill="1" applyBorder="1" applyAlignment="1">
      <alignment horizontal="center" vertical="center"/>
    </xf>
    <xf numFmtId="174" fontId="105" fillId="8" borderId="83" xfId="41" applyNumberFormat="1" applyFont="1" applyFill="1" applyBorder="1" applyAlignment="1">
      <alignment horizontal="center" vertical="center"/>
    </xf>
    <xf numFmtId="174" fontId="105" fillId="8" borderId="84" xfId="41" applyNumberFormat="1" applyFont="1" applyFill="1" applyBorder="1" applyAlignment="1">
      <alignment horizontal="center" vertical="center"/>
    </xf>
    <xf numFmtId="174" fontId="105" fillId="8" borderId="85" xfId="41" applyNumberFormat="1" applyFont="1" applyFill="1" applyBorder="1" applyAlignment="1">
      <alignment horizontal="center" vertical="center"/>
    </xf>
    <xf numFmtId="174" fontId="104" fillId="0" borderId="82" xfId="41" applyNumberFormat="1" applyFont="1" applyBorder="1" applyAlignment="1">
      <alignment horizontal="center" vertical="center"/>
    </xf>
    <xf numFmtId="174" fontId="104" fillId="0" borderId="81" xfId="41" applyNumberFormat="1" applyFont="1" applyBorder="1" applyAlignment="1">
      <alignment horizontal="center" vertical="center"/>
    </xf>
    <xf numFmtId="174" fontId="104" fillId="0" borderId="80" xfId="41" applyNumberFormat="1" applyFont="1" applyBorder="1" applyAlignment="1">
      <alignment horizontal="center" vertical="center"/>
    </xf>
    <xf numFmtId="174" fontId="105" fillId="8" borderId="80" xfId="42" applyNumberFormat="1" applyFont="1" applyFill="1" applyBorder="1" applyAlignment="1">
      <alignment horizontal="center" vertical="center"/>
    </xf>
    <xf numFmtId="174" fontId="105" fillId="8" borderId="83" xfId="42" applyNumberFormat="1" applyFont="1" applyFill="1" applyBorder="1" applyAlignment="1">
      <alignment horizontal="center" vertical="center"/>
    </xf>
    <xf numFmtId="174" fontId="105" fillId="8" borderId="84" xfId="42" applyNumberFormat="1" applyFont="1" applyFill="1" applyBorder="1" applyAlignment="1">
      <alignment horizontal="center" vertical="center"/>
    </xf>
    <xf numFmtId="174" fontId="105" fillId="8" borderId="85" xfId="42" applyNumberFormat="1" applyFont="1" applyFill="1" applyBorder="1" applyAlignment="1">
      <alignment horizontal="center" vertical="center"/>
    </xf>
    <xf numFmtId="174" fontId="105" fillId="8" borderId="82" xfId="42" applyNumberFormat="1" applyFont="1" applyFill="1" applyBorder="1" applyAlignment="1">
      <alignment horizontal="center" vertical="center"/>
    </xf>
    <xf numFmtId="174" fontId="104" fillId="0" borderId="82" xfId="42" applyNumberFormat="1" applyFont="1" applyBorder="1" applyAlignment="1">
      <alignment horizontal="center" vertical="center"/>
    </xf>
    <xf numFmtId="174" fontId="104" fillId="0" borderId="81" xfId="42" applyNumberFormat="1" applyFont="1" applyBorder="1" applyAlignment="1">
      <alignment horizontal="center" vertical="center"/>
    </xf>
    <xf numFmtId="174" fontId="104" fillId="0" borderId="80" xfId="42" applyNumberFormat="1" applyFont="1" applyBorder="1" applyAlignment="1">
      <alignment horizontal="center" vertical="center"/>
    </xf>
    <xf numFmtId="174" fontId="105" fillId="8" borderId="81" xfId="43" applyNumberFormat="1" applyFont="1" applyFill="1" applyBorder="1" applyAlignment="1">
      <alignment horizontal="center" vertical="center"/>
    </xf>
    <xf numFmtId="174" fontId="105" fillId="8" borderId="80" xfId="43" applyNumberFormat="1" applyFont="1" applyFill="1" applyBorder="1" applyAlignment="1">
      <alignment horizontal="center" vertical="center"/>
    </xf>
    <xf numFmtId="174" fontId="105" fillId="8" borderId="83" xfId="43" applyNumberFormat="1" applyFont="1" applyFill="1" applyBorder="1" applyAlignment="1">
      <alignment horizontal="center" vertical="center"/>
    </xf>
    <xf numFmtId="174" fontId="105" fillId="8" borderId="84" xfId="43" applyNumberFormat="1" applyFont="1" applyFill="1" applyBorder="1" applyAlignment="1">
      <alignment horizontal="center" vertical="center"/>
    </xf>
    <xf numFmtId="174" fontId="105" fillId="8" borderId="85" xfId="43" applyNumberFormat="1" applyFont="1" applyFill="1" applyBorder="1" applyAlignment="1">
      <alignment horizontal="center" vertical="center"/>
    </xf>
    <xf numFmtId="174" fontId="105" fillId="8" borderId="82" xfId="43" applyNumberFormat="1" applyFont="1" applyFill="1" applyBorder="1" applyAlignment="1">
      <alignment horizontal="center" vertical="center"/>
    </xf>
    <xf numFmtId="174" fontId="104" fillId="0" borderId="82" xfId="43" applyNumberFormat="1" applyFont="1" applyBorder="1" applyAlignment="1">
      <alignment horizontal="center" vertical="center"/>
    </xf>
    <xf numFmtId="174" fontId="104" fillId="0" borderId="81" xfId="43" applyNumberFormat="1" applyFont="1" applyBorder="1" applyAlignment="1">
      <alignment horizontal="center" vertical="center"/>
    </xf>
    <xf numFmtId="174" fontId="104" fillId="0" borderId="80" xfId="43" applyNumberFormat="1" applyFont="1" applyBorder="1" applyAlignment="1">
      <alignment horizontal="center" vertical="center"/>
    </xf>
    <xf numFmtId="174" fontId="105" fillId="8" borderId="81" xfId="44" applyNumberFormat="1" applyFont="1" applyFill="1" applyBorder="1" applyAlignment="1">
      <alignment horizontal="center" vertical="center"/>
    </xf>
    <xf numFmtId="174" fontId="105" fillId="8" borderId="80" xfId="44" applyNumberFormat="1" applyFont="1" applyFill="1" applyBorder="1" applyAlignment="1">
      <alignment horizontal="center" vertical="center"/>
    </xf>
    <xf numFmtId="174" fontId="105" fillId="8" borderId="84" xfId="44" applyNumberFormat="1" applyFont="1" applyFill="1" applyBorder="1" applyAlignment="1">
      <alignment horizontal="center" vertical="center"/>
    </xf>
    <xf numFmtId="174" fontId="105" fillId="8" borderId="85" xfId="44" applyNumberFormat="1" applyFont="1" applyFill="1" applyBorder="1" applyAlignment="1">
      <alignment horizontal="center" vertical="center"/>
    </xf>
    <xf numFmtId="174" fontId="104" fillId="0" borderId="83" xfId="44" applyNumberFormat="1" applyFont="1" applyBorder="1" applyAlignment="1">
      <alignment horizontal="center" vertical="center"/>
    </xf>
    <xf numFmtId="174" fontId="104" fillId="0" borderId="82" xfId="44" applyNumberFormat="1" applyFont="1" applyBorder="1" applyAlignment="1">
      <alignment horizontal="center" vertical="center"/>
    </xf>
    <xf numFmtId="174" fontId="104" fillId="0" borderId="81" xfId="44" applyNumberFormat="1" applyFont="1" applyBorder="1" applyAlignment="1">
      <alignment horizontal="center" vertical="center"/>
    </xf>
    <xf numFmtId="174" fontId="104" fillId="0" borderId="80" xfId="44" applyNumberFormat="1" applyFont="1" applyBorder="1" applyAlignment="1">
      <alignment horizontal="center" vertical="center"/>
    </xf>
    <xf numFmtId="174" fontId="105" fillId="8" borderId="81" xfId="45" applyNumberFormat="1" applyFont="1" applyFill="1" applyBorder="1" applyAlignment="1">
      <alignment horizontal="center" vertical="center"/>
    </xf>
    <xf numFmtId="174" fontId="105" fillId="8" borderId="80" xfId="45" applyNumberFormat="1" applyFont="1" applyFill="1" applyBorder="1" applyAlignment="1">
      <alignment horizontal="center" vertical="center"/>
    </xf>
    <xf numFmtId="174" fontId="105" fillId="8" borderId="83" xfId="45" applyNumberFormat="1" applyFont="1" applyFill="1" applyBorder="1" applyAlignment="1">
      <alignment horizontal="center" vertical="center"/>
    </xf>
    <xf numFmtId="174" fontId="105" fillId="8" borderId="84" xfId="45" applyNumberFormat="1" applyFont="1" applyFill="1" applyBorder="1" applyAlignment="1">
      <alignment horizontal="center" vertical="center"/>
    </xf>
    <xf numFmtId="174" fontId="105" fillId="8" borderId="85" xfId="45" applyNumberFormat="1" applyFont="1" applyFill="1" applyBorder="1" applyAlignment="1">
      <alignment horizontal="center" vertical="center"/>
    </xf>
    <xf numFmtId="174" fontId="105" fillId="8" borderId="82" xfId="45" applyNumberFormat="1" applyFont="1" applyFill="1" applyBorder="1" applyAlignment="1">
      <alignment horizontal="center" vertical="center"/>
    </xf>
    <xf numFmtId="174" fontId="104" fillId="0" borderId="82" xfId="45" applyNumberFormat="1" applyFont="1" applyBorder="1" applyAlignment="1">
      <alignment horizontal="center" vertical="center"/>
    </xf>
    <xf numFmtId="174" fontId="104" fillId="0" borderId="81" xfId="45" applyNumberFormat="1" applyFont="1" applyBorder="1" applyAlignment="1">
      <alignment horizontal="center" vertical="center"/>
    </xf>
    <xf numFmtId="174" fontId="104" fillId="0" borderId="80" xfId="45" applyNumberFormat="1" applyFont="1" applyBorder="1" applyAlignment="1">
      <alignment horizontal="center" vertical="center"/>
    </xf>
    <xf numFmtId="174" fontId="105" fillId="8" borderId="81" xfId="46" applyNumberFormat="1" applyFont="1" applyFill="1" applyBorder="1" applyAlignment="1">
      <alignment horizontal="center" vertical="center"/>
    </xf>
    <xf numFmtId="174" fontId="105" fillId="8" borderId="80" xfId="46" applyNumberFormat="1" applyFont="1" applyFill="1" applyBorder="1" applyAlignment="1">
      <alignment horizontal="center" vertical="center"/>
    </xf>
    <xf numFmtId="174" fontId="105" fillId="8" borderId="83" xfId="46" applyNumberFormat="1" applyFont="1" applyFill="1" applyBorder="1" applyAlignment="1">
      <alignment horizontal="center" vertical="center"/>
    </xf>
    <xf numFmtId="174" fontId="105" fillId="8" borderId="84" xfId="46" applyNumberFormat="1" applyFont="1" applyFill="1" applyBorder="1" applyAlignment="1">
      <alignment horizontal="center" vertical="center"/>
    </xf>
    <xf numFmtId="174" fontId="105" fillId="8" borderId="85" xfId="46" applyNumberFormat="1" applyFont="1" applyFill="1" applyBorder="1" applyAlignment="1">
      <alignment horizontal="center" vertical="center"/>
    </xf>
    <xf numFmtId="174" fontId="105" fillId="8" borderId="82" xfId="46" applyNumberFormat="1" applyFont="1" applyFill="1" applyBorder="1" applyAlignment="1">
      <alignment horizontal="center" vertical="center"/>
    </xf>
    <xf numFmtId="174" fontId="104" fillId="0" borderId="82" xfId="46" applyNumberFormat="1" applyFont="1" applyBorder="1" applyAlignment="1">
      <alignment horizontal="center" vertical="center"/>
    </xf>
    <xf numFmtId="174" fontId="104" fillId="0" borderId="81" xfId="46" applyNumberFormat="1" applyFont="1" applyBorder="1" applyAlignment="1">
      <alignment horizontal="center" vertical="center"/>
    </xf>
    <xf numFmtId="174" fontId="104" fillId="0" borderId="80" xfId="46" applyNumberFormat="1" applyFont="1" applyBorder="1" applyAlignment="1">
      <alignment horizontal="center" vertical="center"/>
    </xf>
    <xf numFmtId="174" fontId="105" fillId="8" borderId="0" xfId="46" applyNumberFormat="1" applyFont="1" applyFill="1" applyAlignment="1">
      <alignment horizontal="center" vertical="center"/>
    </xf>
    <xf numFmtId="174" fontId="105" fillId="8" borderId="81" xfId="47" applyNumberFormat="1" applyFont="1" applyFill="1" applyBorder="1" applyAlignment="1">
      <alignment horizontal="center" vertical="center"/>
    </xf>
    <xf numFmtId="174" fontId="105" fillId="8" borderId="80" xfId="47" applyNumberFormat="1" applyFont="1" applyFill="1" applyBorder="1" applyAlignment="1">
      <alignment horizontal="center" vertical="center"/>
    </xf>
    <xf numFmtId="174" fontId="105" fillId="8" borderId="84" xfId="47" applyNumberFormat="1" applyFont="1" applyFill="1" applyBorder="1" applyAlignment="1">
      <alignment horizontal="center" vertical="center"/>
    </xf>
    <xf numFmtId="174" fontId="105" fillId="8" borderId="85" xfId="47" applyNumberFormat="1" applyFont="1" applyFill="1" applyBorder="1" applyAlignment="1">
      <alignment horizontal="center" vertical="center"/>
    </xf>
    <xf numFmtId="174" fontId="104" fillId="0" borderId="84" xfId="47" applyNumberFormat="1" applyFont="1" applyBorder="1" applyAlignment="1">
      <alignment horizontal="center" vertical="center"/>
    </xf>
    <xf numFmtId="174" fontId="104" fillId="0" borderId="83" xfId="47" applyNumberFormat="1" applyFont="1" applyBorder="1" applyAlignment="1">
      <alignment horizontal="center" vertical="center"/>
    </xf>
    <xf numFmtId="174" fontId="104" fillId="0" borderId="82" xfId="47" applyNumberFormat="1" applyFont="1" applyBorder="1" applyAlignment="1">
      <alignment horizontal="center" vertical="center"/>
    </xf>
    <xf numFmtId="174" fontId="104" fillId="0" borderId="81" xfId="47" applyNumberFormat="1" applyFont="1" applyBorder="1" applyAlignment="1">
      <alignment horizontal="center" vertical="center"/>
    </xf>
    <xf numFmtId="174" fontId="104" fillId="0" borderId="80" xfId="47" applyNumberFormat="1" applyFont="1" applyBorder="1" applyAlignment="1">
      <alignment horizontal="center" vertical="center"/>
    </xf>
    <xf numFmtId="174" fontId="105" fillId="8" borderId="81" xfId="48" applyNumberFormat="1" applyFont="1" applyFill="1" applyBorder="1" applyAlignment="1">
      <alignment horizontal="center" vertical="center"/>
    </xf>
    <xf numFmtId="174" fontId="105" fillId="8" borderId="80" xfId="48" applyNumberFormat="1" applyFont="1" applyFill="1" applyBorder="1" applyAlignment="1">
      <alignment horizontal="center" vertical="center"/>
    </xf>
    <xf numFmtId="174" fontId="105" fillId="8" borderId="83" xfId="48" applyNumberFormat="1" applyFont="1" applyFill="1" applyBorder="1" applyAlignment="1">
      <alignment horizontal="center" vertical="center"/>
    </xf>
    <xf numFmtId="174" fontId="105" fillId="8" borderId="84" xfId="48" applyNumberFormat="1" applyFont="1" applyFill="1" applyBorder="1" applyAlignment="1">
      <alignment horizontal="center" vertical="center"/>
    </xf>
    <xf numFmtId="174" fontId="105" fillId="8" borderId="85" xfId="48" applyNumberFormat="1" applyFont="1" applyFill="1" applyBorder="1" applyAlignment="1">
      <alignment horizontal="center" vertical="center"/>
    </xf>
    <xf numFmtId="174" fontId="105" fillId="8" borderId="82" xfId="48" applyNumberFormat="1" applyFont="1" applyFill="1" applyBorder="1" applyAlignment="1">
      <alignment horizontal="center" vertical="center"/>
    </xf>
    <xf numFmtId="174" fontId="104" fillId="0" borderId="82" xfId="48" applyNumberFormat="1" applyFont="1" applyBorder="1" applyAlignment="1">
      <alignment horizontal="center" vertical="center"/>
    </xf>
    <xf numFmtId="174" fontId="104" fillId="0" borderId="81" xfId="48" applyNumberFormat="1" applyFont="1" applyBorder="1" applyAlignment="1">
      <alignment horizontal="center" vertical="center"/>
    </xf>
    <xf numFmtId="174" fontId="104" fillId="0" borderId="80" xfId="48" applyNumberFormat="1" applyFont="1" applyBorder="1" applyAlignment="1">
      <alignment horizontal="center" vertical="center"/>
    </xf>
    <xf numFmtId="174" fontId="105" fillId="8" borderId="81" xfId="49" applyNumberFormat="1" applyFont="1" applyFill="1" applyBorder="1" applyAlignment="1">
      <alignment horizontal="center" vertical="center"/>
    </xf>
    <xf numFmtId="174" fontId="105" fillId="8" borderId="80" xfId="49" applyNumberFormat="1" applyFont="1" applyFill="1" applyBorder="1" applyAlignment="1">
      <alignment horizontal="center" vertical="center"/>
    </xf>
    <xf numFmtId="174" fontId="105" fillId="8" borderId="83" xfId="49" applyNumberFormat="1" applyFont="1" applyFill="1" applyBorder="1" applyAlignment="1">
      <alignment horizontal="center" vertical="center"/>
    </xf>
    <xf numFmtId="174" fontId="105" fillId="8" borderId="84" xfId="49" applyNumberFormat="1" applyFont="1" applyFill="1" applyBorder="1" applyAlignment="1">
      <alignment horizontal="center" vertical="center"/>
    </xf>
    <xf numFmtId="174" fontId="105" fillId="8" borderId="85" xfId="49" applyNumberFormat="1" applyFont="1" applyFill="1" applyBorder="1" applyAlignment="1">
      <alignment horizontal="center" vertical="center"/>
    </xf>
    <xf numFmtId="174" fontId="104" fillId="0" borderId="82" xfId="49" applyNumberFormat="1" applyFont="1" applyBorder="1" applyAlignment="1">
      <alignment horizontal="center" vertical="center"/>
    </xf>
    <xf numFmtId="174" fontId="104" fillId="0" borderId="81" xfId="49" applyNumberFormat="1" applyFont="1" applyBorder="1" applyAlignment="1">
      <alignment horizontal="center" vertical="center"/>
    </xf>
    <xf numFmtId="174" fontId="104" fillId="0" borderId="80" xfId="49" applyNumberFormat="1" applyFont="1" applyBorder="1" applyAlignment="1">
      <alignment horizontal="center" vertical="center"/>
    </xf>
    <xf numFmtId="0" fontId="6" fillId="4" borderId="0" xfId="25" applyFill="1" applyAlignment="1">
      <alignment horizontal="center" vertical="center" wrapText="1"/>
    </xf>
    <xf numFmtId="0" fontId="106" fillId="21" borderId="0" xfId="0" applyFont="1" applyFill="1" applyAlignment="1">
      <alignment horizontal="right"/>
    </xf>
    <xf numFmtId="181" fontId="106" fillId="21" borderId="0" xfId="0" applyNumberFormat="1" applyFont="1" applyFill="1" applyAlignment="1">
      <alignment horizontal="right"/>
    </xf>
    <xf numFmtId="0" fontId="106" fillId="13" borderId="0" xfId="0" applyFont="1" applyFill="1" applyAlignment="1">
      <alignment horizontal="right"/>
    </xf>
    <xf numFmtId="181" fontId="106" fillId="13" borderId="0" xfId="0" applyNumberFormat="1" applyFont="1" applyFill="1" applyAlignment="1">
      <alignment horizontal="right"/>
    </xf>
    <xf numFmtId="0" fontId="107" fillId="0" borderId="0" xfId="33" applyFont="1"/>
    <xf numFmtId="14" fontId="106" fillId="21" borderId="0" xfId="0" applyNumberFormat="1" applyFont="1" applyFill="1" applyAlignment="1">
      <alignment horizontal="right"/>
    </xf>
    <xf numFmtId="14" fontId="106" fillId="13" borderId="0" xfId="0" applyNumberFormat="1" applyFont="1" applyFill="1" applyAlignment="1">
      <alignment horizontal="right"/>
    </xf>
    <xf numFmtId="0" fontId="30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15" fillId="6" borderId="7" xfId="4" applyFont="1" applyFill="1" applyBorder="1" applyAlignment="1">
      <alignment horizontal="center"/>
    </xf>
    <xf numFmtId="0" fontId="15" fillId="6" borderId="8" xfId="4" applyFont="1" applyFill="1" applyBorder="1" applyAlignment="1">
      <alignment horizontal="center"/>
    </xf>
    <xf numFmtId="0" fontId="15" fillId="6" borderId="9" xfId="4" applyFont="1" applyFill="1" applyBorder="1" applyAlignment="1">
      <alignment horizontal="center"/>
    </xf>
    <xf numFmtId="0" fontId="15" fillId="0" borderId="0" xfId="4" applyFont="1" applyAlignment="1">
      <alignment horizontal="center"/>
    </xf>
    <xf numFmtId="0" fontId="15" fillId="0" borderId="2" xfId="4" applyFont="1" applyBorder="1" applyAlignment="1">
      <alignment horizontal="center"/>
    </xf>
    <xf numFmtId="17" fontId="15" fillId="0" borderId="10" xfId="4" applyNumberFormat="1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5" fillId="0" borderId="11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4" fillId="0" borderId="12" xfId="4" applyFont="1" applyBorder="1" applyAlignment="1">
      <alignment horizontal="left" vertical="center"/>
    </xf>
    <xf numFmtId="0" fontId="14" fillId="0" borderId="7" xfId="4" applyFont="1" applyBorder="1" applyAlignment="1">
      <alignment horizontal="left" vertical="center"/>
    </xf>
    <xf numFmtId="0" fontId="14" fillId="0" borderId="8" xfId="4" applyFont="1" applyBorder="1" applyAlignment="1">
      <alignment horizontal="left" vertical="center"/>
    </xf>
    <xf numFmtId="0" fontId="14" fillId="0" borderId="9" xfId="4" applyFont="1" applyBorder="1" applyAlignment="1">
      <alignment horizontal="left" vertical="center"/>
    </xf>
    <xf numFmtId="0" fontId="15" fillId="0" borderId="3" xfId="4" applyFont="1" applyBorder="1" applyAlignment="1">
      <alignment horizontal="center"/>
    </xf>
    <xf numFmtId="0" fontId="15" fillId="0" borderId="4" xfId="4" applyFont="1" applyBorder="1" applyAlignment="1">
      <alignment horizontal="center"/>
    </xf>
    <xf numFmtId="0" fontId="15" fillId="0" borderId="5" xfId="4" applyFont="1" applyBorder="1" applyAlignment="1">
      <alignment horizontal="center"/>
    </xf>
    <xf numFmtId="0" fontId="15" fillId="0" borderId="10" xfId="4" applyFont="1" applyBorder="1" applyAlignment="1">
      <alignment horizontal="center"/>
    </xf>
    <xf numFmtId="0" fontId="21" fillId="0" borderId="6" xfId="4" applyFont="1" applyBorder="1" applyAlignment="1">
      <alignment horizontal="center"/>
    </xf>
    <xf numFmtId="0" fontId="21" fillId="0" borderId="13" xfId="4" applyFont="1" applyBorder="1" applyAlignment="1">
      <alignment horizontal="center"/>
    </xf>
    <xf numFmtId="0" fontId="15" fillId="0" borderId="14" xfId="4" applyFont="1" applyBorder="1" applyAlignment="1">
      <alignment horizontal="center"/>
    </xf>
    <xf numFmtId="0" fontId="15" fillId="0" borderId="15" xfId="4" applyFont="1" applyBorder="1" applyAlignment="1">
      <alignment horizontal="center"/>
    </xf>
    <xf numFmtId="0" fontId="15" fillId="0" borderId="16" xfId="4" applyFont="1" applyBorder="1" applyAlignment="1">
      <alignment horizontal="center"/>
    </xf>
    <xf numFmtId="0" fontId="21" fillId="0" borderId="5" xfId="4" applyFont="1" applyBorder="1" applyAlignment="1">
      <alignment horizontal="center"/>
    </xf>
    <xf numFmtId="0" fontId="21" fillId="0" borderId="16" xfId="4" applyFont="1" applyBorder="1" applyAlignment="1">
      <alignment horizontal="center"/>
    </xf>
    <xf numFmtId="0" fontId="21" fillId="0" borderId="37" xfId="4" applyFont="1" applyBorder="1" applyAlignment="1">
      <alignment horizontal="center"/>
    </xf>
    <xf numFmtId="0" fontId="21" fillId="0" borderId="38" xfId="4" applyFont="1" applyBorder="1" applyAlignment="1">
      <alignment horizontal="center"/>
    </xf>
    <xf numFmtId="0" fontId="14" fillId="6" borderId="3" xfId="4" applyFont="1" applyFill="1" applyBorder="1" applyAlignment="1">
      <alignment horizontal="center"/>
    </xf>
    <xf numFmtId="0" fontId="14" fillId="6" borderId="4" xfId="4" applyFont="1" applyFill="1" applyBorder="1" applyAlignment="1">
      <alignment horizontal="center"/>
    </xf>
    <xf numFmtId="0" fontId="14" fillId="6" borderId="5" xfId="4" applyFont="1" applyFill="1" applyBorder="1" applyAlignment="1">
      <alignment horizontal="center"/>
    </xf>
    <xf numFmtId="0" fontId="15" fillId="6" borderId="3" xfId="4" applyFont="1" applyFill="1" applyBorder="1" applyAlignment="1">
      <alignment horizontal="center"/>
    </xf>
    <xf numFmtId="0" fontId="15" fillId="6" borderId="4" xfId="4" applyFont="1" applyFill="1" applyBorder="1" applyAlignment="1">
      <alignment horizontal="center"/>
    </xf>
    <xf numFmtId="0" fontId="15" fillId="6" borderId="5" xfId="4" applyFont="1" applyFill="1" applyBorder="1" applyAlignment="1">
      <alignment horizontal="center"/>
    </xf>
    <xf numFmtId="0" fontId="54" fillId="5" borderId="0" xfId="4" quotePrefix="1" applyFont="1" applyFill="1" applyAlignment="1">
      <alignment horizontal="center" vertical="center"/>
    </xf>
    <xf numFmtId="0" fontId="54" fillId="5" borderId="0" xfId="4" applyFont="1" applyFill="1" applyAlignment="1">
      <alignment horizontal="center" vertical="center"/>
    </xf>
    <xf numFmtId="0" fontId="15" fillId="0" borderId="3" xfId="4" applyFont="1" applyBorder="1" applyAlignment="1">
      <alignment horizontal="left" vertical="center" wrapText="1"/>
    </xf>
    <xf numFmtId="0" fontId="15" fillId="0" borderId="4" xfId="4" applyFont="1" applyBorder="1" applyAlignment="1">
      <alignment horizontal="left" vertical="center" wrapText="1"/>
    </xf>
    <xf numFmtId="0" fontId="15" fillId="0" borderId="5" xfId="4" applyFont="1" applyBorder="1" applyAlignment="1">
      <alignment horizontal="left" vertical="center" wrapText="1"/>
    </xf>
    <xf numFmtId="0" fontId="15" fillId="0" borderId="10" xfId="4" applyFont="1" applyBorder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0" fontId="15" fillId="0" borderId="2" xfId="4" applyFont="1" applyBorder="1" applyAlignment="1">
      <alignment horizontal="left" vertical="center" wrapText="1"/>
    </xf>
    <xf numFmtId="0" fontId="15" fillId="0" borderId="14" xfId="4" applyFont="1" applyBorder="1" applyAlignment="1">
      <alignment horizontal="left" vertical="center" wrapText="1"/>
    </xf>
    <xf numFmtId="0" fontId="15" fillId="0" borderId="15" xfId="4" applyFont="1" applyBorder="1" applyAlignment="1">
      <alignment horizontal="left" vertical="center" wrapText="1"/>
    </xf>
    <xf numFmtId="0" fontId="15" fillId="0" borderId="16" xfId="4" applyFont="1" applyBorder="1" applyAlignment="1">
      <alignment horizontal="left" vertical="center" wrapText="1"/>
    </xf>
    <xf numFmtId="0" fontId="14" fillId="0" borderId="3" xfId="4" applyFont="1" applyBorder="1" applyAlignment="1">
      <alignment horizontal="left" vertical="center"/>
    </xf>
    <xf numFmtId="0" fontId="14" fillId="0" borderId="4" xfId="4" applyFont="1" applyBorder="1" applyAlignment="1">
      <alignment horizontal="left" vertical="center"/>
    </xf>
    <xf numFmtId="0" fontId="14" fillId="0" borderId="5" xfId="4" applyFont="1" applyBorder="1" applyAlignment="1">
      <alignment horizontal="left" vertical="center"/>
    </xf>
    <xf numFmtId="0" fontId="15" fillId="0" borderId="12" xfId="4" applyFont="1" applyBorder="1" applyAlignment="1">
      <alignment horizontal="center" vertical="center" wrapText="1"/>
    </xf>
    <xf numFmtId="0" fontId="26" fillId="0" borderId="3" xfId="4" applyFont="1" applyBorder="1" applyAlignment="1">
      <alignment horizontal="center"/>
    </xf>
    <xf numFmtId="0" fontId="26" fillId="0" borderId="5" xfId="4" applyFont="1" applyBorder="1" applyAlignment="1">
      <alignment horizontal="center"/>
    </xf>
    <xf numFmtId="0" fontId="26" fillId="0" borderId="14" xfId="4" applyFont="1" applyBorder="1" applyAlignment="1">
      <alignment horizontal="center"/>
    </xf>
    <xf numFmtId="0" fontId="26" fillId="0" borderId="16" xfId="4" applyFont="1" applyBorder="1" applyAlignment="1">
      <alignment horizontal="center"/>
    </xf>
    <xf numFmtId="0" fontId="21" fillId="0" borderId="3" xfId="4" applyFont="1" applyBorder="1" applyAlignment="1">
      <alignment horizontal="center"/>
    </xf>
    <xf numFmtId="0" fontId="21" fillId="0" borderId="14" xfId="4" applyFont="1" applyBorder="1" applyAlignment="1">
      <alignment horizontal="center"/>
    </xf>
    <xf numFmtId="0" fontId="21" fillId="0" borderId="39" xfId="4" applyFont="1" applyBorder="1" applyAlignment="1">
      <alignment horizontal="center"/>
    </xf>
    <xf numFmtId="0" fontId="21" fillId="0" borderId="40" xfId="4" applyFont="1" applyBorder="1" applyAlignment="1">
      <alignment horizontal="center"/>
    </xf>
    <xf numFmtId="0" fontId="21" fillId="0" borderId="4" xfId="4" applyFont="1" applyBorder="1" applyAlignment="1">
      <alignment horizontal="center"/>
    </xf>
    <xf numFmtId="0" fontId="21" fillId="0" borderId="0" xfId="4" applyFont="1" applyAlignment="1">
      <alignment horizontal="center"/>
    </xf>
    <xf numFmtId="0" fontId="21" fillId="0" borderId="2" xfId="4" applyFont="1" applyBorder="1" applyAlignment="1">
      <alignment horizontal="center"/>
    </xf>
    <xf numFmtId="0" fontId="19" fillId="5" borderId="0" xfId="4" applyFont="1" applyFill="1" applyAlignment="1">
      <alignment horizontal="center" vertical="center" wrapText="1"/>
    </xf>
    <xf numFmtId="0" fontId="19" fillId="5" borderId="0" xfId="4" applyFont="1" applyFill="1" applyAlignment="1">
      <alignment horizontal="center" vertical="center"/>
    </xf>
    <xf numFmtId="0" fontId="15" fillId="0" borderId="10" xfId="4" applyFont="1" applyBorder="1" applyAlignment="1">
      <alignment horizontal="left" vertical="top" wrapText="1"/>
    </xf>
    <xf numFmtId="0" fontId="15" fillId="0" borderId="0" xfId="4" applyFont="1" applyAlignment="1">
      <alignment horizontal="left" vertical="top" wrapText="1"/>
    </xf>
    <xf numFmtId="0" fontId="15" fillId="6" borderId="10" xfId="4" applyFont="1" applyFill="1" applyBorder="1" applyAlignment="1">
      <alignment horizontal="center"/>
    </xf>
    <xf numFmtId="0" fontId="15" fillId="6" borderId="0" xfId="4" applyFont="1" applyFill="1" applyAlignment="1">
      <alignment horizontal="center"/>
    </xf>
    <xf numFmtId="0" fontId="15" fillId="0" borderId="3" xfId="4" applyFont="1" applyBorder="1" applyAlignment="1">
      <alignment horizontal="center" wrapText="1"/>
    </xf>
    <xf numFmtId="0" fontId="15" fillId="0" borderId="4" xfId="4" applyFont="1" applyBorder="1" applyAlignment="1">
      <alignment horizontal="center" wrapText="1"/>
    </xf>
    <xf numFmtId="0" fontId="15" fillId="0" borderId="5" xfId="4" applyFont="1" applyBorder="1" applyAlignment="1">
      <alignment horizontal="center" wrapText="1"/>
    </xf>
    <xf numFmtId="0" fontId="15" fillId="0" borderId="10" xfId="4" applyFont="1" applyBorder="1" applyAlignment="1">
      <alignment horizontal="center" wrapText="1"/>
    </xf>
    <xf numFmtId="0" fontId="15" fillId="0" borderId="0" xfId="4" applyFont="1" applyAlignment="1">
      <alignment horizontal="center" wrapText="1"/>
    </xf>
    <xf numFmtId="0" fontId="15" fillId="0" borderId="2" xfId="4" applyFont="1" applyBorder="1" applyAlignment="1">
      <alignment horizontal="center" wrapText="1"/>
    </xf>
    <xf numFmtId="0" fontId="15" fillId="0" borderId="3" xfId="4" applyFont="1" applyBorder="1" applyAlignment="1">
      <alignment horizontal="center" vertical="center"/>
    </xf>
    <xf numFmtId="164" fontId="28" fillId="0" borderId="0" xfId="19" applyNumberFormat="1" applyFont="1" applyAlignment="1">
      <alignment horizontal="center"/>
    </xf>
    <xf numFmtId="0" fontId="27" fillId="18" borderId="21" xfId="0" applyFont="1" applyFill="1" applyBorder="1" applyAlignment="1">
      <alignment horizontal="center"/>
    </xf>
    <xf numFmtId="172" fontId="58" fillId="10" borderId="42" xfId="6" quotePrefix="1" applyNumberFormat="1" applyFont="1" applyFill="1" applyBorder="1" applyAlignment="1">
      <alignment horizontal="center" vertical="center" shrinkToFit="1"/>
    </xf>
    <xf numFmtId="0" fontId="59" fillId="10" borderId="42" xfId="6" applyFont="1" applyFill="1" applyBorder="1" applyAlignment="1">
      <alignment horizontal="center" vertical="center" shrinkToFit="1"/>
    </xf>
    <xf numFmtId="0" fontId="55" fillId="0" borderId="0" xfId="0" applyFont="1" applyAlignment="1">
      <alignment horizontal="center" wrapText="1"/>
    </xf>
    <xf numFmtId="172" fontId="58" fillId="10" borderId="42" xfId="5" quotePrefix="1" applyNumberFormat="1" applyFont="1" applyFill="1" applyBorder="1" applyAlignment="1">
      <alignment horizontal="center" vertical="center" shrinkToFit="1"/>
    </xf>
    <xf numFmtId="0" fontId="59" fillId="10" borderId="42" xfId="5" applyFont="1" applyFill="1" applyBorder="1" applyAlignment="1">
      <alignment horizontal="center" vertical="center" shrinkToFit="1"/>
    </xf>
    <xf numFmtId="0" fontId="26" fillId="14" borderId="48" xfId="22" applyFont="1" applyFill="1" applyBorder="1" applyAlignment="1">
      <alignment horizontal="center" vertical="center" textRotation="90"/>
    </xf>
    <xf numFmtId="0" fontId="26" fillId="14" borderId="51" xfId="22" applyFont="1" applyFill="1" applyBorder="1" applyAlignment="1">
      <alignment horizontal="center" vertical="center" textRotation="90"/>
    </xf>
    <xf numFmtId="0" fontId="26" fillId="14" borderId="54" xfId="22" applyFont="1" applyFill="1" applyBorder="1" applyAlignment="1">
      <alignment horizontal="center" vertical="center" textRotation="90"/>
    </xf>
    <xf numFmtId="0" fontId="26" fillId="14" borderId="48" xfId="22" applyFont="1" applyFill="1" applyBorder="1" applyAlignment="1">
      <alignment horizontal="center" textRotation="90"/>
    </xf>
    <xf numFmtId="0" fontId="26" fillId="14" borderId="54" xfId="22" applyFont="1" applyFill="1" applyBorder="1" applyAlignment="1">
      <alignment horizontal="center" textRotation="90"/>
    </xf>
    <xf numFmtId="0" fontId="26" fillId="14" borderId="23" xfId="22" applyFont="1" applyFill="1" applyBorder="1" applyAlignment="1">
      <alignment horizontal="center" vertical="center" textRotation="90"/>
    </xf>
    <xf numFmtId="0" fontId="26" fillId="14" borderId="26" xfId="22" applyFont="1" applyFill="1" applyBorder="1" applyAlignment="1">
      <alignment horizontal="center" vertical="center" textRotation="90"/>
    </xf>
    <xf numFmtId="0" fontId="26" fillId="14" borderId="17" xfId="22" applyFont="1" applyFill="1" applyBorder="1" applyAlignment="1">
      <alignment horizontal="center" vertical="center" textRotation="90"/>
    </xf>
    <xf numFmtId="0" fontId="90" fillId="0" borderId="0" xfId="0" applyFont="1" applyAlignment="1">
      <alignment horizontal="center" wrapText="1"/>
    </xf>
    <xf numFmtId="0" fontId="0" fillId="0" borderId="0" xfId="0"/>
    <xf numFmtId="0" fontId="91" fillId="20" borderId="0" xfId="0" applyFont="1" applyFill="1" applyAlignment="1">
      <alignment horizontal="center"/>
    </xf>
    <xf numFmtId="0" fontId="42" fillId="0" borderId="0" xfId="0" applyFont="1" applyAlignment="1">
      <alignment horizontal="center" wrapText="1"/>
    </xf>
    <xf numFmtId="182" fontId="97" fillId="22" borderId="71" xfId="27" applyFont="1" applyFill="1" applyBorder="1" applyAlignment="1">
      <alignment horizontal="center"/>
    </xf>
    <xf numFmtId="182" fontId="97" fillId="22" borderId="75" xfId="27" applyFont="1" applyFill="1" applyBorder="1" applyAlignment="1">
      <alignment horizontal="center"/>
    </xf>
    <xf numFmtId="182" fontId="97" fillId="22" borderId="73" xfId="27" applyFont="1" applyFill="1" applyBorder="1" applyAlignment="1">
      <alignment horizontal="center"/>
    </xf>
    <xf numFmtId="182" fontId="97" fillId="22" borderId="74" xfId="27" applyFont="1" applyFill="1" applyBorder="1" applyAlignment="1">
      <alignment horizontal="center"/>
    </xf>
  </cellXfs>
  <cellStyles count="50">
    <cellStyle name="Comma 2" xfId="9" xr:uid="{A4582EF5-7E26-4F09-B4A0-5AFF7C375290}"/>
    <cellStyle name="Comma_Worksheet in ++  Vaciado de Decl. 1999" xfId="30" xr:uid="{A818718E-2548-45A6-951E-340C21C9A2AD}"/>
    <cellStyle name="Currency 2" xfId="15" xr:uid="{0856E8A6-1F1A-4853-8502-24D8AB0E81A1}"/>
    <cellStyle name="Hipervínculo" xfId="33" builtinId="8"/>
    <cellStyle name="Hyperlink 2" xfId="7" xr:uid="{9D028807-544F-43C4-80F1-3570E8F893F9}"/>
    <cellStyle name="Incorrecto" xfId="3" builtinId="27"/>
    <cellStyle name="Millares" xfId="1" builtinId="3"/>
    <cellStyle name="Millares 16" xfId="24" xr:uid="{1334D1BF-0981-428E-8281-7317F8E6E6EA}"/>
    <cellStyle name="Millares 2" xfId="21" xr:uid="{EEEEE395-7354-43F0-BACE-19211B8A72D3}"/>
    <cellStyle name="Millares 3" xfId="32" xr:uid="{6F7C9C45-FF7E-4169-BD06-883EE651962E}"/>
    <cellStyle name="Millares 4" xfId="20" xr:uid="{8ABFD48C-DDC5-498A-9EF5-4DA51BE5C881}"/>
    <cellStyle name="Millares 5" xfId="37" xr:uid="{951D575C-6745-46F2-929B-3903D1573527}"/>
    <cellStyle name="Moneda" xfId="16" builtinId="4"/>
    <cellStyle name="Moneda 2" xfId="18" xr:uid="{EFC44729-B577-4A75-9928-AFEAFA6F57F0}"/>
    <cellStyle name="Moneda 2 2" xfId="36" xr:uid="{A17D42A9-F35C-4E86-B3E5-BA678F383421}"/>
    <cellStyle name="Normal" xfId="0" builtinId="0"/>
    <cellStyle name="Normal - Modelo1" xfId="22" xr:uid="{47C34BF4-227D-41DA-BC5E-6206BA4EA122}"/>
    <cellStyle name="Normal 10" xfId="38" xr:uid="{3B8009B5-797F-43B3-B692-EE1C16C92ADC}"/>
    <cellStyle name="Normal 11" xfId="39" xr:uid="{E944FA0F-0BB1-4D4F-AF22-5FE5E0DBF04C}"/>
    <cellStyle name="Normal 12" xfId="40" xr:uid="{5663D243-F1F8-4326-9595-9A0B8D9EF4FF}"/>
    <cellStyle name="Normal 13" xfId="41" xr:uid="{25909CFF-ECEF-472E-8C4C-5292171B8872}"/>
    <cellStyle name="Normal 14" xfId="42" xr:uid="{C49281E8-E393-492A-858E-AA74D5C54811}"/>
    <cellStyle name="Normal 15" xfId="43" xr:uid="{0A8900EF-5F81-46A4-B3CC-3B19964E7411}"/>
    <cellStyle name="Normal 16" xfId="44" xr:uid="{54ACD89D-6666-4458-9CCA-E623E4305603}"/>
    <cellStyle name="Normal 17" xfId="45" xr:uid="{AF53218C-BD26-4BA0-AA51-4D86298C14CD}"/>
    <cellStyle name="Normal 18" xfId="46" xr:uid="{DDAA5A8E-8627-4D19-B236-DCF9E3FC9B47}"/>
    <cellStyle name="Normal 19" xfId="47" xr:uid="{11166E22-9353-464D-8240-DE4492D611DB}"/>
    <cellStyle name="Normal 2" xfId="5" xr:uid="{3B387B7B-3B7F-42AA-AF81-6323205DBE94}"/>
    <cellStyle name="Normal 2 2" xfId="35" xr:uid="{1F27F5A7-00FB-4887-9974-338046ECEBC6}"/>
    <cellStyle name="Normal 2 3" xfId="4" xr:uid="{57A42D41-1E55-4135-BBCA-01C3591C79CB}"/>
    <cellStyle name="Normal 20" xfId="48" xr:uid="{4772F582-4E5A-4AD4-B269-B65D143BBBC6}"/>
    <cellStyle name="Normal 21" xfId="49" xr:uid="{2A0C535B-4A1C-4A00-831D-F58FE6990D1F}"/>
    <cellStyle name="Normal 3" xfId="6" xr:uid="{A3AB0D8C-6DE2-4F07-AD06-E06CD37FCB03}"/>
    <cellStyle name="Normal 4" xfId="11" xr:uid="{EC03E931-9C9A-495B-8786-02A44864A1E8}"/>
    <cellStyle name="Normal 5" xfId="14" xr:uid="{830CE876-BFFA-4499-9BCD-168EBB3D9746}"/>
    <cellStyle name="Normal 5 2" xfId="19" xr:uid="{2B620B59-0E85-4C46-94AF-BF564A358043}"/>
    <cellStyle name="Normal 6" xfId="23" xr:uid="{B6209E08-C361-44B5-B740-504E822A13DF}"/>
    <cellStyle name="Normal 7" xfId="25" xr:uid="{AABEB49E-B5B6-461D-9F70-C59375E14188}"/>
    <cellStyle name="Normal 8" xfId="26" xr:uid="{568F9B6D-E58E-4342-BD53-F6FBA13B4039}"/>
    <cellStyle name="Normal 8 2" xfId="31" xr:uid="{2E8BD2A2-BF71-4419-9B93-4F52BB0E343F}"/>
    <cellStyle name="Normal 9" xfId="34" xr:uid="{11063DD6-6B72-4B1A-BF04-C04D70C1F12C}"/>
    <cellStyle name="Normal_Criadero " xfId="28" xr:uid="{0FD0D511-284E-470B-86C4-96BED2D1A6FD}"/>
    <cellStyle name="Normal_Sheet1" xfId="29" xr:uid="{9582A6FC-8BD6-4F9D-80B6-68DC917D91D4}"/>
    <cellStyle name="Normal_Worksheet in ++  Vaciado de Decl. 1999" xfId="27" xr:uid="{06C40C57-00C8-48B2-9AC1-C8A8D560821C}"/>
    <cellStyle name="Percent 2" xfId="8" xr:uid="{683B7DAC-A5D7-46BF-A99E-DEACE055F767}"/>
    <cellStyle name="Percent 3" xfId="10" xr:uid="{0D7181B3-E7E4-4548-B483-B39F2B3C22A9}"/>
    <cellStyle name="Percent 3 2" xfId="12" xr:uid="{4E14E8D5-660C-49AE-BDF2-715C08106C96}"/>
    <cellStyle name="Porcentaje" xfId="2" builtinId="5"/>
    <cellStyle name="Porcentaje 2" xfId="17" xr:uid="{FBB0E8D7-262D-4B66-8AAB-42D9BCF165D2}"/>
    <cellStyle name="WinCalendar_BlankCells_15" xfId="13" xr:uid="{85AD7C65-BC83-45F1-9652-96A02FF34066}"/>
  </cellStyles>
  <dxfs count="91"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24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22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externalLink" Target="externalLinks/externalLink21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2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2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7" Type="http://schemas.openxmlformats.org/officeDocument/2006/relationships/image" Target="../media/image1.png"/><Relationship Id="rId2" Type="http://schemas.openxmlformats.org/officeDocument/2006/relationships/image" Target="../media/image3.gif"/><Relationship Id="rId1" Type="http://schemas.openxmlformats.org/officeDocument/2006/relationships/image" Target="../media/image2.gif"/><Relationship Id="rId6" Type="http://schemas.openxmlformats.org/officeDocument/2006/relationships/hyperlink" Target="#INDICE!A1"/><Relationship Id="rId5" Type="http://schemas.openxmlformats.org/officeDocument/2006/relationships/image" Target="../media/image6.gif"/><Relationship Id="rId4" Type="http://schemas.openxmlformats.org/officeDocument/2006/relationships/image" Target="../media/image5.gi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643466</xdr:colOff>
      <xdr:row>627</xdr:row>
      <xdr:rowOff>33866</xdr:rowOff>
    </xdr:from>
    <xdr:to>
      <xdr:col>20</xdr:col>
      <xdr:colOff>668866</xdr:colOff>
      <xdr:row>631</xdr:row>
      <xdr:rowOff>84666</xdr:rowOff>
    </xdr:to>
    <xdr:sp macro="" textlink="">
      <xdr:nvSpPr>
        <xdr:cNvPr id="4" name="Speech Bubble: Rectangle with Corners Rounde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510866" y="22648333"/>
          <a:ext cx="3522133" cy="762000"/>
        </a:xfrm>
        <a:prstGeom prst="wedgeRoundRectCallout">
          <a:avLst>
            <a:gd name="adj1" fmla="val -75809"/>
            <a:gd name="adj2" fmla="val -7966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La</a:t>
          </a:r>
          <a:r>
            <a:rPr lang="en-US" sz="1100" baseline="0"/>
            <a:t> balanza siempre debe dar en sus sumatorias 0 de lo contrario revisar si existen cuentas no configuradas correctamente o polizas contables con errores</a:t>
          </a:r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677333</xdr:colOff>
      <xdr:row>3</xdr:row>
      <xdr:rowOff>1635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77333" cy="509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619125</xdr:colOff>
      <xdr:row>2</xdr:row>
      <xdr:rowOff>141989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19125" cy="4658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624417</xdr:colOff>
      <xdr:row>2</xdr:row>
      <xdr:rowOff>152321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4417" cy="4698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619125</xdr:colOff>
      <xdr:row>2</xdr:row>
      <xdr:rowOff>141989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19125" cy="4658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49</xdr:row>
      <xdr:rowOff>53340</xdr:rowOff>
    </xdr:from>
    <xdr:to>
      <xdr:col>10</xdr:col>
      <xdr:colOff>762000</xdr:colOff>
      <xdr:row>52</xdr:row>
      <xdr:rowOff>144780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324600" y="9288780"/>
          <a:ext cx="2354580" cy="678180"/>
        </a:xfrm>
        <a:prstGeom prst="wedgeRoundRectCallout">
          <a:avLst>
            <a:gd name="adj1" fmla="val -66547"/>
            <a:gd name="adj2" fmla="val -4090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El saldo debe coincidir contra el saldo en Balance de Efectivo</a:t>
          </a:r>
          <a:r>
            <a:rPr lang="en-US" sz="1100" baseline="0"/>
            <a:t> y Equivalentes</a:t>
          </a:r>
        </a:p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776654</xdr:colOff>
      <xdr:row>3</xdr:row>
      <xdr:rowOff>12866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6654" cy="5843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509954</xdr:colOff>
      <xdr:row>2</xdr:row>
      <xdr:rowOff>12866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6654" cy="5843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300404</xdr:colOff>
      <xdr:row>2</xdr:row>
      <xdr:rowOff>193841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6654" cy="5843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637442</xdr:colOff>
      <xdr:row>2</xdr:row>
      <xdr:rowOff>157236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37442" cy="4796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2</xdr:row>
      <xdr:rowOff>6005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14350" cy="3870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619125</xdr:colOff>
      <xdr:row>2</xdr:row>
      <xdr:rowOff>141989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19125" cy="46583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2</xdr:row>
      <xdr:rowOff>20338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33400" cy="4013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14654</xdr:colOff>
      <xdr:row>3</xdr:row>
      <xdr:rowOff>108116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6654" cy="5843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</xdr:colOff>
      <xdr:row>85</xdr:row>
      <xdr:rowOff>99060</xdr:rowOff>
    </xdr:from>
    <xdr:to>
      <xdr:col>13</xdr:col>
      <xdr:colOff>30480</xdr:colOff>
      <xdr:row>91</xdr:row>
      <xdr:rowOff>144780</xdr:rowOff>
    </xdr:to>
    <xdr:sp macro="" textlink="">
      <xdr:nvSpPr>
        <xdr:cNvPr id="3" name="Speech Bubble: Rectangle with Corners Rounded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852410" y="15405735"/>
          <a:ext cx="2655570" cy="1017270"/>
        </a:xfrm>
        <a:prstGeom prst="wedgeRoundRectCallout">
          <a:avLst>
            <a:gd name="adj1" fmla="val -96275"/>
            <a:gd name="adj2" fmla="val -13851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El impuesto</a:t>
          </a:r>
          <a:r>
            <a:rPr lang="en-US" sz="1100" baseline="0"/>
            <a:t> a cargo del ejercicio debe estar reflejado en el pasivo ISR por Pagar, las diferencias surgen de ajustes en auditoria o variación contra saldos acumulados de pagos provisionales</a:t>
          </a:r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776654</xdr:colOff>
      <xdr:row>3</xdr:row>
      <xdr:rowOff>108116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6654" cy="5843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776654</xdr:colOff>
      <xdr:row>3</xdr:row>
      <xdr:rowOff>94509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6654" cy="5843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411480</xdr:colOff>
      <xdr:row>36</xdr:row>
      <xdr:rowOff>76200</xdr:rowOff>
    </xdr:from>
    <xdr:to>
      <xdr:col>6</xdr:col>
      <xdr:colOff>777240</xdr:colOff>
      <xdr:row>42</xdr:row>
      <xdr:rowOff>152400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402705" y="5276850"/>
          <a:ext cx="2442210" cy="1047750"/>
        </a:xfrm>
        <a:prstGeom prst="wedgeRoundRectCallout">
          <a:avLst>
            <a:gd name="adj1" fmla="val -64643"/>
            <a:gd name="adj2" fmla="val -9500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La tasa efectiva de impuestos totales que deroga una empresa es aquella que paga después de hacer todas sus conciliaciones de deducciones sobre su utilidad contable</a:t>
          </a:r>
          <a:endParaRPr lang="en-US">
            <a:effectLst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594984</xdr:colOff>
      <xdr:row>2</xdr:row>
      <xdr:rowOff>123825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0"/>
          <a:ext cx="594984" cy="4476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776654</xdr:colOff>
      <xdr:row>3</xdr:row>
      <xdr:rowOff>12866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6654" cy="5843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68580</xdr:rowOff>
    </xdr:from>
    <xdr:to>
      <xdr:col>10</xdr:col>
      <xdr:colOff>30480</xdr:colOff>
      <xdr:row>28</xdr:row>
      <xdr:rowOff>43816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201"/>
        <a:stretch/>
      </xdr:blipFill>
      <xdr:spPr>
        <a:xfrm>
          <a:off x="0" y="3124200"/>
          <a:ext cx="7345680" cy="18802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10</xdr:col>
      <xdr:colOff>22860</xdr:colOff>
      <xdr:row>16</xdr:row>
      <xdr:rowOff>184725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"/>
          <a:ext cx="7338060" cy="2280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99059</xdr:rowOff>
    </xdr:from>
    <xdr:to>
      <xdr:col>10</xdr:col>
      <xdr:colOff>48443</xdr:colOff>
      <xdr:row>40</xdr:row>
      <xdr:rowOff>129540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2539"/>
        <a:stretch/>
      </xdr:blipFill>
      <xdr:spPr>
        <a:xfrm>
          <a:off x="0" y="4998719"/>
          <a:ext cx="7363643" cy="2125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15239</xdr:rowOff>
    </xdr:from>
    <xdr:to>
      <xdr:col>10</xdr:col>
      <xdr:colOff>77765</xdr:colOff>
      <xdr:row>46</xdr:row>
      <xdr:rowOff>160020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24683"/>
        <a:stretch/>
      </xdr:blipFill>
      <xdr:spPr>
        <a:xfrm>
          <a:off x="0" y="7094219"/>
          <a:ext cx="7392965" cy="9067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60959</xdr:rowOff>
    </xdr:from>
    <xdr:to>
      <xdr:col>10</xdr:col>
      <xdr:colOff>76200</xdr:colOff>
      <xdr:row>57</xdr:row>
      <xdr:rowOff>181606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2794"/>
        <a:stretch/>
      </xdr:blipFill>
      <xdr:spPr>
        <a:xfrm>
          <a:off x="0" y="7978139"/>
          <a:ext cx="7391400" cy="20256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733425</xdr:colOff>
      <xdr:row>3</xdr:row>
      <xdr:rowOff>56540</xdr:rowOff>
    </xdr:to>
    <xdr:pic>
      <xdr:nvPicPr>
        <xdr:cNvPr id="7" name="Imagen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33425" cy="55184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</xdr:colOff>
      <xdr:row>9</xdr:row>
      <xdr:rowOff>32385</xdr:rowOff>
    </xdr:from>
    <xdr:to>
      <xdr:col>3</xdr:col>
      <xdr:colOff>34290</xdr:colOff>
      <xdr:row>10</xdr:row>
      <xdr:rowOff>24765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737235" y="1899285"/>
          <a:ext cx="411480" cy="18288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15240</xdr:colOff>
      <xdr:row>9</xdr:row>
      <xdr:rowOff>15240</xdr:rowOff>
    </xdr:from>
    <xdr:to>
      <xdr:col>11</xdr:col>
      <xdr:colOff>426720</xdr:colOff>
      <xdr:row>10</xdr:row>
      <xdr:rowOff>7620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4632960" y="1813560"/>
          <a:ext cx="411480" cy="17526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22860</xdr:colOff>
      <xdr:row>17</xdr:row>
      <xdr:rowOff>0</xdr:rowOff>
    </xdr:from>
    <xdr:to>
      <xdr:col>4</xdr:col>
      <xdr:colOff>434340</xdr:colOff>
      <xdr:row>17</xdr:row>
      <xdr:rowOff>175260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1604010" y="3429000"/>
          <a:ext cx="411480" cy="17526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17145</xdr:colOff>
      <xdr:row>18</xdr:row>
      <xdr:rowOff>34290</xdr:rowOff>
    </xdr:from>
    <xdr:to>
      <xdr:col>12</xdr:col>
      <xdr:colOff>428625</xdr:colOff>
      <xdr:row>19</xdr:row>
      <xdr:rowOff>26670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5189220" y="3653790"/>
          <a:ext cx="411480" cy="18288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30480</xdr:colOff>
      <xdr:row>25</xdr:row>
      <xdr:rowOff>15240</xdr:rowOff>
    </xdr:from>
    <xdr:to>
      <xdr:col>6</xdr:col>
      <xdr:colOff>441960</xdr:colOff>
      <xdr:row>26</xdr:row>
      <xdr:rowOff>7620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>
        <a:xfrm>
          <a:off x="2499360" y="4632960"/>
          <a:ext cx="411480" cy="17526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11430</xdr:colOff>
      <xdr:row>26</xdr:row>
      <xdr:rowOff>15240</xdr:rowOff>
    </xdr:from>
    <xdr:to>
      <xdr:col>10</xdr:col>
      <xdr:colOff>422910</xdr:colOff>
      <xdr:row>27</xdr:row>
      <xdr:rowOff>7620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/>
      </xdr:nvSpPr>
      <xdr:spPr>
        <a:xfrm>
          <a:off x="4250055" y="5196840"/>
          <a:ext cx="411480" cy="18288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24765</xdr:colOff>
      <xdr:row>35</xdr:row>
      <xdr:rowOff>24765</xdr:rowOff>
    </xdr:from>
    <xdr:to>
      <xdr:col>5</xdr:col>
      <xdr:colOff>436245</xdr:colOff>
      <xdr:row>36</xdr:row>
      <xdr:rowOff>17145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/>
      </xdr:nvSpPr>
      <xdr:spPr>
        <a:xfrm>
          <a:off x="2072640" y="6958965"/>
          <a:ext cx="411480" cy="18288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53340</xdr:colOff>
      <xdr:row>35</xdr:row>
      <xdr:rowOff>15240</xdr:rowOff>
    </xdr:from>
    <xdr:to>
      <xdr:col>11</xdr:col>
      <xdr:colOff>7620</xdr:colOff>
      <xdr:row>36</xdr:row>
      <xdr:rowOff>7620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/>
      </xdr:nvSpPr>
      <xdr:spPr>
        <a:xfrm>
          <a:off x="4213860" y="6499860"/>
          <a:ext cx="411480" cy="17526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41910</xdr:colOff>
      <xdr:row>43</xdr:row>
      <xdr:rowOff>179070</xdr:rowOff>
    </xdr:from>
    <xdr:to>
      <xdr:col>4</xdr:col>
      <xdr:colOff>453390</xdr:colOff>
      <xdr:row>44</xdr:row>
      <xdr:rowOff>171450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/>
      </xdr:nvSpPr>
      <xdr:spPr>
        <a:xfrm>
          <a:off x="1623060" y="8675370"/>
          <a:ext cx="411480" cy="18288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13335</xdr:colOff>
      <xdr:row>43</xdr:row>
      <xdr:rowOff>169545</xdr:rowOff>
    </xdr:from>
    <xdr:to>
      <xdr:col>14</xdr:col>
      <xdr:colOff>424815</xdr:colOff>
      <xdr:row>44</xdr:row>
      <xdr:rowOff>161925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/>
      </xdr:nvSpPr>
      <xdr:spPr>
        <a:xfrm>
          <a:off x="6118860" y="8665845"/>
          <a:ext cx="411480" cy="18288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22860</xdr:colOff>
      <xdr:row>52</xdr:row>
      <xdr:rowOff>7620</xdr:rowOff>
    </xdr:from>
    <xdr:to>
      <xdr:col>3</xdr:col>
      <xdr:colOff>434340</xdr:colOff>
      <xdr:row>53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/>
      </xdr:nvSpPr>
      <xdr:spPr>
        <a:xfrm>
          <a:off x="1120140" y="9494520"/>
          <a:ext cx="411480" cy="17526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22860</xdr:colOff>
      <xdr:row>52</xdr:row>
      <xdr:rowOff>22860</xdr:rowOff>
    </xdr:from>
    <xdr:to>
      <xdr:col>13</xdr:col>
      <xdr:colOff>434340</xdr:colOff>
      <xdr:row>53</xdr:row>
      <xdr:rowOff>15240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/>
      </xdr:nvSpPr>
      <xdr:spPr>
        <a:xfrm>
          <a:off x="5554980" y="9509760"/>
          <a:ext cx="411480" cy="17526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297180</xdr:colOff>
      <xdr:row>7</xdr:row>
      <xdr:rowOff>30480</xdr:rowOff>
    </xdr:from>
    <xdr:to>
      <xdr:col>17</xdr:col>
      <xdr:colOff>708660</xdr:colOff>
      <xdr:row>7</xdr:row>
      <xdr:rowOff>213360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/>
      </xdr:nvSpPr>
      <xdr:spPr>
        <a:xfrm>
          <a:off x="7383780" y="1089660"/>
          <a:ext cx="411480" cy="18288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312420</xdr:colOff>
      <xdr:row>5</xdr:row>
      <xdr:rowOff>205740</xdr:rowOff>
    </xdr:from>
    <xdr:to>
      <xdr:col>17</xdr:col>
      <xdr:colOff>723900</xdr:colOff>
      <xdr:row>6</xdr:row>
      <xdr:rowOff>144780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/>
      </xdr:nvSpPr>
      <xdr:spPr>
        <a:xfrm>
          <a:off x="7399020" y="1264920"/>
          <a:ext cx="411480" cy="16002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53340</xdr:colOff>
      <xdr:row>8</xdr:row>
      <xdr:rowOff>41910</xdr:rowOff>
    </xdr:from>
    <xdr:to>
      <xdr:col>2</xdr:col>
      <xdr:colOff>464820</xdr:colOff>
      <xdr:row>9</xdr:row>
      <xdr:rowOff>11430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/>
      </xdr:nvSpPr>
      <xdr:spPr>
        <a:xfrm>
          <a:off x="701040" y="1718310"/>
          <a:ext cx="411480" cy="16002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15240</xdr:colOff>
      <xdr:row>8</xdr:row>
      <xdr:rowOff>15240</xdr:rowOff>
    </xdr:from>
    <xdr:to>
      <xdr:col>11</xdr:col>
      <xdr:colOff>426720</xdr:colOff>
      <xdr:row>8</xdr:row>
      <xdr:rowOff>175260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/>
      </xdr:nvSpPr>
      <xdr:spPr>
        <a:xfrm>
          <a:off x="4632960" y="1676400"/>
          <a:ext cx="411480" cy="16002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3810</xdr:colOff>
      <xdr:row>16</xdr:row>
      <xdr:rowOff>17145</xdr:rowOff>
    </xdr:from>
    <xdr:to>
      <xdr:col>4</xdr:col>
      <xdr:colOff>415290</xdr:colOff>
      <xdr:row>16</xdr:row>
      <xdr:rowOff>177165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/>
      </xdr:nvSpPr>
      <xdr:spPr>
        <a:xfrm>
          <a:off x="1584960" y="3255645"/>
          <a:ext cx="411480" cy="16002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32385</xdr:colOff>
      <xdr:row>17</xdr:row>
      <xdr:rowOff>22860</xdr:rowOff>
    </xdr:from>
    <xdr:to>
      <xdr:col>12</xdr:col>
      <xdr:colOff>443865</xdr:colOff>
      <xdr:row>17</xdr:row>
      <xdr:rowOff>182880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/>
      </xdr:nvSpPr>
      <xdr:spPr>
        <a:xfrm>
          <a:off x="5204460" y="3451860"/>
          <a:ext cx="411480" cy="16002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22860</xdr:colOff>
      <xdr:row>25</xdr:row>
      <xdr:rowOff>30480</xdr:rowOff>
    </xdr:from>
    <xdr:to>
      <xdr:col>2</xdr:col>
      <xdr:colOff>434340</xdr:colOff>
      <xdr:row>26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/>
      </xdr:nvSpPr>
      <xdr:spPr>
        <a:xfrm>
          <a:off x="662940" y="4800600"/>
          <a:ext cx="411480" cy="16002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40005</xdr:colOff>
      <xdr:row>25</xdr:row>
      <xdr:rowOff>30480</xdr:rowOff>
    </xdr:from>
    <xdr:to>
      <xdr:col>10</xdr:col>
      <xdr:colOff>451485</xdr:colOff>
      <xdr:row>26</xdr:row>
      <xdr:rowOff>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/>
      </xdr:nvSpPr>
      <xdr:spPr>
        <a:xfrm>
          <a:off x="4278630" y="5021580"/>
          <a:ext cx="411480" cy="16002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34</xdr:row>
      <xdr:rowOff>41910</xdr:rowOff>
    </xdr:from>
    <xdr:to>
      <xdr:col>4</xdr:col>
      <xdr:colOff>459105</xdr:colOff>
      <xdr:row>35</xdr:row>
      <xdr:rowOff>11430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/>
      </xdr:nvSpPr>
      <xdr:spPr>
        <a:xfrm>
          <a:off x="1628775" y="6785610"/>
          <a:ext cx="411480" cy="16002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38100</xdr:colOff>
      <xdr:row>34</xdr:row>
      <xdr:rowOff>22860</xdr:rowOff>
    </xdr:from>
    <xdr:to>
      <xdr:col>10</xdr:col>
      <xdr:colOff>449580</xdr:colOff>
      <xdr:row>34</xdr:row>
      <xdr:rowOff>182880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/>
      </xdr:nvSpPr>
      <xdr:spPr>
        <a:xfrm>
          <a:off x="4198620" y="6537960"/>
          <a:ext cx="411480" cy="16002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51435</xdr:colOff>
      <xdr:row>43</xdr:row>
      <xdr:rowOff>9525</xdr:rowOff>
    </xdr:from>
    <xdr:to>
      <xdr:col>4</xdr:col>
      <xdr:colOff>462915</xdr:colOff>
      <xdr:row>43</xdr:row>
      <xdr:rowOff>169545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/>
      </xdr:nvSpPr>
      <xdr:spPr>
        <a:xfrm>
          <a:off x="1632585" y="8505825"/>
          <a:ext cx="411480" cy="16002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28575</xdr:colOff>
      <xdr:row>42</xdr:row>
      <xdr:rowOff>184785</xdr:rowOff>
    </xdr:from>
    <xdr:to>
      <xdr:col>13</xdr:col>
      <xdr:colOff>440055</xdr:colOff>
      <xdr:row>43</xdr:row>
      <xdr:rowOff>154305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/>
      </xdr:nvSpPr>
      <xdr:spPr>
        <a:xfrm>
          <a:off x="5667375" y="8490585"/>
          <a:ext cx="411480" cy="16002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22860</xdr:colOff>
      <xdr:row>51</xdr:row>
      <xdr:rowOff>15240</xdr:rowOff>
    </xdr:from>
    <xdr:to>
      <xdr:col>2</xdr:col>
      <xdr:colOff>434340</xdr:colOff>
      <xdr:row>51</xdr:row>
      <xdr:rowOff>175260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/>
      </xdr:nvSpPr>
      <xdr:spPr>
        <a:xfrm>
          <a:off x="662940" y="9639300"/>
          <a:ext cx="411480" cy="16002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38100</xdr:colOff>
      <xdr:row>52</xdr:row>
      <xdr:rowOff>1905</xdr:rowOff>
    </xdr:from>
    <xdr:to>
      <xdr:col>11</xdr:col>
      <xdr:colOff>449580</xdr:colOff>
      <xdr:row>52</xdr:row>
      <xdr:rowOff>161925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SpPr/>
      </xdr:nvSpPr>
      <xdr:spPr>
        <a:xfrm>
          <a:off x="4743450" y="10250805"/>
          <a:ext cx="411480" cy="16002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309929</xdr:colOff>
      <xdr:row>2</xdr:row>
      <xdr:rowOff>203366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0"/>
          <a:ext cx="776654" cy="58436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611188</xdr:colOff>
      <xdr:row>2</xdr:row>
      <xdr:rowOff>142367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625" y="0"/>
          <a:ext cx="611188" cy="45986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0</xdr:col>
      <xdr:colOff>771525</xdr:colOff>
      <xdr:row>1</xdr:row>
      <xdr:rowOff>380333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1"/>
          <a:ext cx="771525" cy="38033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776654</xdr:colOff>
      <xdr:row>3</xdr:row>
      <xdr:rowOff>12866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0"/>
          <a:ext cx="776654" cy="58436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776654</xdr:colOff>
      <xdr:row>3</xdr:row>
      <xdr:rowOff>12866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6654" cy="5843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CPD\calculo%20de%20ispt%20t-mensu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FIJ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KPMG/ANALISIS%20PRECIOS%20DE%20TRANSFERENCIA%20KPM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UDITORIA%202002/PAPELES%20TRABAJO%202002/Proformas%20%20COMPLE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o/Downloads/01%20Metodolog&#237;a%20Diagn&#243;stico/01%20Metodolog&#237;a%20Diagn&#243;stico/1.%20Carpeta%20est&#225;ndar%20de%20proyecto/4.%20Diagn&#243;stico/1.%20Calculadora%20y%20An&#225;lisis%20Financie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ZC%2022-07-05/Auditorias/Vero/Auditoria%2004/Proformas%202004&#180;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cervantes\Escritorio\Proformas%20Sepracosa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ervantes\Escritorio\Proformas%20Sepracosa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cervantes/Escritorio/Proformas%20Sepracosa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oisesgallegos/Desktop/RESPALDO%20DE%20MOI%202/VARIOS%20RESPALDOS%20DE%20MOI/COMPANIAS/Grupo%20Grfiols/Septiembre%2030,%202010/Lista%20de%20requerimientos%20GM%20y%20LG%202010/Proformas%20Grifols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padilla/Desktop/CW%20Ingusa/TRABAJ~1/CRIADERO/CEDSTA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eo\RESPALDOS\Documents%20and%20Settings\rfranquez\Mis%20documentos\FISCAL%20YEAR%202007\FORECAST\FORECAST%2004_07\copy%20P&amp;L%20COMPARISON%202005%20VS%202006%20VS%20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A_MAYOR\Recursos\Users\msanchez\AppData\Local\Temp\Temp1_AAO%20-%20RESULTADO%20FISCAL%202012%20cargado%20en%20HFM%20v%202.zip\AAO-IETU%202012%20pagos%20provisiona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ministration\Afsluit\2007\Kadant%20FRP%20Preparations\070526%20Kadant%20FRP%20Preparat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tion\Afsluit\2007\Kadant%20FRP%20Preparations\070526%20Kadant%20FRP%20Preparat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dministration/Afsluit/2007/Kadant%20FRP%20Preparations/070526%20Kadant%20FRP%20Preparat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eo\RESPALDOS\Documents%20and%20Settings\rfranquez\Mis%20documentos\FISCAL%20YEAR%202007\INTERNAL%20REPORTS\MARCH\Copia%20de%20SUMMARY%2003_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zarate/Local%20Settings/Temporary%20Internet%20Files/OLKA2/Auditorias%202005/Grifols%202005/Grifols%202005/E-50/xxx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rojascideal.files.wordpress.com/Reestr%20bladi/BLADI%2020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o/OneDrive/Documentos/Talleres%20ContadorMX/Taller%20Cierre%20Contable/PROFORMAS%202015%20(KADANT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++%20%20Vaciado%20de%20Decl.%20199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victor.mora/AppData/Local/Microsoft/Windows/Temporary%20Internet%20Files/Content.Outlook/6X2D4FPE/Proformas%202014%20Grupo%20Gas%20Lago%20(1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04_89\ajorge\WINDOWS\TEMP\PPTTvelas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rez\fiscal\DATA\Vanessa\DTT\Impuestos\Clientes\Pisa\Pympsa\2002\Cierre%20Fiscal\Cierre%20Pympsa%2020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31%20Vaciado%20de%20Impuestos%20Federales%202004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BERTEK\Tax\2008%20Tax%20Year\Domestic\U.S.%20Tax%20Return\U.S.%20Tax%20Workbooks\Kadant\2008%20taxdata_KAES_U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CALISRS"/>
    </sheetNames>
    <sheetDataSet>
      <sheetData sheetId="0" refreshError="1">
        <row r="28">
          <cell r="B28">
            <v>0.1</v>
          </cell>
          <cell r="C28">
            <v>429.44</v>
          </cell>
          <cell r="D28">
            <v>0</v>
          </cell>
          <cell r="E28">
            <v>0.03</v>
          </cell>
          <cell r="G28">
            <v>0.01</v>
          </cell>
          <cell r="H28">
            <v>429.44</v>
          </cell>
          <cell r="I28">
            <v>0</v>
          </cell>
          <cell r="J28">
            <v>0.5</v>
          </cell>
          <cell r="L28">
            <v>0.01</v>
          </cell>
          <cell r="M28">
            <v>17237.82</v>
          </cell>
          <cell r="N28">
            <v>352.35</v>
          </cell>
        </row>
        <row r="29">
          <cell r="B29">
            <v>429.45</v>
          </cell>
          <cell r="C29">
            <v>3644.9399999999996</v>
          </cell>
          <cell r="D29">
            <v>12.88</v>
          </cell>
          <cell r="E29">
            <v>0.1</v>
          </cell>
          <cell r="G29">
            <v>429.45</v>
          </cell>
          <cell r="H29">
            <v>3644.9399999999996</v>
          </cell>
          <cell r="I29">
            <v>6.44</v>
          </cell>
          <cell r="J29">
            <v>0.5</v>
          </cell>
          <cell r="L29">
            <v>531.39</v>
          </cell>
          <cell r="M29">
            <v>2254.8599999999997</v>
          </cell>
          <cell r="N29">
            <v>352.2</v>
          </cell>
        </row>
        <row r="30">
          <cell r="B30">
            <v>3644.95</v>
          </cell>
          <cell r="C30">
            <v>6405.65</v>
          </cell>
          <cell r="D30">
            <v>334.43</v>
          </cell>
          <cell r="E30">
            <v>0.17</v>
          </cell>
          <cell r="G30">
            <v>3644.95</v>
          </cell>
          <cell r="H30">
            <v>6405.67</v>
          </cell>
          <cell r="I30">
            <v>167.22</v>
          </cell>
          <cell r="J30">
            <v>0.5</v>
          </cell>
          <cell r="L30">
            <v>2254.87</v>
          </cell>
          <cell r="M30">
            <v>2297.02</v>
          </cell>
          <cell r="N30">
            <v>352.2</v>
          </cell>
        </row>
        <row r="31">
          <cell r="B31">
            <v>6405.66</v>
          </cell>
          <cell r="C31">
            <v>7446.29</v>
          </cell>
          <cell r="D31">
            <v>803.76</v>
          </cell>
          <cell r="E31">
            <v>0.25</v>
          </cell>
          <cell r="G31">
            <v>6405.68</v>
          </cell>
          <cell r="H31">
            <v>7446.29</v>
          </cell>
          <cell r="I31">
            <v>401.85</v>
          </cell>
          <cell r="J31">
            <v>0.5</v>
          </cell>
          <cell r="L31">
            <v>2297.0300000000002</v>
          </cell>
          <cell r="M31">
            <v>3006.4199999999996</v>
          </cell>
          <cell r="N31">
            <v>352.01</v>
          </cell>
        </row>
        <row r="32">
          <cell r="B32">
            <v>7446.3</v>
          </cell>
          <cell r="C32">
            <v>8915.24</v>
          </cell>
          <cell r="D32">
            <v>1063.92</v>
          </cell>
          <cell r="E32">
            <v>0.32</v>
          </cell>
          <cell r="G32">
            <v>7446.3</v>
          </cell>
          <cell r="H32">
            <v>8915.24</v>
          </cell>
          <cell r="I32">
            <v>531.96</v>
          </cell>
          <cell r="J32">
            <v>0.5</v>
          </cell>
          <cell r="L32">
            <v>3006.43</v>
          </cell>
          <cell r="M32">
            <v>3062.72</v>
          </cell>
          <cell r="N32">
            <v>340.02</v>
          </cell>
        </row>
        <row r="33">
          <cell r="B33">
            <v>8915.25</v>
          </cell>
          <cell r="C33">
            <v>17980.760000000002</v>
          </cell>
          <cell r="D33">
            <v>1533.98</v>
          </cell>
          <cell r="E33">
            <v>0.33</v>
          </cell>
          <cell r="G33">
            <v>8915.25</v>
          </cell>
          <cell r="H33">
            <v>14980.76</v>
          </cell>
          <cell r="I33">
            <v>766.98</v>
          </cell>
          <cell r="J33">
            <v>0.4</v>
          </cell>
          <cell r="L33">
            <v>3062.73</v>
          </cell>
          <cell r="M33">
            <v>3277.1299999999997</v>
          </cell>
          <cell r="N33">
            <v>331.09</v>
          </cell>
        </row>
        <row r="34">
          <cell r="B34">
            <v>17980.77</v>
          </cell>
          <cell r="C34">
            <v>52419.18</v>
          </cell>
          <cell r="D34">
            <v>4525.6000000000004</v>
          </cell>
          <cell r="E34">
            <v>0.34</v>
          </cell>
          <cell r="G34">
            <v>14980.77</v>
          </cell>
          <cell r="H34">
            <v>18340.150000000001</v>
          </cell>
          <cell r="I34">
            <v>1963.65</v>
          </cell>
          <cell r="J34">
            <v>0.3</v>
          </cell>
          <cell r="L34">
            <v>3277.14</v>
          </cell>
          <cell r="M34">
            <v>3849.02</v>
          </cell>
          <cell r="N34">
            <v>331.09</v>
          </cell>
        </row>
        <row r="35">
          <cell r="B35">
            <v>52419.19</v>
          </cell>
          <cell r="C35" t="str">
            <v>EN DELANTE</v>
          </cell>
          <cell r="D35">
            <v>16234.65</v>
          </cell>
          <cell r="E35">
            <v>0.35</v>
          </cell>
          <cell r="G35">
            <v>18340.16</v>
          </cell>
          <cell r="H35" t="str">
            <v>EN DELANTE</v>
          </cell>
          <cell r="I35">
            <v>3020.3</v>
          </cell>
          <cell r="J35">
            <v>0</v>
          </cell>
          <cell r="L35">
            <v>3849.03</v>
          </cell>
          <cell r="M35">
            <v>4083.64</v>
          </cell>
          <cell r="N35">
            <v>306.66000000000003</v>
          </cell>
        </row>
        <row r="36">
          <cell r="L36">
            <v>4083.65</v>
          </cell>
          <cell r="M36">
            <v>4618.8499999999995</v>
          </cell>
          <cell r="N36">
            <v>281.24</v>
          </cell>
        </row>
        <row r="37">
          <cell r="L37">
            <v>4618.8599999999997</v>
          </cell>
          <cell r="M37">
            <v>5388.6799999999994</v>
          </cell>
          <cell r="N37">
            <v>255.06</v>
          </cell>
        </row>
        <row r="38">
          <cell r="L38">
            <v>5388.69</v>
          </cell>
          <cell r="M38">
            <v>6158.4699999999993</v>
          </cell>
          <cell r="N38">
            <v>219.49</v>
          </cell>
        </row>
        <row r="39">
          <cell r="L39">
            <v>6158.48</v>
          </cell>
          <cell r="M39">
            <v>6390.86</v>
          </cell>
          <cell r="N39">
            <v>188.38</v>
          </cell>
        </row>
        <row r="40">
          <cell r="L40">
            <v>6390.87</v>
          </cell>
          <cell r="M40" t="str">
            <v>EN DELANTE</v>
          </cell>
          <cell r="N40">
            <v>153.91999999999999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"/>
      <sheetName val="INPC"/>
      <sheetName val="AFIJO"/>
      <sheetName val="Edificios"/>
      <sheetName val="disco"/>
      <sheetName val="maq8385disco"/>
      <sheetName val="Sheet2"/>
      <sheetName val="maq8385cinta"/>
      <sheetName val="EQ TRANSP"/>
      <sheetName val="ECOMPROD"/>
      <sheetName val="ECOMPUTO"/>
      <sheetName val="cint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DIC 2005"/>
      <sheetName val="P&amp;L SAP"/>
      <sheetName val="INCREMENTO FLEBO 2005"/>
      <sheetName val="P&amp;L SAP (2)"/>
      <sheetName val="conciliacion sept 05"/>
      <sheetName val="PRUEBA COSTO DIC 05"/>
      <sheetName val="P&amp;L SAP 261005"/>
      <sheetName val="conciliacion dic 05"/>
      <sheetName val="P&amp;L SAP 04.11.05"/>
      <sheetName val="conciliacion dic 05 041105"/>
      <sheetName val="P&amp;L SAP 211205"/>
      <sheetName val="conciliacion dic 05 211205"/>
      <sheetName val="ANALISIS PRECIOS DE TRANSFERENC"/>
      <sheetName val="PGOS ISR-IMPAC 2005 hacienda"/>
      <sheetName val="P&amp;L SAP 23.11.05 "/>
      <sheetName val="conciliacion dic 05 2311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"/>
      <sheetName val="Pos.M.E."/>
      <sheetName val="Pos.M.E. (2)"/>
      <sheetName val="Res.con.banc."/>
      <sheetName val="Corte cheques"/>
      <sheetName val="Transf.banc. "/>
      <sheetName val="Conf.banc. (2)"/>
      <sheetName val="Conf.banc."/>
      <sheetName val="metodo de part"/>
      <sheetName val="Analisis Seguros"/>
      <sheetName val="Prueba iva acred."/>
      <sheetName val="Prueba iva acred. (2)"/>
      <sheetName val="Edo de costo"/>
      <sheetName val="Corte formas"/>
      <sheetName val="Compras"/>
      <sheetName val="Gtos de fabrica"/>
      <sheetName val="Pba.costo-mercado"/>
      <sheetName val="A.Fijo - Inversión"/>
      <sheetName val="A.F. Depreciación"/>
      <sheetName val="Altas A.F. "/>
      <sheetName val="Bajas A.F."/>
      <sheetName val="Céditos L.P."/>
      <sheetName val="conciliacion ISR"/>
      <sheetName val="Conciliación ISR-IVA"/>
      <sheetName val="Impac"/>
      <sheetName val="amarre anual IVA"/>
      <sheetName val="Pagos prov IVA"/>
      <sheetName val="edo resul reexp"/>
      <sheetName val="Amarre anual ISR-IMPAC"/>
      <sheetName val="Edo de variaciones"/>
      <sheetName val="Cobros Post."/>
      <sheetName val="Analitica Vtas - Costo"/>
      <sheetName val="Antiguedad de cartera"/>
      <sheetName val="pagos posteriores"/>
      <sheetName val="IMSS"/>
      <sheetName val="Sar"/>
      <sheetName val="Infonavit"/>
      <sheetName val="2% S-Nomina"/>
      <sheetName val="ISR-IVA honorarios"/>
      <sheetName val="ISR-IVA arrendamiento"/>
      <sheetName val="ISPT- Credito al salario"/>
      <sheetName val="4.9% intereses"/>
      <sheetName val="honorarios al consejo"/>
      <sheetName val="contrib por pagar"/>
      <sheetName val="Anal-nominas"/>
      <sheetName val="Anal-nominas (2)"/>
      <sheetName val="Prima ant."/>
      <sheetName val="Transacc Vtas"/>
      <sheetName val="Transacc Compras"/>
      <sheetName val="Saldos Afil"/>
      <sheetName val="Rev.doc.hon."/>
      <sheetName val="Hoja26"/>
      <sheetName val="Hoja27"/>
      <sheetName val="Hoja28"/>
      <sheetName val="Hoja29"/>
      <sheetName val="Hoja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dice"/>
      <sheetName val="Balanza Cliente"/>
      <sheetName val="Balance general "/>
      <sheetName val="Estado de resultados"/>
      <sheetName val="Calculadora"/>
      <sheetName val="Nivel de impacto por cuenta"/>
      <sheetName val="Riesgos "/>
      <sheetName val="Razones Financiera"/>
      <sheetName val="Cuentas significativas "/>
      <sheetName val="Graficos "/>
      <sheetName val="RECURSOS DE CONSULTA"/>
      <sheetName val="Workings"/>
      <sheetName val="Datos Fuente"/>
      <sheetName val="Module1"/>
    </sheetNames>
    <sheetDataSet>
      <sheetData sheetId="0"/>
      <sheetData sheetId="1">
        <row r="7">
          <cell r="F7" t="str">
            <v>Actual</v>
          </cell>
        </row>
      </sheetData>
      <sheetData sheetId="2"/>
      <sheetData sheetId="3"/>
      <sheetData sheetId="4">
        <row r="6">
          <cell r="B6" t="str">
            <v>Revenue</v>
          </cell>
        </row>
        <row r="8">
          <cell r="B8">
            <v>534600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Profit before tax from continuing operations</v>
          </cell>
        </row>
        <row r="4">
          <cell r="A4" t="str">
            <v>Revenue</v>
          </cell>
        </row>
        <row r="5">
          <cell r="A5" t="str">
            <v>EBITDA</v>
          </cell>
        </row>
        <row r="6">
          <cell r="A6" t="str">
            <v>Total assets</v>
          </cell>
        </row>
        <row r="7">
          <cell r="A7" t="str">
            <v>Total equity / net assets</v>
          </cell>
        </row>
        <row r="8">
          <cell r="A8" t="str">
            <v>Expenses</v>
          </cell>
        </row>
      </sheetData>
      <sheetData sheetId="12">
        <row r="2">
          <cell r="A2" t="str">
            <v>Balance General</v>
          </cell>
          <cell r="B2" t="str">
            <v>Activo</v>
          </cell>
          <cell r="C2" t="str">
            <v>Circulante/ Corto plazo</v>
          </cell>
          <cell r="D2" t="str">
            <v>Efectivo y equivalentes</v>
          </cell>
        </row>
        <row r="3">
          <cell r="A3" t="str">
            <v xml:space="preserve">Estado de Resultados </v>
          </cell>
          <cell r="B3" t="str">
            <v>Pasivo</v>
          </cell>
          <cell r="C3" t="str">
            <v xml:space="preserve">No circulante/ Largo plazo </v>
          </cell>
          <cell r="D3" t="str">
            <v xml:space="preserve">Cuentas por cobrar </v>
          </cell>
        </row>
        <row r="4">
          <cell r="B4" t="str">
            <v>Capital</v>
          </cell>
          <cell r="C4" t="str">
            <v>Ingresos</v>
          </cell>
          <cell r="D4" t="str">
            <v xml:space="preserve">Acreedores diversos </v>
          </cell>
        </row>
        <row r="5">
          <cell r="B5" t="str">
            <v>Ingresos</v>
          </cell>
          <cell r="C5" t="str">
            <v>Costos</v>
          </cell>
          <cell r="D5" t="str">
            <v>Inventarios-Neto</v>
          </cell>
        </row>
        <row r="6">
          <cell r="B6" t="str">
            <v>Costos</v>
          </cell>
          <cell r="C6" t="str">
            <v>Gastos de operación</v>
          </cell>
          <cell r="D6" t="str">
            <v>Pagos anticipados</v>
          </cell>
        </row>
        <row r="7">
          <cell r="B7" t="str">
            <v>Gastos de operación</v>
          </cell>
          <cell r="C7" t="str">
            <v>Resultado integral de financiamiento</v>
          </cell>
          <cell r="D7" t="str">
            <v xml:space="preserve">Propiedad planta y equipo </v>
          </cell>
        </row>
        <row r="8">
          <cell r="B8" t="str">
            <v>Resultado integral de financiamiento</v>
          </cell>
          <cell r="C8" t="str">
            <v>Impuestos</v>
          </cell>
          <cell r="D8" t="str">
            <v xml:space="preserve">Otras iversiones permanentes </v>
          </cell>
        </row>
        <row r="9">
          <cell r="B9" t="str">
            <v>Impuestos</v>
          </cell>
          <cell r="D9" t="str">
            <v xml:space="preserve">Activos intangibles </v>
          </cell>
        </row>
        <row r="10">
          <cell r="D10" t="str">
            <v>Prestamos de instituciones bancarias</v>
          </cell>
        </row>
        <row r="11">
          <cell r="D11" t="str">
            <v>Cuentas por pagar a proveedores</v>
          </cell>
        </row>
        <row r="12">
          <cell r="D12" t="str">
            <v xml:space="preserve">Beneficios directos a los empleados </v>
          </cell>
        </row>
        <row r="13">
          <cell r="D13" t="str">
            <v xml:space="preserve">Impuestos y gastos acumulados  </v>
          </cell>
        </row>
        <row r="14">
          <cell r="D14" t="str">
            <v xml:space="preserve">Provisiones </v>
          </cell>
        </row>
        <row r="15">
          <cell r="D15" t="str">
            <v xml:space="preserve"> Aportaciones para futuros amentos de capital</v>
          </cell>
        </row>
        <row r="16">
          <cell r="D16" t="str">
            <v xml:space="preserve">Anticipos de clientes </v>
          </cell>
        </row>
        <row r="17">
          <cell r="D17" t="str">
            <v>Otros pasivos  c/p</v>
          </cell>
        </row>
        <row r="18">
          <cell r="D18" t="str">
            <v xml:space="preserve">Pasivos a largo plazo </v>
          </cell>
        </row>
        <row r="19">
          <cell r="D19" t="str">
            <v xml:space="preserve">Capital contable </v>
          </cell>
        </row>
        <row r="20">
          <cell r="D20" t="str">
            <v xml:space="preserve">Resultado del Ejercicio </v>
          </cell>
        </row>
        <row r="21">
          <cell r="D21" t="str">
            <v>Capital Social</v>
          </cell>
        </row>
        <row r="22">
          <cell r="D22" t="str">
            <v>Aportacion adicional de capital</v>
          </cell>
        </row>
        <row r="23">
          <cell r="D23" t="str">
            <v>Aportaciones para futuros aumentos de capita</v>
          </cell>
        </row>
        <row r="24">
          <cell r="D24" t="str">
            <v>Ventas netas</v>
          </cell>
        </row>
        <row r="25">
          <cell r="D25" t="str">
            <v>Otras ventas:</v>
          </cell>
        </row>
        <row r="26">
          <cell r="D26" t="str">
            <v>Costo de ventas</v>
          </cell>
        </row>
        <row r="27">
          <cell r="D27" t="str">
            <v>Otros costos:</v>
          </cell>
        </row>
        <row r="28">
          <cell r="D28" t="str">
            <v>Distribución y venta</v>
          </cell>
        </row>
        <row r="29">
          <cell r="D29" t="str">
            <v>Administración</v>
          </cell>
        </row>
        <row r="30">
          <cell r="D30" t="str">
            <v>Depreciación y amortización</v>
          </cell>
        </row>
        <row r="31">
          <cell r="D31" t="str">
            <v>Otros ingresos (gastos)</v>
          </cell>
        </row>
        <row r="32">
          <cell r="D32" t="str">
            <v>Gastos Financieros</v>
          </cell>
        </row>
        <row r="33">
          <cell r="D33" t="str">
            <v>Productos financieros</v>
          </cell>
        </row>
        <row r="34">
          <cell r="D34" t="str">
            <v>Costo Integral de Financiamiento</v>
          </cell>
        </row>
        <row r="35">
          <cell r="D35" t="str">
            <v>Impuesto sobre la renta</v>
          </cell>
        </row>
        <row r="36">
          <cell r="D36" t="str">
            <v>Participación de utilidades</v>
          </cell>
        </row>
      </sheetData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"/>
      <sheetName val="Res.con.banc."/>
      <sheetName val="Corte cheques"/>
      <sheetName val="Transf.banc. "/>
      <sheetName val="Conf.banc."/>
      <sheetName val="Analisis Seguros"/>
      <sheetName val="Prueba global IVA"/>
      <sheetName val="Corte formas"/>
      <sheetName val="A.Fijo - Inversión"/>
      <sheetName val="A.F. Depreciación"/>
      <sheetName val="Altas A.F. "/>
      <sheetName val="Bajas A.F."/>
      <sheetName val="conciliacion ISR"/>
      <sheetName val="Conciliación ISR-IVA"/>
      <sheetName val="IMPAC"/>
      <sheetName val="Pagos prov IVA"/>
      <sheetName val="Amarre anual ISR-IMPAC"/>
      <sheetName val="IMSS"/>
      <sheetName val="Sar"/>
      <sheetName val="Infonavit"/>
      <sheetName val="2% S-Nomina"/>
      <sheetName val="ISR-IVA honorarios"/>
      <sheetName val="ISR-IVA arrendamiento"/>
      <sheetName val="IVA comisionistas"/>
      <sheetName val="IVA transportistas"/>
      <sheetName val="ISR extranjero"/>
      <sheetName val="ISPT- Credito al salario"/>
      <sheetName val="dividendos"/>
      <sheetName val="pagos prov"/>
      <sheetName val="contrib por pagar"/>
      <sheetName val="Transacc Vtas"/>
      <sheetName val="Transacc Compras"/>
      <sheetName val="Saldos Afil"/>
      <sheetName val="Hoja26"/>
      <sheetName val="Hoja27"/>
      <sheetName val="Hoja28"/>
      <sheetName val="Hoja29"/>
      <sheetName val="Hoja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"/>
      <sheetName val="Pos.M.E."/>
      <sheetName val="Res.con.banc."/>
      <sheetName val="Transf.banc. "/>
      <sheetName val="Corte cheques"/>
      <sheetName val="Conf.banc."/>
      <sheetName val="Analisis Seguros"/>
      <sheetName val="Prueba iva acred."/>
      <sheetName val="Edo de costo"/>
      <sheetName val="Corte formas"/>
      <sheetName val="Compras"/>
      <sheetName val="Pba.costo-mercado"/>
      <sheetName val="A.Fijo - Inversión"/>
      <sheetName val="A.F. Depreciación"/>
      <sheetName val="Altas A.F. "/>
      <sheetName val="Bajas A.F."/>
      <sheetName val="Céditos L.P."/>
      <sheetName val="conciliacion ISR"/>
      <sheetName val="Impac"/>
      <sheetName val="amarre anual IVA"/>
      <sheetName val="Pagos prov IVA"/>
      <sheetName val="edo resul reexp"/>
      <sheetName val="Amarre anual ISR-IMPAC"/>
      <sheetName val="Edo de variaciones"/>
      <sheetName val="Cobros Post."/>
      <sheetName val="Analitica Vtas - Costo"/>
      <sheetName val="Antiguedad de cartera"/>
      <sheetName val="pagos posteriores"/>
      <sheetName val="IMSS"/>
      <sheetName val="Sar"/>
      <sheetName val="Infonavit"/>
      <sheetName val="2% S-Nomina"/>
      <sheetName val="ISR-IVA honorarios"/>
      <sheetName val="ISR-IVA arrendamiento"/>
      <sheetName val="ISPT- Credito al salario"/>
      <sheetName val="4.9% intereses"/>
      <sheetName val="honorarios al consejo"/>
      <sheetName val="contrib por pagar"/>
      <sheetName val="Anual-nominas"/>
      <sheetName val="Prima ant."/>
      <sheetName val="Transacc Vtas"/>
      <sheetName val="Transacc Compras"/>
      <sheetName val="Saldos Afil"/>
      <sheetName val="Prueba Fluct. 03"/>
      <sheetName val="DECLAR MULTIPLES"/>
      <sheetName val="Rev Doc Honorarios"/>
      <sheetName val="Resum Mensual Honorarios"/>
      <sheetName val="Res Mens Fletes"/>
      <sheetName val="Anali.Gastos"/>
      <sheetName val="Comp Gtos Vta"/>
      <sheetName val="Gtos de fabrica"/>
      <sheetName val="Comp Gtos Admon"/>
      <sheetName val="Comp Gtos Grales"/>
      <sheetName val="Anexo 23"/>
      <sheetName val="Anexo 24"/>
      <sheetName val="Anexo 25"/>
      <sheetName val="Anexo 26"/>
      <sheetName val="Anexo 2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"/>
      <sheetName val="Pos.M.E."/>
      <sheetName val="Res.con.banc."/>
      <sheetName val="Transf.banc. "/>
      <sheetName val="Corte cheques"/>
      <sheetName val="Conf.banc."/>
      <sheetName val="Analisis Seguros"/>
      <sheetName val="Prueba iva acred."/>
      <sheetName val="Edo de costo"/>
      <sheetName val="Corte formas"/>
      <sheetName val="Compras"/>
      <sheetName val="Pba.costo-mercado"/>
      <sheetName val="A.Fijo - Inversión"/>
      <sheetName val="A.F. Depreciación"/>
      <sheetName val="Altas A.F. "/>
      <sheetName val="Bajas A.F."/>
      <sheetName val="Céditos L.P."/>
      <sheetName val="conciliacion ISR"/>
      <sheetName val="Impac"/>
      <sheetName val="amarre anual IVA"/>
      <sheetName val="Pagos prov IVA"/>
      <sheetName val="edo resul reexp"/>
      <sheetName val="Amarre anual ISR-IMPAC"/>
      <sheetName val="Edo de variaciones"/>
      <sheetName val="Cobros Post."/>
      <sheetName val="Analitica Vtas - Costo"/>
      <sheetName val="Antiguedad de cartera"/>
      <sheetName val="pagos posteriores"/>
      <sheetName val="IMSS"/>
      <sheetName val="Sar"/>
      <sheetName val="Infonavit"/>
      <sheetName val="2% S-Nomina"/>
      <sheetName val="ISR-IVA honorarios"/>
      <sheetName val="ISR-IVA arrendamiento"/>
      <sheetName val="ISPT- Credito al salario"/>
      <sheetName val="4.9% intereses"/>
      <sheetName val="honorarios al consejo"/>
      <sheetName val="contrib por pagar"/>
      <sheetName val="Anual-nominas"/>
      <sheetName val="Prima ant."/>
      <sheetName val="Transacc Vtas"/>
      <sheetName val="Transacc Compras"/>
      <sheetName val="Saldos Afil"/>
      <sheetName val="Prueba Fluct. 03"/>
      <sheetName val="DECLAR MULTIPLES"/>
      <sheetName val="Rev Doc Honorarios"/>
      <sheetName val="Resum Mensual Honorarios"/>
      <sheetName val="Res Mens Fletes"/>
      <sheetName val="Anali.Gastos"/>
      <sheetName val="Comp Gtos Vta"/>
      <sheetName val="Gtos de fabrica"/>
      <sheetName val="Comp Gtos Admon"/>
      <sheetName val="Comp Gtos Grales"/>
      <sheetName val="Anexo 23"/>
      <sheetName val="Anexo 24"/>
      <sheetName val="Anexo 25"/>
      <sheetName val="Anexo 26"/>
      <sheetName val="Anexo 2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"/>
      <sheetName val="Pos.M.E."/>
      <sheetName val="Res.con.banc."/>
      <sheetName val="Transf.banc. "/>
      <sheetName val="Corte cheques"/>
      <sheetName val="Conf.banc."/>
      <sheetName val="Analisis Seguros"/>
      <sheetName val="Prueba iva acred."/>
      <sheetName val="Edo de costo"/>
      <sheetName val="Corte formas"/>
      <sheetName val="Compras"/>
      <sheetName val="Pba.costo-mercado"/>
      <sheetName val="A.Fijo - Inversión"/>
      <sheetName val="A.F. Depreciación"/>
      <sheetName val="Altas A.F. "/>
      <sheetName val="Bajas A.F."/>
      <sheetName val="Céditos L.P."/>
      <sheetName val="conciliacion ISR"/>
      <sheetName val="Impac"/>
      <sheetName val="amarre anual IVA"/>
      <sheetName val="Pagos prov IVA"/>
      <sheetName val="edo resul reexp"/>
      <sheetName val="Amarre anual ISR-IMPAC"/>
      <sheetName val="Edo de variaciones"/>
      <sheetName val="Cobros Post."/>
      <sheetName val="Analitica Vtas - Costo"/>
      <sheetName val="Antiguedad de cartera"/>
      <sheetName val="pagos posteriores"/>
      <sheetName val="IMSS"/>
      <sheetName val="Sar"/>
      <sheetName val="Infonavit"/>
      <sheetName val="2% S-Nomina"/>
      <sheetName val="ISR-IVA honorarios"/>
      <sheetName val="ISR-IVA arrendamiento"/>
      <sheetName val="ISPT- Credito al salario"/>
      <sheetName val="4.9% intereses"/>
      <sheetName val="honorarios al consejo"/>
      <sheetName val="contrib por pagar"/>
      <sheetName val="Anual-nominas"/>
      <sheetName val="Prima ant."/>
      <sheetName val="Transacc Vtas"/>
      <sheetName val="Transacc Compras"/>
      <sheetName val="Saldos Afil"/>
      <sheetName val="Prueba Fluct. 03"/>
      <sheetName val="DECLAR MULTIPLES"/>
      <sheetName val="Rev Doc Honorarios"/>
      <sheetName val="Resum Mensual Honorarios"/>
      <sheetName val="Res Mens Fletes"/>
      <sheetName val="Anali.Gastos"/>
      <sheetName val="Comp Gtos Vta"/>
      <sheetName val="Gtos de fabrica"/>
      <sheetName val="Comp Gtos Admon"/>
      <sheetName val="Comp Gtos Grales"/>
      <sheetName val="Anexo 23"/>
      <sheetName val="Anexo 24"/>
      <sheetName val="Anexo 25"/>
      <sheetName val="Anexo 26"/>
      <sheetName val="Anexo 2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s"/>
      <sheetName val="B-Resumen de Conciliaciones"/>
      <sheetName val="Anexo 1. Muestra"/>
      <sheetName val="B-Corte cheques"/>
      <sheetName val="B. Corte.Transf.banc. "/>
      <sheetName val="B.Conf.bancaria."/>
      <sheetName val="D.Prueba global IVA"/>
      <sheetName val="Prueba global IVA dic06 "/>
      <sheetName val="A.9- Posición ME"/>
      <sheetName val="B-Conf.banc."/>
      <sheetName val="B-Transf.banc. "/>
      <sheetName val="E.50-Integracion compras nac."/>
      <sheetName val="E.50- Ventas-Costos-Utilidad"/>
      <sheetName val="E.50 Prueba de Costo Mercado"/>
      <sheetName val="F-Analisis Seguros DIC"/>
      <sheetName val="G- Altas A.F. "/>
      <sheetName val="G- Bajas A.F."/>
      <sheetName val="G,F. Cédula Dep A.Fijo"/>
      <sheetName val="G,F. Cédula A.Fijo"/>
      <sheetName val="I-Creditos Bancarios"/>
      <sheetName val="K - Estado de var"/>
      <sheetName val="L-Corte formas"/>
      <sheetName val="M.10- Vaciado de Pagos"/>
      <sheetName val="M.10- IMSS"/>
      <sheetName val="M.10- Sar"/>
      <sheetName val="M.10 -Infonavit"/>
      <sheetName val="M.10- 2% S-Nomina"/>
      <sheetName val="M.10- ISR-IVA honorarios"/>
      <sheetName val="M.10- ISR-IVA arrendamiento"/>
      <sheetName val="M.10- IVA comisionistas"/>
      <sheetName val="M.10- IVA transportistas"/>
      <sheetName val="M.10- ISR extranjero"/>
      <sheetName val="M.10- dividendos"/>
      <sheetName val="M.10- pagos prov"/>
      <sheetName val="N- Anual-nominas"/>
      <sheetName val="S- Transacc Vtas"/>
      <sheetName val="S- Saldos Afil"/>
      <sheetName val="S- Transacc Compr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adero "/>
      <sheetName val="Patos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 -2007 P&amp;L Comparison"/>
      <sheetName val="2006A vs 2007B vs 2007 F"/>
      <sheetName val="2007 FORECAST"/>
      <sheetName val="2006 ACTUAL"/>
      <sheetName val="EXPENSES"/>
      <sheetName val="COST OF SALES"/>
      <sheetName val="P&amp;L and Bal. Sheet"/>
      <sheetName val="summary"/>
      <sheetName val="Three Year P&amp;L 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 norm"/>
      <sheetName val="Determinación Impuesto comp"/>
      <sheetName val="Determinación Impuesto comp (2)"/>
      <sheetName val="INVENTARIO"/>
      <sheetName val="DED MAY ING"/>
      <sheetName val="INVERSIONES"/>
      <sheetName val="INV feb 2012 (2)"/>
      <sheetName val="INV may 2012"/>
      <sheetName val="INV ago 2012"/>
      <sheetName val="INV sep 12"/>
      <sheetName val="INPC IETU"/>
      <sheetName val="INPC"/>
      <sheetName val="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</row>
        <row r="2">
          <cell r="A2">
            <v>2</v>
          </cell>
          <cell r="B2" t="str">
            <v>Año</v>
          </cell>
          <cell r="C2" t="str">
            <v>Ene</v>
          </cell>
          <cell r="D2" t="str">
            <v>Feb</v>
          </cell>
          <cell r="E2" t="str">
            <v>Mar</v>
          </cell>
          <cell r="F2" t="str">
            <v>Abr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Ago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Dic</v>
          </cell>
        </row>
        <row r="3">
          <cell r="A3">
            <v>3</v>
          </cell>
          <cell r="B3">
            <v>2004</v>
          </cell>
          <cell r="C3">
            <v>74.2423093102</v>
          </cell>
          <cell r="D3">
            <v>74.686407425541006</v>
          </cell>
          <cell r="E3">
            <v>74.939488183818</v>
          </cell>
          <cell r="F3">
            <v>75.052581492694003</v>
          </cell>
          <cell r="G3">
            <v>74.864322509016006</v>
          </cell>
          <cell r="H3">
            <v>74.984311751359996</v>
          </cell>
          <cell r="I3">
            <v>75.180845855198996</v>
          </cell>
          <cell r="J3">
            <v>75.644942177597997</v>
          </cell>
          <cell r="K3">
            <v>76.270403343148999</v>
          </cell>
          <cell r="L3">
            <v>76.798631846800006</v>
          </cell>
          <cell r="M3">
            <v>77.453745526263006</v>
          </cell>
          <cell r="N3">
            <v>77.613731182722006</v>
          </cell>
        </row>
        <row r="4">
          <cell r="A4">
            <v>4</v>
          </cell>
          <cell r="B4">
            <v>2005</v>
          </cell>
          <cell r="C4">
            <v>77.616489556109002</v>
          </cell>
          <cell r="D4">
            <v>77.875087061160002</v>
          </cell>
          <cell r="E4">
            <v>78.226090074683</v>
          </cell>
          <cell r="F4">
            <v>78.504685786791995</v>
          </cell>
          <cell r="G4">
            <v>78.307462089606005</v>
          </cell>
          <cell r="H4">
            <v>78.232296414803997</v>
          </cell>
          <cell r="I4">
            <v>78.538475860784999</v>
          </cell>
          <cell r="J4">
            <v>78.632260555949998</v>
          </cell>
          <cell r="K4">
            <v>78.947404715439006</v>
          </cell>
          <cell r="L4">
            <v>79.141180445890996</v>
          </cell>
          <cell r="M4">
            <v>79.710784550350994</v>
          </cell>
          <cell r="N4">
            <v>80.200395826581001</v>
          </cell>
        </row>
        <row r="5">
          <cell r="A5">
            <v>5</v>
          </cell>
          <cell r="B5">
            <v>2006</v>
          </cell>
          <cell r="C5">
            <v>80.670698489100999</v>
          </cell>
          <cell r="D5">
            <v>80.794135698179005</v>
          </cell>
          <cell r="E5">
            <v>80.895505920158996</v>
          </cell>
          <cell r="F5">
            <v>81.014115975809005</v>
          </cell>
          <cell r="G5">
            <v>80.653458655430995</v>
          </cell>
          <cell r="H5">
            <v>80.723107583458003</v>
          </cell>
          <cell r="I5">
            <v>80.944467047781998</v>
          </cell>
          <cell r="J5">
            <v>81.357533462516997</v>
          </cell>
          <cell r="K5">
            <v>82.178839138559994</v>
          </cell>
          <cell r="L5">
            <v>82.538117272245003</v>
          </cell>
          <cell r="M5">
            <v>82.971181894037002</v>
          </cell>
          <cell r="N5">
            <v>83.451138863411998</v>
          </cell>
        </row>
        <row r="6">
          <cell r="A6">
            <v>6</v>
          </cell>
          <cell r="B6">
            <v>2007</v>
          </cell>
          <cell r="C6">
            <v>83.882134705164006</v>
          </cell>
          <cell r="D6">
            <v>84.116596443077995</v>
          </cell>
          <cell r="E6">
            <v>84.298649086634001</v>
          </cell>
          <cell r="F6">
            <v>84.248308772317003</v>
          </cell>
          <cell r="G6">
            <v>83.837311137621995</v>
          </cell>
          <cell r="H6">
            <v>83.937991766254996</v>
          </cell>
          <cell r="I6">
            <v>84.294511526552995</v>
          </cell>
          <cell r="J6">
            <v>84.637929013261001</v>
          </cell>
          <cell r="K6">
            <v>85.295111472765001</v>
          </cell>
          <cell r="L6">
            <v>85.627495465924</v>
          </cell>
          <cell r="M6">
            <v>86.231579237724006</v>
          </cell>
          <cell r="N6">
            <v>86.588098998020996</v>
          </cell>
        </row>
        <row r="7">
          <cell r="A7">
            <v>7</v>
          </cell>
          <cell r="B7">
            <v>2008</v>
          </cell>
          <cell r="C7">
            <v>86.989442325859997</v>
          </cell>
          <cell r="D7">
            <v>87.248039830912006</v>
          </cell>
          <cell r="E7">
            <v>87.880396929930001</v>
          </cell>
          <cell r="F7">
            <v>88.080379000503001</v>
          </cell>
          <cell r="G7">
            <v>87.985215118645002</v>
          </cell>
          <cell r="H7">
            <v>88.349320405756998</v>
          </cell>
          <cell r="I7">
            <v>88.841690055374002</v>
          </cell>
          <cell r="J7">
            <v>89.354747505396006</v>
          </cell>
          <cell r="K7">
            <v>89.963658430622999</v>
          </cell>
          <cell r="L7">
            <v>90.576706915931993</v>
          </cell>
          <cell r="M7">
            <v>91.606269782709006</v>
          </cell>
          <cell r="N7">
            <v>92.240695661768001</v>
          </cell>
        </row>
        <row r="8">
          <cell r="A8">
            <v>8</v>
          </cell>
          <cell r="B8">
            <v>2009</v>
          </cell>
          <cell r="C8">
            <v>92.454469599277004</v>
          </cell>
          <cell r="D8">
            <v>92.658589229930996</v>
          </cell>
          <cell r="E8">
            <v>93.19164488701</v>
          </cell>
          <cell r="F8">
            <v>93.517822540048002</v>
          </cell>
          <cell r="G8">
            <v>93.245433168060998</v>
          </cell>
          <cell r="H8">
            <v>93.417141911415001</v>
          </cell>
          <cell r="I8">
            <v>93.671601856384996</v>
          </cell>
          <cell r="J8">
            <v>93.895719694096002</v>
          </cell>
          <cell r="K8">
            <v>94.366711949963005</v>
          </cell>
          <cell r="L8">
            <v>94.652203595540001</v>
          </cell>
          <cell r="M8">
            <v>95.143194058464005</v>
          </cell>
          <cell r="N8">
            <v>95.536951859487999</v>
          </cell>
        </row>
        <row r="9">
          <cell r="A9">
            <v>9</v>
          </cell>
          <cell r="B9">
            <v>2010</v>
          </cell>
          <cell r="C9">
            <v>96.575479439774</v>
          </cell>
          <cell r="D9">
            <v>97.134050050685005</v>
          </cell>
          <cell r="E9">
            <v>97.823643397488993</v>
          </cell>
          <cell r="F9">
            <v>97.511947204733005</v>
          </cell>
          <cell r="G9">
            <v>96.897519532732005</v>
          </cell>
          <cell r="H9">
            <v>96.867177425471994</v>
          </cell>
          <cell r="I9">
            <v>97.077503396246996</v>
          </cell>
          <cell r="J9">
            <v>97.347134394847004</v>
          </cell>
          <cell r="K9">
            <v>97.857433471481997</v>
          </cell>
          <cell r="L9">
            <v>98.461517243282003</v>
          </cell>
          <cell r="M9">
            <v>99.250412032024997</v>
          </cell>
          <cell r="N9">
            <v>99.742092088296005</v>
          </cell>
        </row>
        <row r="10">
          <cell r="A10">
            <v>10</v>
          </cell>
          <cell r="B10">
            <v>2011</v>
          </cell>
          <cell r="C10">
            <v>100.22799999999999</v>
          </cell>
          <cell r="D10">
            <v>100.604</v>
          </cell>
          <cell r="E10">
            <v>100.797</v>
          </cell>
          <cell r="F10">
            <v>100.789</v>
          </cell>
          <cell r="G10">
            <v>100.04600000000001</v>
          </cell>
          <cell r="H10">
            <v>100.041</v>
          </cell>
          <cell r="I10">
            <v>100.521</v>
          </cell>
          <cell r="J10">
            <v>100.68</v>
          </cell>
          <cell r="K10">
            <v>100.92700000000001</v>
          </cell>
          <cell r="L10">
            <v>101.608</v>
          </cell>
          <cell r="M10">
            <v>102.70699999999999</v>
          </cell>
          <cell r="N10">
            <v>103.551</v>
          </cell>
        </row>
        <row r="17">
          <cell r="C17" t="str">
            <v>Fila</v>
          </cell>
          <cell r="D17" t="str">
            <v>Mes</v>
          </cell>
        </row>
        <row r="18">
          <cell r="B18" t="str">
            <v>Ene</v>
          </cell>
          <cell r="C18">
            <v>3</v>
          </cell>
          <cell r="D18">
            <v>1</v>
          </cell>
          <cell r="E18">
            <v>2</v>
          </cell>
          <cell r="F18">
            <v>2004</v>
          </cell>
          <cell r="G18">
            <v>3</v>
          </cell>
        </row>
        <row r="19">
          <cell r="B19" t="str">
            <v>Feb</v>
          </cell>
          <cell r="C19">
            <v>4</v>
          </cell>
          <cell r="D19">
            <v>2</v>
          </cell>
          <cell r="E19">
            <v>2</v>
          </cell>
        </row>
        <row r="20">
          <cell r="B20" t="str">
            <v>Mar</v>
          </cell>
          <cell r="C20">
            <v>5</v>
          </cell>
          <cell r="D20">
            <v>3</v>
          </cell>
          <cell r="E20">
            <v>2</v>
          </cell>
        </row>
        <row r="21">
          <cell r="B21" t="str">
            <v>Abr</v>
          </cell>
          <cell r="C21">
            <v>6</v>
          </cell>
          <cell r="D21">
            <v>4</v>
          </cell>
          <cell r="E21">
            <v>2</v>
          </cell>
        </row>
        <row r="22">
          <cell r="B22" t="str">
            <v>May</v>
          </cell>
          <cell r="C22">
            <v>7</v>
          </cell>
          <cell r="D22">
            <v>5</v>
          </cell>
          <cell r="E22">
            <v>2</v>
          </cell>
        </row>
        <row r="23">
          <cell r="B23" t="str">
            <v>Jun</v>
          </cell>
          <cell r="C23">
            <v>8</v>
          </cell>
          <cell r="D23">
            <v>6</v>
          </cell>
          <cell r="E23">
            <v>2</v>
          </cell>
        </row>
        <row r="24">
          <cell r="B24" t="str">
            <v>Jul</v>
          </cell>
          <cell r="C24">
            <v>9</v>
          </cell>
          <cell r="D24">
            <v>7</v>
          </cell>
          <cell r="E24">
            <v>2</v>
          </cell>
        </row>
        <row r="25">
          <cell r="B25" t="str">
            <v>Ago</v>
          </cell>
          <cell r="C25">
            <v>10</v>
          </cell>
          <cell r="D25">
            <v>8</v>
          </cell>
          <cell r="E25">
            <v>2</v>
          </cell>
        </row>
        <row r="26">
          <cell r="B26" t="str">
            <v>Sep</v>
          </cell>
          <cell r="C26">
            <v>11</v>
          </cell>
          <cell r="D26">
            <v>9</v>
          </cell>
          <cell r="E26">
            <v>2</v>
          </cell>
        </row>
        <row r="27">
          <cell r="B27" t="str">
            <v>Oct</v>
          </cell>
          <cell r="C27">
            <v>12</v>
          </cell>
          <cell r="D27">
            <v>10</v>
          </cell>
          <cell r="E27">
            <v>2</v>
          </cell>
        </row>
        <row r="28">
          <cell r="B28" t="str">
            <v>Nov</v>
          </cell>
          <cell r="C28">
            <v>13</v>
          </cell>
          <cell r="D28">
            <v>11</v>
          </cell>
          <cell r="E28">
            <v>2</v>
          </cell>
        </row>
        <row r="29">
          <cell r="B29" t="str">
            <v>Dic</v>
          </cell>
          <cell r="C29">
            <v>14</v>
          </cell>
          <cell r="D29">
            <v>12</v>
          </cell>
          <cell r="E29">
            <v>2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dant FRP"/>
      <sheetName val="Balances JGL-KGL"/>
      <sheetName val="Visual Import"/>
      <sheetName val="070526 Kadant FRP Preparation"/>
    </sheetNames>
    <sheetDataSet>
      <sheetData sheetId="0"/>
      <sheetData sheetId="1" refreshError="1">
        <row r="5">
          <cell r="A5">
            <v>1010</v>
          </cell>
          <cell r="D5">
            <v>189934.67</v>
          </cell>
        </row>
        <row r="6">
          <cell r="A6">
            <v>1010</v>
          </cell>
          <cell r="D6">
            <v>0</v>
          </cell>
        </row>
        <row r="7">
          <cell r="A7">
            <v>1010</v>
          </cell>
          <cell r="D7">
            <v>0</v>
          </cell>
        </row>
        <row r="8">
          <cell r="A8">
            <v>1010</v>
          </cell>
          <cell r="D8">
            <v>20839.060000000001</v>
          </cell>
        </row>
        <row r="9">
          <cell r="A9">
            <v>1010</v>
          </cell>
          <cell r="D9">
            <v>0</v>
          </cell>
        </row>
        <row r="10">
          <cell r="A10">
            <v>1010</v>
          </cell>
          <cell r="D10">
            <v>0</v>
          </cell>
        </row>
        <row r="11">
          <cell r="A11">
            <v>1010</v>
          </cell>
          <cell r="D11">
            <v>0</v>
          </cell>
        </row>
        <row r="12">
          <cell r="A12">
            <v>1010</v>
          </cell>
          <cell r="D12">
            <v>0</v>
          </cell>
        </row>
        <row r="13">
          <cell r="A13">
            <v>1010</v>
          </cell>
          <cell r="D13">
            <v>0</v>
          </cell>
        </row>
        <row r="14">
          <cell r="A14">
            <v>1010</v>
          </cell>
          <cell r="D14">
            <v>0</v>
          </cell>
        </row>
        <row r="15">
          <cell r="A15">
            <v>1010</v>
          </cell>
          <cell r="D15">
            <v>1821.04</v>
          </cell>
        </row>
        <row r="16">
          <cell r="A16">
            <v>1010</v>
          </cell>
          <cell r="D16">
            <v>10628</v>
          </cell>
        </row>
        <row r="17">
          <cell r="A17">
            <v>1010</v>
          </cell>
          <cell r="D17">
            <v>0</v>
          </cell>
        </row>
        <row r="18">
          <cell r="A18">
            <v>1010</v>
          </cell>
          <cell r="D18">
            <v>0</v>
          </cell>
        </row>
        <row r="19">
          <cell r="A19">
            <v>1010</v>
          </cell>
          <cell r="D19">
            <v>0</v>
          </cell>
        </row>
        <row r="20">
          <cell r="A20">
            <v>1010</v>
          </cell>
          <cell r="D20">
            <v>0</v>
          </cell>
        </row>
        <row r="21">
          <cell r="A21">
            <v>1010</v>
          </cell>
          <cell r="D21">
            <v>0</v>
          </cell>
        </row>
        <row r="22">
          <cell r="A22">
            <v>1010</v>
          </cell>
          <cell r="D22">
            <v>0</v>
          </cell>
        </row>
        <row r="23">
          <cell r="A23">
            <v>1010</v>
          </cell>
          <cell r="D23">
            <v>0</v>
          </cell>
        </row>
        <row r="24">
          <cell r="A24">
            <v>1010</v>
          </cell>
          <cell r="D24">
            <v>148.02000000000001</v>
          </cell>
        </row>
        <row r="25">
          <cell r="A25">
            <v>1010</v>
          </cell>
          <cell r="D25">
            <v>6892.85</v>
          </cell>
        </row>
        <row r="26">
          <cell r="A26">
            <v>1010</v>
          </cell>
          <cell r="D26">
            <v>374.47</v>
          </cell>
        </row>
        <row r="27">
          <cell r="A27">
            <v>1010</v>
          </cell>
          <cell r="D27">
            <v>7.19</v>
          </cell>
        </row>
        <row r="28">
          <cell r="A28">
            <v>1010</v>
          </cell>
          <cell r="D28">
            <v>0</v>
          </cell>
        </row>
        <row r="29">
          <cell r="A29">
            <v>1010</v>
          </cell>
          <cell r="D29">
            <v>10.9</v>
          </cell>
        </row>
        <row r="30">
          <cell r="A30">
            <v>1010</v>
          </cell>
          <cell r="D30">
            <v>63.83</v>
          </cell>
        </row>
        <row r="31">
          <cell r="A31">
            <v>1010</v>
          </cell>
          <cell r="D31">
            <v>9.1999999999999993</v>
          </cell>
        </row>
        <row r="32">
          <cell r="A32">
            <v>1010</v>
          </cell>
          <cell r="D32">
            <v>54.24</v>
          </cell>
        </row>
        <row r="33">
          <cell r="A33">
            <v>1010</v>
          </cell>
          <cell r="D33">
            <v>69.25</v>
          </cell>
        </row>
        <row r="34">
          <cell r="A34">
            <v>1010</v>
          </cell>
          <cell r="D34">
            <v>33.17</v>
          </cell>
        </row>
        <row r="35">
          <cell r="A35">
            <v>1010</v>
          </cell>
          <cell r="D35">
            <v>-5315.71</v>
          </cell>
        </row>
        <row r="36">
          <cell r="A36">
            <v>1010</v>
          </cell>
          <cell r="D36">
            <v>0</v>
          </cell>
        </row>
        <row r="37">
          <cell r="A37">
            <v>1010</v>
          </cell>
          <cell r="D37">
            <v>0</v>
          </cell>
        </row>
        <row r="39">
          <cell r="A39" t="str">
            <v>1020</v>
          </cell>
          <cell r="D39">
            <v>5358152.1100000003</v>
          </cell>
        </row>
        <row r="40">
          <cell r="A40" t="str">
            <v>Cash</v>
          </cell>
          <cell r="D40">
            <v>5583722.29</v>
          </cell>
        </row>
        <row r="41">
          <cell r="A41">
            <v>1050</v>
          </cell>
          <cell r="D41">
            <v>0</v>
          </cell>
        </row>
        <row r="42">
          <cell r="A42" t="str">
            <v>Short-term Available-for-sale Investments</v>
          </cell>
          <cell r="D42">
            <v>0</v>
          </cell>
        </row>
        <row r="43">
          <cell r="A43">
            <v>1100</v>
          </cell>
          <cell r="D43">
            <v>0</v>
          </cell>
        </row>
        <row r="44">
          <cell r="A44">
            <v>1100</v>
          </cell>
          <cell r="D44">
            <v>691069.43</v>
          </cell>
        </row>
        <row r="45">
          <cell r="A45">
            <v>1100</v>
          </cell>
          <cell r="D45">
            <v>0</v>
          </cell>
        </row>
        <row r="46">
          <cell r="A46">
            <v>1100</v>
          </cell>
          <cell r="D46">
            <v>0</v>
          </cell>
        </row>
        <row r="47">
          <cell r="A47" t="str">
            <v>Accounts Receivable</v>
          </cell>
          <cell r="D47">
            <v>691069.43</v>
          </cell>
        </row>
        <row r="48">
          <cell r="A48" t="str">
            <v>IC_OTHER</v>
          </cell>
          <cell r="D48">
            <v>24807.25</v>
          </cell>
        </row>
        <row r="49">
          <cell r="A49" t="str">
            <v>IC_OTHER</v>
          </cell>
          <cell r="D49">
            <v>0</v>
          </cell>
        </row>
        <row r="50">
          <cell r="A50" t="str">
            <v>IC_OTHER</v>
          </cell>
          <cell r="D50">
            <v>162478.78</v>
          </cell>
        </row>
        <row r="51">
          <cell r="A51" t="str">
            <v>IC_OTHER</v>
          </cell>
          <cell r="D51">
            <v>0</v>
          </cell>
        </row>
        <row r="52">
          <cell r="A52" t="str">
            <v>IC_OTHER</v>
          </cell>
          <cell r="D52">
            <v>48274.92</v>
          </cell>
        </row>
        <row r="53">
          <cell r="A53" t="str">
            <v>IC_OTHER</v>
          </cell>
          <cell r="D53">
            <v>-18753.11</v>
          </cell>
        </row>
        <row r="54">
          <cell r="A54" t="str">
            <v>IC_OTHER</v>
          </cell>
          <cell r="D54">
            <v>340338.75</v>
          </cell>
        </row>
        <row r="55">
          <cell r="A55" t="str">
            <v>IC_OTHER</v>
          </cell>
          <cell r="D55">
            <v>57287.64</v>
          </cell>
        </row>
        <row r="56">
          <cell r="A56" t="str">
            <v>IC_OTHER</v>
          </cell>
          <cell r="D56">
            <v>-145</v>
          </cell>
        </row>
        <row r="57">
          <cell r="A57" t="str">
            <v>IC_OTHER</v>
          </cell>
          <cell r="D57">
            <v>152024.47</v>
          </cell>
        </row>
        <row r="58">
          <cell r="A58" t="str">
            <v>IC_OTHER</v>
          </cell>
          <cell r="D58">
            <v>398.43</v>
          </cell>
        </row>
        <row r="59">
          <cell r="A59" t="str">
            <v>IC_OTHER</v>
          </cell>
          <cell r="D59">
            <v>21308.1</v>
          </cell>
        </row>
        <row r="60">
          <cell r="A60" t="str">
            <v>IC_OTHER</v>
          </cell>
          <cell r="D60">
            <v>1218.75</v>
          </cell>
        </row>
        <row r="61">
          <cell r="A61" t="str">
            <v>IC_OTHER</v>
          </cell>
          <cell r="D61">
            <v>0</v>
          </cell>
        </row>
        <row r="62">
          <cell r="A62" t="str">
            <v>IC_OTHER</v>
          </cell>
          <cell r="D62">
            <v>-1359718</v>
          </cell>
        </row>
        <row r="63">
          <cell r="A63" t="str">
            <v>IC_OTHER</v>
          </cell>
          <cell r="D63">
            <v>0</v>
          </cell>
        </row>
        <row r="64">
          <cell r="A64" t="str">
            <v>IC_OTHER</v>
          </cell>
          <cell r="D64">
            <v>0</v>
          </cell>
        </row>
        <row r="65">
          <cell r="A65" t="str">
            <v>IC_OTHER</v>
          </cell>
          <cell r="D65">
            <v>-15844.51</v>
          </cell>
        </row>
        <row r="66">
          <cell r="A66" t="str">
            <v>IC_OTHER</v>
          </cell>
          <cell r="D66">
            <v>-17675.88</v>
          </cell>
        </row>
        <row r="67">
          <cell r="A67" t="str">
            <v>IC_OTHER</v>
          </cell>
          <cell r="D67">
            <v>66227.740000000005</v>
          </cell>
        </row>
        <row r="68">
          <cell r="A68" t="str">
            <v>IC_OTHER</v>
          </cell>
          <cell r="D68">
            <v>0</v>
          </cell>
        </row>
        <row r="69">
          <cell r="A69" t="str">
            <v>IC_OTHER</v>
          </cell>
          <cell r="D69">
            <v>0</v>
          </cell>
        </row>
        <row r="70">
          <cell r="A70" t="str">
            <v>IC_OTHER</v>
          </cell>
          <cell r="D70">
            <v>160000.57</v>
          </cell>
        </row>
        <row r="71">
          <cell r="A71" t="str">
            <v>IC_OTHER</v>
          </cell>
          <cell r="D71">
            <v>0</v>
          </cell>
        </row>
        <row r="72">
          <cell r="A72" t="str">
            <v>IC_OTHER</v>
          </cell>
          <cell r="D72">
            <v>0</v>
          </cell>
        </row>
        <row r="73">
          <cell r="A73" t="str">
            <v>IC_OTHER</v>
          </cell>
          <cell r="D73">
            <v>-962241.76</v>
          </cell>
        </row>
        <row r="74">
          <cell r="A74" t="str">
            <v>IC_OTHER</v>
          </cell>
          <cell r="D74">
            <v>0</v>
          </cell>
        </row>
        <row r="75">
          <cell r="A75" t="str">
            <v>IC_OTHER</v>
          </cell>
          <cell r="D75">
            <v>0</v>
          </cell>
        </row>
        <row r="76">
          <cell r="A76" t="str">
            <v>IC_OTHER</v>
          </cell>
          <cell r="D76">
            <v>-816672.65</v>
          </cell>
        </row>
        <row r="77">
          <cell r="A77" t="str">
            <v>IC_OTHER</v>
          </cell>
          <cell r="D77">
            <v>1493698.17</v>
          </cell>
        </row>
        <row r="78">
          <cell r="A78" t="str">
            <v>IC_OTHER</v>
          </cell>
          <cell r="D78">
            <v>-17668.91</v>
          </cell>
        </row>
        <row r="79">
          <cell r="A79" t="str">
            <v>IC_OTHER</v>
          </cell>
          <cell r="D79">
            <v>0</v>
          </cell>
        </row>
        <row r="80">
          <cell r="A80" t="str">
            <v>IC_OTHER</v>
          </cell>
          <cell r="D80">
            <v>0</v>
          </cell>
        </row>
        <row r="81">
          <cell r="A81" t="str">
            <v>IC_OTHER</v>
          </cell>
          <cell r="D81">
            <v>-26876.83</v>
          </cell>
        </row>
        <row r="82">
          <cell r="A82" t="str">
            <v>IC_OTHER</v>
          </cell>
          <cell r="D82">
            <v>-7674.62</v>
          </cell>
        </row>
        <row r="83">
          <cell r="A83" t="str">
            <v>IC_OTHER</v>
          </cell>
          <cell r="D83">
            <v>-3870.7</v>
          </cell>
        </row>
        <row r="84">
          <cell r="A84" t="str">
            <v>IC_OTHER</v>
          </cell>
          <cell r="D84">
            <v>0</v>
          </cell>
        </row>
        <row r="85">
          <cell r="A85" t="str">
            <v>IC_OTHER</v>
          </cell>
          <cell r="D85">
            <v>-21120</v>
          </cell>
        </row>
        <row r="86">
          <cell r="A86" t="str">
            <v>IC_OTHER</v>
          </cell>
          <cell r="D86">
            <v>-30000</v>
          </cell>
        </row>
        <row r="87">
          <cell r="A87" t="str">
            <v>IC_OTHER</v>
          </cell>
          <cell r="D87">
            <v>-34144.19</v>
          </cell>
        </row>
        <row r="88">
          <cell r="A88" t="str">
            <v>IC_OTHER</v>
          </cell>
          <cell r="D88">
            <v>-6509.6</v>
          </cell>
        </row>
        <row r="89">
          <cell r="A89" t="str">
            <v>IC_OTHER</v>
          </cell>
          <cell r="D89">
            <v>0</v>
          </cell>
        </row>
        <row r="90">
          <cell r="A90" t="str">
            <v>IC_OTHER</v>
          </cell>
          <cell r="D90">
            <v>0</v>
          </cell>
        </row>
        <row r="91">
          <cell r="A91" t="str">
            <v>IC_OTHER</v>
          </cell>
          <cell r="D91">
            <v>-233225.55</v>
          </cell>
        </row>
        <row r="92">
          <cell r="A92" t="str">
            <v>IC_OTHER</v>
          </cell>
          <cell r="D92">
            <v>0</v>
          </cell>
        </row>
        <row r="93">
          <cell r="A93" t="str">
            <v>IC_OTHER</v>
          </cell>
          <cell r="D93">
            <v>-82263</v>
          </cell>
        </row>
        <row r="94">
          <cell r="A94" t="str">
            <v>IC_OTHER</v>
          </cell>
          <cell r="D94">
            <v>0</v>
          </cell>
        </row>
        <row r="95">
          <cell r="A95" t="str">
            <v>Current Account + Royalty Payable</v>
          </cell>
          <cell r="D95">
            <v>-1126340.7399999998</v>
          </cell>
        </row>
        <row r="96">
          <cell r="A96">
            <v>1130</v>
          </cell>
          <cell r="D96">
            <v>0</v>
          </cell>
        </row>
        <row r="97">
          <cell r="A97">
            <v>1130</v>
          </cell>
          <cell r="D97">
            <v>0</v>
          </cell>
        </row>
        <row r="98">
          <cell r="A98">
            <v>1130</v>
          </cell>
          <cell r="D98">
            <v>-646.5</v>
          </cell>
        </row>
        <row r="99">
          <cell r="A99">
            <v>1130</v>
          </cell>
          <cell r="D99">
            <v>0</v>
          </cell>
        </row>
        <row r="100">
          <cell r="A100">
            <v>1130</v>
          </cell>
          <cell r="D100">
            <v>0</v>
          </cell>
        </row>
        <row r="101">
          <cell r="A101">
            <v>1130</v>
          </cell>
          <cell r="D101">
            <v>0</v>
          </cell>
        </row>
        <row r="102">
          <cell r="A102">
            <v>1130</v>
          </cell>
          <cell r="D102">
            <v>0</v>
          </cell>
        </row>
        <row r="103">
          <cell r="A103">
            <v>1130</v>
          </cell>
          <cell r="D103">
            <v>0</v>
          </cell>
        </row>
        <row r="104">
          <cell r="A104">
            <v>1130</v>
          </cell>
          <cell r="D104">
            <v>0</v>
          </cell>
        </row>
        <row r="105">
          <cell r="A105">
            <v>1130</v>
          </cell>
          <cell r="D105">
            <v>133948.79</v>
          </cell>
        </row>
        <row r="106">
          <cell r="A106">
            <v>1130</v>
          </cell>
          <cell r="D106">
            <v>0</v>
          </cell>
        </row>
        <row r="107">
          <cell r="A107">
            <v>1130</v>
          </cell>
          <cell r="D107">
            <v>1000</v>
          </cell>
        </row>
        <row r="108">
          <cell r="A108">
            <v>1130</v>
          </cell>
          <cell r="D108">
            <v>0</v>
          </cell>
        </row>
        <row r="109">
          <cell r="A109" t="str">
            <v>Notes &amp; Loans to Employees</v>
          </cell>
          <cell r="D109">
            <v>134302.29</v>
          </cell>
        </row>
        <row r="110">
          <cell r="A110">
            <v>1140</v>
          </cell>
          <cell r="D110">
            <v>0</v>
          </cell>
        </row>
        <row r="111">
          <cell r="A111">
            <v>1140</v>
          </cell>
          <cell r="D111">
            <v>0</v>
          </cell>
        </row>
        <row r="112">
          <cell r="A112">
            <v>1140</v>
          </cell>
          <cell r="D112">
            <v>3320.12</v>
          </cell>
        </row>
        <row r="113">
          <cell r="A113">
            <v>1140</v>
          </cell>
          <cell r="D113">
            <v>4333.32</v>
          </cell>
        </row>
        <row r="114">
          <cell r="A114">
            <v>1140</v>
          </cell>
          <cell r="D114">
            <v>24500</v>
          </cell>
        </row>
        <row r="115">
          <cell r="A115">
            <v>1140</v>
          </cell>
          <cell r="D115">
            <v>16100</v>
          </cell>
        </row>
        <row r="116">
          <cell r="A116" t="str">
            <v>Other Accounts Receivable</v>
          </cell>
          <cell r="D116">
            <v>7653.44</v>
          </cell>
        </row>
        <row r="117">
          <cell r="A117">
            <v>1145</v>
          </cell>
          <cell r="D117">
            <v>-29686</v>
          </cell>
        </row>
        <row r="118">
          <cell r="A118" t="str">
            <v>Other Accounts Receivable</v>
          </cell>
          <cell r="D118">
            <v>48253.440000000002</v>
          </cell>
        </row>
        <row r="119">
          <cell r="A119">
            <v>1150</v>
          </cell>
          <cell r="D119">
            <v>-40413.15</v>
          </cell>
        </row>
        <row r="120">
          <cell r="A120" t="str">
            <v>Reserve for Doubtful Accounts</v>
          </cell>
          <cell r="D120">
            <v>-40413.15</v>
          </cell>
        </row>
        <row r="121">
          <cell r="A121">
            <v>1200</v>
          </cell>
          <cell r="D121">
            <v>16496.29</v>
          </cell>
        </row>
        <row r="122">
          <cell r="A122" t="str">
            <v>Unbilled Contract Costs &amp; Fees</v>
          </cell>
          <cell r="D122">
            <v>16496.29</v>
          </cell>
        </row>
        <row r="123">
          <cell r="A123">
            <v>1300</v>
          </cell>
          <cell r="D123">
            <v>5979.06</v>
          </cell>
        </row>
        <row r="124">
          <cell r="A124">
            <v>1300</v>
          </cell>
          <cell r="D124">
            <v>0</v>
          </cell>
        </row>
        <row r="125">
          <cell r="A125">
            <v>1300</v>
          </cell>
          <cell r="D125">
            <v>19138.849999999999</v>
          </cell>
        </row>
        <row r="126">
          <cell r="A126">
            <v>1300</v>
          </cell>
          <cell r="D126">
            <v>8507.7199999999993</v>
          </cell>
        </row>
        <row r="127">
          <cell r="A127">
            <v>1300</v>
          </cell>
          <cell r="D127">
            <v>27865.279999999999</v>
          </cell>
        </row>
        <row r="128">
          <cell r="A128">
            <v>1300</v>
          </cell>
          <cell r="D128">
            <v>0</v>
          </cell>
        </row>
        <row r="129">
          <cell r="A129">
            <v>1300</v>
          </cell>
          <cell r="D129">
            <v>193617.5</v>
          </cell>
        </row>
        <row r="130">
          <cell r="A130">
            <v>1300</v>
          </cell>
          <cell r="D130">
            <v>1202670.03</v>
          </cell>
        </row>
        <row r="131">
          <cell r="A131">
            <v>1300</v>
          </cell>
          <cell r="D131">
            <v>304.41000000000003</v>
          </cell>
        </row>
        <row r="132">
          <cell r="A132">
            <v>1300</v>
          </cell>
          <cell r="D132">
            <v>1691.56</v>
          </cell>
        </row>
        <row r="133">
          <cell r="A133">
            <v>1300</v>
          </cell>
          <cell r="D133">
            <v>275.33999999999997</v>
          </cell>
        </row>
        <row r="134">
          <cell r="A134">
            <v>1300</v>
          </cell>
          <cell r="D134">
            <v>0</v>
          </cell>
        </row>
        <row r="135">
          <cell r="A135">
            <v>1300</v>
          </cell>
          <cell r="D135">
            <v>0</v>
          </cell>
        </row>
        <row r="136">
          <cell r="A136">
            <v>1300</v>
          </cell>
          <cell r="D136">
            <v>0</v>
          </cell>
        </row>
        <row r="137">
          <cell r="A137">
            <v>1300</v>
          </cell>
          <cell r="D137">
            <v>0</v>
          </cell>
        </row>
        <row r="138">
          <cell r="A138">
            <v>1300</v>
          </cell>
          <cell r="D138">
            <v>0</v>
          </cell>
        </row>
        <row r="139">
          <cell r="A139">
            <v>1300</v>
          </cell>
          <cell r="D139">
            <v>0</v>
          </cell>
        </row>
        <row r="140">
          <cell r="A140">
            <v>1300</v>
          </cell>
          <cell r="D140">
            <v>6453.14</v>
          </cell>
        </row>
        <row r="141">
          <cell r="A141">
            <v>1300</v>
          </cell>
          <cell r="D141">
            <v>0</v>
          </cell>
        </row>
        <row r="142">
          <cell r="A142">
            <v>1300</v>
          </cell>
          <cell r="D142">
            <v>0</v>
          </cell>
        </row>
        <row r="143">
          <cell r="A143">
            <v>1300</v>
          </cell>
          <cell r="D143">
            <v>82.68</v>
          </cell>
        </row>
        <row r="144">
          <cell r="A144">
            <v>1300</v>
          </cell>
          <cell r="D144">
            <v>0</v>
          </cell>
        </row>
        <row r="145">
          <cell r="A145">
            <v>1300</v>
          </cell>
          <cell r="D145">
            <v>11916.06</v>
          </cell>
        </row>
        <row r="146">
          <cell r="A146">
            <v>1300</v>
          </cell>
          <cell r="D146">
            <v>2031.58</v>
          </cell>
        </row>
        <row r="147">
          <cell r="A147">
            <v>1300</v>
          </cell>
          <cell r="D147">
            <v>0</v>
          </cell>
        </row>
        <row r="148">
          <cell r="A148">
            <v>1300</v>
          </cell>
          <cell r="D148">
            <v>636.61</v>
          </cell>
        </row>
        <row r="149">
          <cell r="A149">
            <v>1300</v>
          </cell>
          <cell r="D149">
            <v>969.07</v>
          </cell>
        </row>
        <row r="150">
          <cell r="A150">
            <v>1300</v>
          </cell>
          <cell r="D150">
            <v>299.37</v>
          </cell>
        </row>
        <row r="151">
          <cell r="A151">
            <v>1300</v>
          </cell>
          <cell r="D151">
            <v>52</v>
          </cell>
        </row>
        <row r="152">
          <cell r="A152">
            <v>1300</v>
          </cell>
          <cell r="D152">
            <v>0</v>
          </cell>
        </row>
        <row r="153">
          <cell r="A153">
            <v>1300</v>
          </cell>
          <cell r="D153">
            <v>0</v>
          </cell>
        </row>
        <row r="154">
          <cell r="A154">
            <v>1300</v>
          </cell>
          <cell r="D154">
            <v>0</v>
          </cell>
        </row>
        <row r="155">
          <cell r="A155">
            <v>1300</v>
          </cell>
          <cell r="D155">
            <v>1687.38</v>
          </cell>
        </row>
        <row r="156">
          <cell r="A156">
            <v>1300</v>
          </cell>
          <cell r="D156">
            <v>3783.11</v>
          </cell>
        </row>
        <row r="157">
          <cell r="A157">
            <v>1300</v>
          </cell>
          <cell r="D157">
            <v>973.35</v>
          </cell>
        </row>
        <row r="158">
          <cell r="A158">
            <v>1300</v>
          </cell>
          <cell r="D158">
            <v>0</v>
          </cell>
        </row>
        <row r="159">
          <cell r="A159">
            <v>1300</v>
          </cell>
          <cell r="D159">
            <v>0</v>
          </cell>
        </row>
        <row r="160">
          <cell r="A160">
            <v>1300</v>
          </cell>
          <cell r="D160">
            <v>74189.34</v>
          </cell>
        </row>
        <row r="161">
          <cell r="A161">
            <v>1300</v>
          </cell>
          <cell r="D161">
            <v>680.49</v>
          </cell>
        </row>
        <row r="162">
          <cell r="A162">
            <v>1300</v>
          </cell>
          <cell r="D162">
            <v>0</v>
          </cell>
        </row>
        <row r="163">
          <cell r="A163">
            <v>1300</v>
          </cell>
          <cell r="D163">
            <v>0</v>
          </cell>
        </row>
        <row r="164">
          <cell r="A164">
            <v>1300</v>
          </cell>
          <cell r="D164">
            <v>0</v>
          </cell>
        </row>
        <row r="165">
          <cell r="A165">
            <v>1300</v>
          </cell>
          <cell r="D165">
            <v>0</v>
          </cell>
        </row>
        <row r="166">
          <cell r="A166">
            <v>1300</v>
          </cell>
          <cell r="D166">
            <v>29000.36</v>
          </cell>
        </row>
        <row r="167">
          <cell r="A167">
            <v>1300</v>
          </cell>
          <cell r="D167">
            <v>0</v>
          </cell>
        </row>
        <row r="168">
          <cell r="A168">
            <v>1300</v>
          </cell>
          <cell r="D168">
            <v>0</v>
          </cell>
        </row>
        <row r="169">
          <cell r="A169">
            <v>1300</v>
          </cell>
          <cell r="D169">
            <v>132570.5</v>
          </cell>
        </row>
        <row r="170">
          <cell r="A170">
            <v>1300</v>
          </cell>
          <cell r="D170">
            <v>-39454.07</v>
          </cell>
        </row>
        <row r="171">
          <cell r="A171" t="str">
            <v>Inventory - RM &amp; FG, Gross</v>
          </cell>
          <cell r="D171">
            <v>1685920.7200000004</v>
          </cell>
        </row>
        <row r="172">
          <cell r="A172">
            <v>1310</v>
          </cell>
          <cell r="D172">
            <v>0</v>
          </cell>
        </row>
        <row r="173">
          <cell r="A173">
            <v>1310</v>
          </cell>
          <cell r="D173">
            <v>0</v>
          </cell>
        </row>
        <row r="174">
          <cell r="A174">
            <v>1310</v>
          </cell>
          <cell r="D174">
            <v>8655.7999999999993</v>
          </cell>
        </row>
        <row r="175">
          <cell r="A175">
            <v>1310</v>
          </cell>
          <cell r="D175">
            <v>0</v>
          </cell>
        </row>
        <row r="176">
          <cell r="A176">
            <v>1310</v>
          </cell>
          <cell r="D176">
            <v>10290.25</v>
          </cell>
        </row>
        <row r="177">
          <cell r="A177">
            <v>1310</v>
          </cell>
          <cell r="D177">
            <v>0</v>
          </cell>
        </row>
        <row r="178">
          <cell r="A178">
            <v>1310</v>
          </cell>
          <cell r="D178">
            <v>0</v>
          </cell>
        </row>
        <row r="179">
          <cell r="A179">
            <v>1310</v>
          </cell>
          <cell r="D179">
            <v>0</v>
          </cell>
        </row>
        <row r="180">
          <cell r="A180">
            <v>1310</v>
          </cell>
          <cell r="D180">
            <v>15557.83</v>
          </cell>
        </row>
        <row r="181">
          <cell r="A181">
            <v>1310</v>
          </cell>
          <cell r="D181">
            <v>0</v>
          </cell>
        </row>
        <row r="182">
          <cell r="A182">
            <v>1310</v>
          </cell>
          <cell r="D182">
            <v>0</v>
          </cell>
        </row>
        <row r="183">
          <cell r="A183">
            <v>1310</v>
          </cell>
          <cell r="D183">
            <v>35.31</v>
          </cell>
        </row>
        <row r="184">
          <cell r="A184">
            <v>1310</v>
          </cell>
          <cell r="D184">
            <v>0</v>
          </cell>
        </row>
        <row r="185">
          <cell r="A185">
            <v>1310</v>
          </cell>
          <cell r="D185">
            <v>3962.1</v>
          </cell>
        </row>
        <row r="186">
          <cell r="A186">
            <v>1310</v>
          </cell>
          <cell r="D186">
            <v>0</v>
          </cell>
        </row>
        <row r="187">
          <cell r="A187">
            <v>1310</v>
          </cell>
          <cell r="D187">
            <v>941.11</v>
          </cell>
        </row>
        <row r="188">
          <cell r="A188">
            <v>1310</v>
          </cell>
          <cell r="D188">
            <v>0</v>
          </cell>
        </row>
        <row r="189">
          <cell r="A189">
            <v>1310</v>
          </cell>
          <cell r="D189">
            <v>0</v>
          </cell>
        </row>
        <row r="190">
          <cell r="A190">
            <v>1310</v>
          </cell>
          <cell r="D190">
            <v>0</v>
          </cell>
        </row>
        <row r="191">
          <cell r="A191">
            <v>1310</v>
          </cell>
          <cell r="D191">
            <v>2351.14</v>
          </cell>
        </row>
        <row r="192">
          <cell r="A192">
            <v>1310</v>
          </cell>
          <cell r="D192">
            <v>1257.21</v>
          </cell>
        </row>
        <row r="193">
          <cell r="A193">
            <v>1310</v>
          </cell>
          <cell r="D193">
            <v>36604.410000000003</v>
          </cell>
        </row>
        <row r="194">
          <cell r="A194">
            <v>1310</v>
          </cell>
          <cell r="D194">
            <v>0</v>
          </cell>
        </row>
        <row r="195">
          <cell r="A195">
            <v>1310</v>
          </cell>
          <cell r="D195">
            <v>0</v>
          </cell>
        </row>
        <row r="196">
          <cell r="A196">
            <v>1310</v>
          </cell>
          <cell r="D196">
            <v>1012.8</v>
          </cell>
        </row>
        <row r="197">
          <cell r="A197">
            <v>1310</v>
          </cell>
          <cell r="D197">
            <v>7755.45</v>
          </cell>
        </row>
        <row r="198">
          <cell r="A198">
            <v>1310</v>
          </cell>
          <cell r="D198">
            <v>373.65</v>
          </cell>
        </row>
        <row r="199">
          <cell r="A199">
            <v>1310</v>
          </cell>
          <cell r="D199">
            <v>0</v>
          </cell>
        </row>
        <row r="200">
          <cell r="A200">
            <v>1310</v>
          </cell>
          <cell r="D200">
            <v>674.84</v>
          </cell>
        </row>
        <row r="201">
          <cell r="A201">
            <v>1310</v>
          </cell>
          <cell r="D201">
            <v>0</v>
          </cell>
        </row>
        <row r="202">
          <cell r="A202">
            <v>1310</v>
          </cell>
          <cell r="D202">
            <v>0</v>
          </cell>
        </row>
        <row r="203">
          <cell r="A203">
            <v>1310</v>
          </cell>
          <cell r="D203">
            <v>0</v>
          </cell>
        </row>
        <row r="204">
          <cell r="A204">
            <v>1310</v>
          </cell>
          <cell r="D204">
            <v>285.82</v>
          </cell>
        </row>
        <row r="205">
          <cell r="A205">
            <v>1310</v>
          </cell>
          <cell r="D205">
            <v>24672.92</v>
          </cell>
        </row>
        <row r="206">
          <cell r="A206">
            <v>1310</v>
          </cell>
          <cell r="D206">
            <v>0</v>
          </cell>
        </row>
        <row r="207">
          <cell r="A207">
            <v>1310</v>
          </cell>
          <cell r="D207">
            <v>0</v>
          </cell>
        </row>
        <row r="208">
          <cell r="A208">
            <v>1310</v>
          </cell>
          <cell r="D208">
            <v>37923.870000000003</v>
          </cell>
        </row>
        <row r="209">
          <cell r="A209">
            <v>1310</v>
          </cell>
          <cell r="D209">
            <v>0</v>
          </cell>
        </row>
        <row r="210">
          <cell r="A210">
            <v>1310</v>
          </cell>
          <cell r="D210">
            <v>0</v>
          </cell>
        </row>
        <row r="211">
          <cell r="A211">
            <v>1310</v>
          </cell>
          <cell r="D211">
            <v>1560.64</v>
          </cell>
        </row>
        <row r="212">
          <cell r="A212">
            <v>1310</v>
          </cell>
          <cell r="D212">
            <v>0</v>
          </cell>
        </row>
        <row r="213">
          <cell r="A213">
            <v>1310</v>
          </cell>
          <cell r="D213">
            <v>0</v>
          </cell>
        </row>
        <row r="214">
          <cell r="A214">
            <v>1310</v>
          </cell>
          <cell r="D214">
            <v>0</v>
          </cell>
        </row>
        <row r="215">
          <cell r="A215">
            <v>1310</v>
          </cell>
          <cell r="D215">
            <v>0</v>
          </cell>
        </row>
        <row r="216">
          <cell r="A216">
            <v>1310</v>
          </cell>
          <cell r="D216">
            <v>0</v>
          </cell>
        </row>
        <row r="217">
          <cell r="A217">
            <v>1310</v>
          </cell>
          <cell r="D217">
            <v>0</v>
          </cell>
        </row>
        <row r="218">
          <cell r="A218">
            <v>1310</v>
          </cell>
          <cell r="D218">
            <v>0</v>
          </cell>
        </row>
        <row r="219">
          <cell r="A219">
            <v>1310</v>
          </cell>
          <cell r="D219">
            <v>0</v>
          </cell>
        </row>
        <row r="220">
          <cell r="A220">
            <v>1310</v>
          </cell>
          <cell r="D220">
            <v>0</v>
          </cell>
        </row>
        <row r="221">
          <cell r="A221">
            <v>1310</v>
          </cell>
          <cell r="D221">
            <v>-845.64</v>
          </cell>
        </row>
        <row r="222">
          <cell r="A222">
            <v>1310</v>
          </cell>
          <cell r="D222">
            <v>0</v>
          </cell>
        </row>
        <row r="223">
          <cell r="A223">
            <v>1310</v>
          </cell>
          <cell r="D223">
            <v>474.11</v>
          </cell>
        </row>
        <row r="224">
          <cell r="A224">
            <v>1310</v>
          </cell>
          <cell r="D224">
            <v>0</v>
          </cell>
        </row>
        <row r="225">
          <cell r="A225">
            <v>1310</v>
          </cell>
          <cell r="D225">
            <v>0</v>
          </cell>
        </row>
        <row r="226">
          <cell r="A226">
            <v>1310</v>
          </cell>
          <cell r="D226">
            <v>0</v>
          </cell>
        </row>
        <row r="227">
          <cell r="A227">
            <v>1310</v>
          </cell>
          <cell r="D227">
            <v>-1522.28</v>
          </cell>
        </row>
        <row r="228">
          <cell r="A228">
            <v>1310</v>
          </cell>
          <cell r="D228">
            <v>0</v>
          </cell>
        </row>
        <row r="229">
          <cell r="A229">
            <v>1310</v>
          </cell>
          <cell r="D229">
            <v>0</v>
          </cell>
        </row>
        <row r="230">
          <cell r="A230">
            <v>1310</v>
          </cell>
          <cell r="D230">
            <v>-15.15</v>
          </cell>
        </row>
        <row r="231">
          <cell r="A231">
            <v>1310</v>
          </cell>
          <cell r="D231">
            <v>0</v>
          </cell>
        </row>
        <row r="232">
          <cell r="A232">
            <v>1310</v>
          </cell>
          <cell r="D232">
            <v>0</v>
          </cell>
        </row>
        <row r="233">
          <cell r="A233">
            <v>1310</v>
          </cell>
          <cell r="D233">
            <v>0</v>
          </cell>
        </row>
        <row r="234">
          <cell r="A234">
            <v>1310</v>
          </cell>
          <cell r="D234">
            <v>-865.24</v>
          </cell>
        </row>
        <row r="235">
          <cell r="A235">
            <v>1310</v>
          </cell>
          <cell r="D235">
            <v>0</v>
          </cell>
        </row>
        <row r="236">
          <cell r="A236">
            <v>1310</v>
          </cell>
          <cell r="D236">
            <v>132.58000000000001</v>
          </cell>
        </row>
        <row r="237">
          <cell r="A237">
            <v>1310</v>
          </cell>
          <cell r="D237">
            <v>0</v>
          </cell>
        </row>
        <row r="238">
          <cell r="A238">
            <v>1310</v>
          </cell>
          <cell r="D238">
            <v>0</v>
          </cell>
        </row>
        <row r="239">
          <cell r="A239">
            <v>1310</v>
          </cell>
          <cell r="D239">
            <v>0</v>
          </cell>
        </row>
        <row r="240">
          <cell r="A240">
            <v>1310</v>
          </cell>
          <cell r="D240">
            <v>482.86</v>
          </cell>
        </row>
        <row r="241">
          <cell r="A241">
            <v>1310</v>
          </cell>
          <cell r="D241">
            <v>258.99</v>
          </cell>
        </row>
        <row r="242">
          <cell r="A242">
            <v>1310</v>
          </cell>
          <cell r="D242">
            <v>-836.79</v>
          </cell>
        </row>
        <row r="243">
          <cell r="A243">
            <v>1310</v>
          </cell>
          <cell r="D243">
            <v>0</v>
          </cell>
        </row>
        <row r="244">
          <cell r="A244">
            <v>1310</v>
          </cell>
          <cell r="D244">
            <v>0</v>
          </cell>
        </row>
        <row r="245">
          <cell r="A245">
            <v>1310</v>
          </cell>
          <cell r="D245">
            <v>63.49</v>
          </cell>
        </row>
        <row r="246">
          <cell r="A246">
            <v>1310</v>
          </cell>
          <cell r="D246">
            <v>-481.8</v>
          </cell>
        </row>
        <row r="247">
          <cell r="A247">
            <v>1310</v>
          </cell>
          <cell r="D247">
            <v>83.03</v>
          </cell>
        </row>
        <row r="248">
          <cell r="A248">
            <v>1310</v>
          </cell>
          <cell r="D248">
            <v>0</v>
          </cell>
        </row>
        <row r="249">
          <cell r="A249">
            <v>1310</v>
          </cell>
          <cell r="D249">
            <v>-163.28</v>
          </cell>
        </row>
        <row r="250">
          <cell r="A250">
            <v>1310</v>
          </cell>
          <cell r="D250">
            <v>0</v>
          </cell>
        </row>
        <row r="251">
          <cell r="A251">
            <v>1310</v>
          </cell>
          <cell r="D251">
            <v>0</v>
          </cell>
        </row>
        <row r="252">
          <cell r="A252">
            <v>1310</v>
          </cell>
          <cell r="D252">
            <v>0</v>
          </cell>
        </row>
        <row r="253">
          <cell r="A253">
            <v>1310</v>
          </cell>
          <cell r="D253">
            <v>-114.64</v>
          </cell>
        </row>
        <row r="254">
          <cell r="A254">
            <v>1310</v>
          </cell>
          <cell r="D254">
            <v>258.13</v>
          </cell>
        </row>
        <row r="255">
          <cell r="A255">
            <v>1310</v>
          </cell>
          <cell r="D255">
            <v>0</v>
          </cell>
        </row>
        <row r="256">
          <cell r="A256">
            <v>1310</v>
          </cell>
          <cell r="D256">
            <v>0</v>
          </cell>
        </row>
        <row r="257">
          <cell r="A257">
            <v>1310</v>
          </cell>
          <cell r="D257">
            <v>534.23</v>
          </cell>
        </row>
        <row r="258">
          <cell r="A258">
            <v>1310</v>
          </cell>
          <cell r="D258">
            <v>0</v>
          </cell>
        </row>
        <row r="259">
          <cell r="A259">
            <v>1310</v>
          </cell>
          <cell r="D259">
            <v>0</v>
          </cell>
        </row>
        <row r="260">
          <cell r="A260">
            <v>1310</v>
          </cell>
          <cell r="D260">
            <v>21.25</v>
          </cell>
        </row>
        <row r="261">
          <cell r="A261">
            <v>1310</v>
          </cell>
          <cell r="D261">
            <v>0</v>
          </cell>
        </row>
        <row r="262">
          <cell r="A262">
            <v>1310</v>
          </cell>
          <cell r="D262">
            <v>0</v>
          </cell>
        </row>
        <row r="263">
          <cell r="A263">
            <v>1310</v>
          </cell>
          <cell r="D263">
            <v>0</v>
          </cell>
        </row>
        <row r="264">
          <cell r="A264">
            <v>1310</v>
          </cell>
          <cell r="D264">
            <v>0</v>
          </cell>
        </row>
        <row r="265">
          <cell r="A265">
            <v>1310</v>
          </cell>
          <cell r="D265">
            <v>0</v>
          </cell>
        </row>
        <row r="266">
          <cell r="A266">
            <v>1310</v>
          </cell>
          <cell r="D266">
            <v>0</v>
          </cell>
        </row>
        <row r="267">
          <cell r="A267">
            <v>1310</v>
          </cell>
          <cell r="D267">
            <v>-2989.83</v>
          </cell>
        </row>
        <row r="268">
          <cell r="A268">
            <v>1310</v>
          </cell>
          <cell r="D268">
            <v>0</v>
          </cell>
        </row>
        <row r="269">
          <cell r="A269">
            <v>1310</v>
          </cell>
          <cell r="D269">
            <v>1541.48</v>
          </cell>
        </row>
        <row r="270">
          <cell r="A270">
            <v>1310</v>
          </cell>
          <cell r="D270">
            <v>0</v>
          </cell>
        </row>
        <row r="271">
          <cell r="A271">
            <v>1310</v>
          </cell>
          <cell r="D271">
            <v>0</v>
          </cell>
        </row>
        <row r="272">
          <cell r="A272">
            <v>1310</v>
          </cell>
          <cell r="D272">
            <v>0</v>
          </cell>
        </row>
        <row r="273">
          <cell r="A273">
            <v>1310</v>
          </cell>
          <cell r="D273">
            <v>-5809.31</v>
          </cell>
        </row>
        <row r="274">
          <cell r="A274">
            <v>1310</v>
          </cell>
          <cell r="D274">
            <v>0</v>
          </cell>
        </row>
        <row r="275">
          <cell r="A275">
            <v>1310</v>
          </cell>
          <cell r="D275">
            <v>0</v>
          </cell>
        </row>
        <row r="276">
          <cell r="A276">
            <v>1310</v>
          </cell>
          <cell r="D276">
            <v>-20.16</v>
          </cell>
        </row>
        <row r="277">
          <cell r="A277">
            <v>1310</v>
          </cell>
          <cell r="D277">
            <v>0</v>
          </cell>
        </row>
        <row r="278">
          <cell r="A278">
            <v>1310</v>
          </cell>
          <cell r="D278">
            <v>0</v>
          </cell>
        </row>
        <row r="279">
          <cell r="A279">
            <v>1310</v>
          </cell>
          <cell r="D279">
            <v>0</v>
          </cell>
        </row>
        <row r="280">
          <cell r="A280">
            <v>1310</v>
          </cell>
          <cell r="D280">
            <v>-3096.86</v>
          </cell>
        </row>
        <row r="281">
          <cell r="A281">
            <v>1310</v>
          </cell>
          <cell r="D281">
            <v>0</v>
          </cell>
        </row>
        <row r="282">
          <cell r="A282">
            <v>1310</v>
          </cell>
          <cell r="D282">
            <v>280.48</v>
          </cell>
        </row>
        <row r="283">
          <cell r="A283">
            <v>1310</v>
          </cell>
          <cell r="D283">
            <v>0</v>
          </cell>
        </row>
        <row r="284">
          <cell r="A284">
            <v>1310</v>
          </cell>
          <cell r="D284">
            <v>0</v>
          </cell>
        </row>
        <row r="285">
          <cell r="A285">
            <v>1310</v>
          </cell>
          <cell r="D285">
            <v>0</v>
          </cell>
        </row>
        <row r="286">
          <cell r="A286">
            <v>1310</v>
          </cell>
          <cell r="D286">
            <v>1088.51</v>
          </cell>
        </row>
        <row r="287">
          <cell r="A287">
            <v>1310</v>
          </cell>
          <cell r="D287">
            <v>1209.44</v>
          </cell>
        </row>
        <row r="288">
          <cell r="A288">
            <v>1310</v>
          </cell>
          <cell r="D288">
            <v>-2443.75</v>
          </cell>
        </row>
        <row r="289">
          <cell r="A289">
            <v>1310</v>
          </cell>
          <cell r="D289">
            <v>0</v>
          </cell>
        </row>
        <row r="290">
          <cell r="A290">
            <v>1310</v>
          </cell>
          <cell r="D290">
            <v>0</v>
          </cell>
        </row>
        <row r="291">
          <cell r="A291">
            <v>1310</v>
          </cell>
          <cell r="D291">
            <v>217.01</v>
          </cell>
        </row>
        <row r="292">
          <cell r="A292">
            <v>1310</v>
          </cell>
          <cell r="D292">
            <v>-2587.39</v>
          </cell>
        </row>
        <row r="293">
          <cell r="A293">
            <v>1310</v>
          </cell>
          <cell r="D293">
            <v>221.7</v>
          </cell>
        </row>
        <row r="294">
          <cell r="A294">
            <v>1310</v>
          </cell>
          <cell r="D294">
            <v>0</v>
          </cell>
        </row>
        <row r="295">
          <cell r="A295">
            <v>1310</v>
          </cell>
          <cell r="D295">
            <v>-448.99</v>
          </cell>
        </row>
        <row r="296">
          <cell r="A296">
            <v>1310</v>
          </cell>
          <cell r="D296">
            <v>0</v>
          </cell>
        </row>
        <row r="297">
          <cell r="A297">
            <v>1310</v>
          </cell>
          <cell r="D297">
            <v>0</v>
          </cell>
        </row>
        <row r="298">
          <cell r="A298">
            <v>1310</v>
          </cell>
          <cell r="D298">
            <v>0</v>
          </cell>
        </row>
        <row r="299">
          <cell r="A299">
            <v>1310</v>
          </cell>
          <cell r="D299">
            <v>-151.22999999999999</v>
          </cell>
        </row>
        <row r="300">
          <cell r="A300">
            <v>1310</v>
          </cell>
          <cell r="D300">
            <v>-558.24</v>
          </cell>
        </row>
        <row r="301">
          <cell r="A301">
            <v>1310</v>
          </cell>
          <cell r="D301">
            <v>0</v>
          </cell>
        </row>
        <row r="302">
          <cell r="A302">
            <v>1310</v>
          </cell>
          <cell r="D302">
            <v>0</v>
          </cell>
        </row>
        <row r="303">
          <cell r="A303">
            <v>1310</v>
          </cell>
          <cell r="D303">
            <v>697.61</v>
          </cell>
        </row>
        <row r="304">
          <cell r="A304">
            <v>1310</v>
          </cell>
          <cell r="D304">
            <v>0</v>
          </cell>
        </row>
        <row r="305">
          <cell r="A305">
            <v>1310</v>
          </cell>
          <cell r="D305">
            <v>0</v>
          </cell>
        </row>
        <row r="306">
          <cell r="A306">
            <v>1310</v>
          </cell>
          <cell r="D306">
            <v>60.79</v>
          </cell>
        </row>
        <row r="307">
          <cell r="A307">
            <v>1310</v>
          </cell>
          <cell r="D307">
            <v>0</v>
          </cell>
        </row>
        <row r="308">
          <cell r="A308">
            <v>1310</v>
          </cell>
          <cell r="D308">
            <v>0</v>
          </cell>
        </row>
        <row r="309">
          <cell r="A309">
            <v>1310</v>
          </cell>
          <cell r="D309">
            <v>0</v>
          </cell>
        </row>
        <row r="310">
          <cell r="A310">
            <v>1310</v>
          </cell>
          <cell r="D310">
            <v>0</v>
          </cell>
        </row>
        <row r="311">
          <cell r="A311">
            <v>1310</v>
          </cell>
          <cell r="D311">
            <v>0</v>
          </cell>
        </row>
        <row r="312">
          <cell r="A312">
            <v>1310</v>
          </cell>
          <cell r="D312">
            <v>0</v>
          </cell>
        </row>
        <row r="313">
          <cell r="A313">
            <v>1310</v>
          </cell>
          <cell r="D313">
            <v>0</v>
          </cell>
        </row>
        <row r="314">
          <cell r="A314">
            <v>1310</v>
          </cell>
          <cell r="D314">
            <v>8141.07</v>
          </cell>
        </row>
        <row r="315">
          <cell r="A315">
            <v>1310</v>
          </cell>
          <cell r="D315">
            <v>0</v>
          </cell>
        </row>
        <row r="316">
          <cell r="A316">
            <v>1310</v>
          </cell>
          <cell r="D316">
            <v>-2774.67</v>
          </cell>
        </row>
        <row r="317">
          <cell r="A317">
            <v>1310</v>
          </cell>
          <cell r="D317">
            <v>0</v>
          </cell>
        </row>
        <row r="318">
          <cell r="A318">
            <v>1310</v>
          </cell>
          <cell r="D318">
            <v>0</v>
          </cell>
        </row>
        <row r="319">
          <cell r="A319">
            <v>1310</v>
          </cell>
          <cell r="D319">
            <v>0</v>
          </cell>
        </row>
        <row r="320">
          <cell r="A320">
            <v>1310</v>
          </cell>
          <cell r="D320">
            <v>314.77</v>
          </cell>
        </row>
        <row r="321">
          <cell r="A321">
            <v>1310</v>
          </cell>
          <cell r="D321">
            <v>0</v>
          </cell>
        </row>
        <row r="322">
          <cell r="A322">
            <v>1310</v>
          </cell>
          <cell r="D322">
            <v>0</v>
          </cell>
        </row>
        <row r="323">
          <cell r="A323">
            <v>1310</v>
          </cell>
          <cell r="D323">
            <v>0</v>
          </cell>
        </row>
        <row r="324">
          <cell r="A324">
            <v>1310</v>
          </cell>
          <cell r="D324">
            <v>0</v>
          </cell>
        </row>
        <row r="325">
          <cell r="A325">
            <v>1310</v>
          </cell>
          <cell r="D325">
            <v>0</v>
          </cell>
        </row>
        <row r="326">
          <cell r="A326">
            <v>1310</v>
          </cell>
          <cell r="D326">
            <v>0</v>
          </cell>
        </row>
        <row r="327">
          <cell r="A327">
            <v>1310</v>
          </cell>
          <cell r="D327">
            <v>0</v>
          </cell>
        </row>
        <row r="328">
          <cell r="A328">
            <v>1310</v>
          </cell>
          <cell r="D328">
            <v>0</v>
          </cell>
        </row>
        <row r="329">
          <cell r="A329">
            <v>1310</v>
          </cell>
          <cell r="D329">
            <v>309.18</v>
          </cell>
        </row>
        <row r="330">
          <cell r="A330">
            <v>1310</v>
          </cell>
          <cell r="D330">
            <v>0</v>
          </cell>
        </row>
        <row r="331">
          <cell r="A331">
            <v>1310</v>
          </cell>
          <cell r="D331">
            <v>0</v>
          </cell>
        </row>
        <row r="332">
          <cell r="A332">
            <v>1310</v>
          </cell>
          <cell r="D332">
            <v>0</v>
          </cell>
        </row>
        <row r="333">
          <cell r="A333">
            <v>1310</v>
          </cell>
          <cell r="D333">
            <v>19.8</v>
          </cell>
        </row>
        <row r="334">
          <cell r="A334">
            <v>1310</v>
          </cell>
          <cell r="D334">
            <v>24.5</v>
          </cell>
        </row>
        <row r="335">
          <cell r="A335">
            <v>1310</v>
          </cell>
          <cell r="D335">
            <v>-798.08</v>
          </cell>
        </row>
        <row r="336">
          <cell r="A336">
            <v>1310</v>
          </cell>
          <cell r="D336">
            <v>0</v>
          </cell>
        </row>
        <row r="337">
          <cell r="A337">
            <v>1310</v>
          </cell>
          <cell r="D337">
            <v>0</v>
          </cell>
        </row>
        <row r="338">
          <cell r="A338">
            <v>1310</v>
          </cell>
          <cell r="D338">
            <v>0</v>
          </cell>
        </row>
        <row r="339">
          <cell r="A339">
            <v>1310</v>
          </cell>
          <cell r="D339">
            <v>-100.07</v>
          </cell>
        </row>
        <row r="340">
          <cell r="A340">
            <v>1310</v>
          </cell>
          <cell r="D340">
            <v>44.8</v>
          </cell>
        </row>
        <row r="341">
          <cell r="A341">
            <v>1310</v>
          </cell>
          <cell r="D341">
            <v>0</v>
          </cell>
        </row>
        <row r="342">
          <cell r="A342">
            <v>1310</v>
          </cell>
          <cell r="D342">
            <v>-62.57</v>
          </cell>
        </row>
        <row r="343">
          <cell r="A343">
            <v>1310</v>
          </cell>
          <cell r="D343">
            <v>0</v>
          </cell>
        </row>
        <row r="344">
          <cell r="A344">
            <v>1310</v>
          </cell>
          <cell r="D344">
            <v>0</v>
          </cell>
        </row>
        <row r="345">
          <cell r="A345">
            <v>1310</v>
          </cell>
          <cell r="D345">
            <v>0</v>
          </cell>
        </row>
        <row r="346">
          <cell r="A346">
            <v>1310</v>
          </cell>
          <cell r="D346">
            <v>-19.95</v>
          </cell>
        </row>
        <row r="347">
          <cell r="A347">
            <v>1310</v>
          </cell>
          <cell r="D347">
            <v>-766.61</v>
          </cell>
        </row>
        <row r="348">
          <cell r="A348">
            <v>1310</v>
          </cell>
          <cell r="D348">
            <v>0</v>
          </cell>
        </row>
        <row r="349">
          <cell r="A349">
            <v>1310</v>
          </cell>
          <cell r="D349">
            <v>0</v>
          </cell>
        </row>
        <row r="350">
          <cell r="A350">
            <v>1310</v>
          </cell>
          <cell r="D350">
            <v>-448.02</v>
          </cell>
        </row>
        <row r="351">
          <cell r="A351">
            <v>1310</v>
          </cell>
          <cell r="D351">
            <v>0</v>
          </cell>
        </row>
        <row r="352">
          <cell r="A352">
            <v>1310</v>
          </cell>
          <cell r="D352">
            <v>0</v>
          </cell>
        </row>
        <row r="353">
          <cell r="A353">
            <v>1310</v>
          </cell>
          <cell r="D353">
            <v>202.02</v>
          </cell>
        </row>
        <row r="354">
          <cell r="A354">
            <v>1310</v>
          </cell>
          <cell r="D354">
            <v>0</v>
          </cell>
        </row>
        <row r="355">
          <cell r="A355">
            <v>1310</v>
          </cell>
          <cell r="D355">
            <v>0</v>
          </cell>
        </row>
        <row r="356">
          <cell r="A356">
            <v>1310</v>
          </cell>
          <cell r="D356">
            <v>0</v>
          </cell>
        </row>
        <row r="357">
          <cell r="A357">
            <v>1310</v>
          </cell>
          <cell r="D357">
            <v>0</v>
          </cell>
        </row>
        <row r="358">
          <cell r="A358">
            <v>1310</v>
          </cell>
          <cell r="D358">
            <v>0</v>
          </cell>
        </row>
        <row r="359">
          <cell r="A359">
            <v>1310</v>
          </cell>
          <cell r="D359">
            <v>0</v>
          </cell>
        </row>
        <row r="360">
          <cell r="A360" t="str">
            <v>Inventory - Work-in-process, Gross</v>
          </cell>
          <cell r="D360">
            <v>142676.43</v>
          </cell>
        </row>
        <row r="361">
          <cell r="A361">
            <v>1325</v>
          </cell>
          <cell r="D361">
            <v>-532221</v>
          </cell>
        </row>
        <row r="362">
          <cell r="A362" t="str">
            <v>Inventory Reserve</v>
          </cell>
          <cell r="D362">
            <v>-532221</v>
          </cell>
        </row>
        <row r="363">
          <cell r="A363">
            <v>1405</v>
          </cell>
          <cell r="D363">
            <v>0</v>
          </cell>
        </row>
        <row r="364">
          <cell r="A364">
            <v>1405</v>
          </cell>
          <cell r="D364">
            <v>52.87</v>
          </cell>
        </row>
        <row r="365">
          <cell r="A365">
            <v>1405</v>
          </cell>
          <cell r="D365">
            <v>164236.96</v>
          </cell>
        </row>
        <row r="366">
          <cell r="A366">
            <v>1405</v>
          </cell>
          <cell r="D366">
            <v>8089.29</v>
          </cell>
        </row>
        <row r="367">
          <cell r="A367">
            <v>1405</v>
          </cell>
          <cell r="D367">
            <v>0</v>
          </cell>
        </row>
        <row r="368">
          <cell r="A368">
            <v>1405</v>
          </cell>
          <cell r="D368">
            <v>0</v>
          </cell>
        </row>
        <row r="369">
          <cell r="A369">
            <v>1405</v>
          </cell>
          <cell r="D369">
            <v>0</v>
          </cell>
        </row>
        <row r="370">
          <cell r="A370">
            <v>1405</v>
          </cell>
          <cell r="D370">
            <v>0</v>
          </cell>
        </row>
        <row r="371">
          <cell r="A371">
            <v>1405</v>
          </cell>
          <cell r="D371">
            <v>-60789.29</v>
          </cell>
        </row>
        <row r="372">
          <cell r="A372">
            <v>1405</v>
          </cell>
          <cell r="D372">
            <v>0</v>
          </cell>
        </row>
        <row r="373">
          <cell r="A373">
            <v>1405</v>
          </cell>
          <cell r="D373">
            <v>-62513</v>
          </cell>
        </row>
        <row r="374">
          <cell r="A374" t="str">
            <v>VAT Receivable</v>
          </cell>
          <cell r="D374">
            <v>49076.829999999987</v>
          </cell>
        </row>
        <row r="375">
          <cell r="A375">
            <v>1410</v>
          </cell>
          <cell r="D375">
            <v>888.47</v>
          </cell>
        </row>
        <row r="376">
          <cell r="A376">
            <v>1410</v>
          </cell>
          <cell r="D376">
            <v>0</v>
          </cell>
        </row>
        <row r="377">
          <cell r="A377">
            <v>1410</v>
          </cell>
          <cell r="D377">
            <v>0</v>
          </cell>
        </row>
        <row r="378">
          <cell r="A378">
            <v>1410</v>
          </cell>
          <cell r="D378">
            <v>0</v>
          </cell>
        </row>
        <row r="379">
          <cell r="A379">
            <v>1410</v>
          </cell>
          <cell r="D379">
            <v>0</v>
          </cell>
        </row>
        <row r="380">
          <cell r="A380" t="str">
            <v>Prepaid Insurance</v>
          </cell>
          <cell r="D380">
            <v>888.47</v>
          </cell>
        </row>
        <row r="381">
          <cell r="A381">
            <v>1420</v>
          </cell>
          <cell r="D381">
            <v>0</v>
          </cell>
        </row>
        <row r="382">
          <cell r="A382" t="str">
            <v>Prepaid Salary Advances</v>
          </cell>
          <cell r="D382">
            <v>0</v>
          </cell>
        </row>
        <row r="383">
          <cell r="A383">
            <v>1430</v>
          </cell>
          <cell r="D383">
            <v>0</v>
          </cell>
        </row>
        <row r="384">
          <cell r="A384">
            <v>1430</v>
          </cell>
          <cell r="D384">
            <v>0</v>
          </cell>
        </row>
        <row r="385">
          <cell r="A385">
            <v>1430</v>
          </cell>
          <cell r="D385">
            <v>19817.07</v>
          </cell>
        </row>
        <row r="386">
          <cell r="A386">
            <v>1430</v>
          </cell>
          <cell r="D386">
            <v>0</v>
          </cell>
        </row>
        <row r="387">
          <cell r="A387" t="str">
            <v>Other Prepaid Expenses</v>
          </cell>
          <cell r="D387">
            <v>19817.07</v>
          </cell>
        </row>
        <row r="388">
          <cell r="A388">
            <v>1435</v>
          </cell>
          <cell r="D388">
            <v>0</v>
          </cell>
        </row>
        <row r="389">
          <cell r="A389" t="str">
            <v>Current Notes Receivable</v>
          </cell>
          <cell r="D389">
            <v>0</v>
          </cell>
        </row>
        <row r="390">
          <cell r="A390">
            <v>1500</v>
          </cell>
          <cell r="D390">
            <v>451714.38</v>
          </cell>
        </row>
        <row r="391">
          <cell r="A391">
            <v>1510</v>
          </cell>
          <cell r="D391">
            <v>1618652.07</v>
          </cell>
        </row>
        <row r="392">
          <cell r="A392">
            <v>1510</v>
          </cell>
          <cell r="D392">
            <v>0</v>
          </cell>
        </row>
        <row r="393">
          <cell r="A393">
            <v>1510</v>
          </cell>
          <cell r="D393">
            <v>197925.39</v>
          </cell>
        </row>
        <row r="394">
          <cell r="A394">
            <v>1520</v>
          </cell>
          <cell r="D394">
            <v>1593602.31</v>
          </cell>
        </row>
        <row r="395">
          <cell r="A395">
            <v>1520</v>
          </cell>
          <cell r="D395">
            <v>0</v>
          </cell>
        </row>
        <row r="396">
          <cell r="A396">
            <v>1520</v>
          </cell>
          <cell r="D396">
            <v>802884.23</v>
          </cell>
        </row>
        <row r="397">
          <cell r="A397">
            <v>1520</v>
          </cell>
          <cell r="D397">
            <v>512938.59</v>
          </cell>
        </row>
        <row r="398">
          <cell r="A398">
            <v>1520</v>
          </cell>
          <cell r="D398">
            <v>505209.05</v>
          </cell>
        </row>
        <row r="399">
          <cell r="A399">
            <v>1520</v>
          </cell>
          <cell r="D399">
            <v>631545.46</v>
          </cell>
        </row>
        <row r="400">
          <cell r="A400">
            <v>1520</v>
          </cell>
          <cell r="D400">
            <v>95284.56</v>
          </cell>
        </row>
        <row r="401">
          <cell r="A401" t="str">
            <v>PPE at Cost</v>
          </cell>
          <cell r="D401">
            <v>6409756.04</v>
          </cell>
        </row>
        <row r="402">
          <cell r="A402">
            <v>1560</v>
          </cell>
          <cell r="D402">
            <v>-1082626.04</v>
          </cell>
        </row>
        <row r="403">
          <cell r="A403">
            <v>1560</v>
          </cell>
          <cell r="D403">
            <v>0</v>
          </cell>
        </row>
        <row r="404">
          <cell r="A404">
            <v>1560</v>
          </cell>
          <cell r="D404">
            <v>-126470.38</v>
          </cell>
        </row>
        <row r="405">
          <cell r="A405">
            <v>1570</v>
          </cell>
          <cell r="D405">
            <v>0</v>
          </cell>
        </row>
        <row r="406">
          <cell r="A406">
            <v>1570</v>
          </cell>
          <cell r="D406">
            <v>-1423390.22</v>
          </cell>
        </row>
        <row r="407">
          <cell r="A407">
            <v>1570</v>
          </cell>
          <cell r="D407">
            <v>0</v>
          </cell>
        </row>
        <row r="408">
          <cell r="A408">
            <v>1570</v>
          </cell>
          <cell r="D408">
            <v>-771370.16</v>
          </cell>
        </row>
        <row r="409">
          <cell r="A409">
            <v>1570</v>
          </cell>
          <cell r="D409">
            <v>-500307.19</v>
          </cell>
        </row>
        <row r="410">
          <cell r="A410">
            <v>1570</v>
          </cell>
          <cell r="D410">
            <v>-440869.79</v>
          </cell>
        </row>
        <row r="411">
          <cell r="A411">
            <v>1570</v>
          </cell>
          <cell r="D411">
            <v>-510301.84</v>
          </cell>
        </row>
        <row r="412">
          <cell r="A412">
            <v>1570</v>
          </cell>
          <cell r="D412">
            <v>-69553.69</v>
          </cell>
        </row>
        <row r="413">
          <cell r="A413" t="str">
            <v>Accumulated Depreciation</v>
          </cell>
          <cell r="D413">
            <v>-4924889.3099999996</v>
          </cell>
        </row>
        <row r="414">
          <cell r="A414">
            <v>1610</v>
          </cell>
          <cell r="D414">
            <v>0</v>
          </cell>
        </row>
        <row r="415">
          <cell r="A415" t="str">
            <v>Long-term Deferred Tax Assets</v>
          </cell>
          <cell r="D415">
            <v>0</v>
          </cell>
        </row>
        <row r="416">
          <cell r="A416">
            <v>1650</v>
          </cell>
          <cell r="D416">
            <v>0</v>
          </cell>
        </row>
        <row r="417">
          <cell r="A417" t="str">
            <v>Other Investments</v>
          </cell>
          <cell r="D417">
            <v>0</v>
          </cell>
        </row>
        <row r="418">
          <cell r="A418">
            <v>1660</v>
          </cell>
          <cell r="D418">
            <v>0</v>
          </cell>
        </row>
        <row r="419">
          <cell r="A419" t="str">
            <v>Notes Receivable</v>
          </cell>
          <cell r="D419">
            <v>0</v>
          </cell>
        </row>
        <row r="420">
          <cell r="A420">
            <v>1690</v>
          </cell>
          <cell r="D420">
            <v>1235.29</v>
          </cell>
        </row>
        <row r="421">
          <cell r="A421">
            <v>1690</v>
          </cell>
          <cell r="D421">
            <v>0</v>
          </cell>
        </row>
        <row r="422">
          <cell r="A422">
            <v>1690</v>
          </cell>
          <cell r="D422">
            <v>0</v>
          </cell>
        </row>
        <row r="423">
          <cell r="A423">
            <v>1690</v>
          </cell>
          <cell r="D423">
            <v>0</v>
          </cell>
        </row>
        <row r="424">
          <cell r="A424">
            <v>1690</v>
          </cell>
          <cell r="D424">
            <v>0</v>
          </cell>
        </row>
        <row r="425">
          <cell r="A425" t="str">
            <v>Deferred Charges and Other</v>
          </cell>
          <cell r="D425">
            <v>1235.29</v>
          </cell>
        </row>
        <row r="426">
          <cell r="A426">
            <v>1700</v>
          </cell>
          <cell r="D426">
            <v>0</v>
          </cell>
        </row>
        <row r="427">
          <cell r="A427">
            <v>1700</v>
          </cell>
          <cell r="D427">
            <v>0</v>
          </cell>
        </row>
        <row r="428">
          <cell r="A428" t="str">
            <v>Intangible Assets Acquired</v>
          </cell>
          <cell r="D428">
            <v>0</v>
          </cell>
        </row>
        <row r="429">
          <cell r="A429">
            <v>1710</v>
          </cell>
          <cell r="D429">
            <v>0</v>
          </cell>
        </row>
        <row r="430">
          <cell r="A430">
            <v>1710</v>
          </cell>
          <cell r="D430">
            <v>981147.25</v>
          </cell>
        </row>
        <row r="431">
          <cell r="A431">
            <v>1710</v>
          </cell>
          <cell r="D431">
            <v>-141753.76999999999</v>
          </cell>
        </row>
        <row r="432">
          <cell r="A432">
            <v>1710</v>
          </cell>
          <cell r="D432">
            <v>35492.629999999997</v>
          </cell>
        </row>
        <row r="433">
          <cell r="A433">
            <v>1710</v>
          </cell>
          <cell r="D433">
            <v>0</v>
          </cell>
        </row>
        <row r="434">
          <cell r="A434">
            <v>1710</v>
          </cell>
          <cell r="D434">
            <v>0</v>
          </cell>
        </row>
        <row r="435">
          <cell r="A435">
            <v>1710</v>
          </cell>
          <cell r="D435">
            <v>14103.03</v>
          </cell>
        </row>
        <row r="436">
          <cell r="A436">
            <v>1710</v>
          </cell>
          <cell r="D436">
            <v>-927349.79</v>
          </cell>
        </row>
        <row r="437">
          <cell r="A437">
            <v>1710</v>
          </cell>
          <cell r="D437">
            <v>0</v>
          </cell>
        </row>
        <row r="438">
          <cell r="A438">
            <v>1710</v>
          </cell>
          <cell r="D438">
            <v>16809.07</v>
          </cell>
        </row>
        <row r="439">
          <cell r="A439">
            <v>1710</v>
          </cell>
          <cell r="D439">
            <v>641514.06000000006</v>
          </cell>
        </row>
        <row r="440">
          <cell r="A440">
            <v>1710</v>
          </cell>
          <cell r="D440">
            <v>1775447</v>
          </cell>
        </row>
        <row r="441">
          <cell r="A441">
            <v>1710</v>
          </cell>
          <cell r="D441">
            <v>-225441</v>
          </cell>
        </row>
        <row r="442">
          <cell r="A442">
            <v>1710</v>
          </cell>
          <cell r="D442">
            <v>0</v>
          </cell>
        </row>
        <row r="443">
          <cell r="A443">
            <v>1710</v>
          </cell>
          <cell r="D443">
            <v>550438</v>
          </cell>
        </row>
        <row r="444">
          <cell r="A444">
            <v>1710</v>
          </cell>
          <cell r="D444">
            <v>17708</v>
          </cell>
        </row>
        <row r="445">
          <cell r="A445" t="str">
            <v>Investment in Sub</v>
          </cell>
          <cell r="D445">
            <v>2738114.48</v>
          </cell>
        </row>
        <row r="446">
          <cell r="A446">
            <v>1720</v>
          </cell>
          <cell r="D446">
            <v>419293.53</v>
          </cell>
        </row>
        <row r="447">
          <cell r="A447">
            <v>1720</v>
          </cell>
          <cell r="D447">
            <v>0</v>
          </cell>
        </row>
        <row r="448">
          <cell r="A448">
            <v>1720</v>
          </cell>
          <cell r="D448">
            <v>0</v>
          </cell>
        </row>
        <row r="449">
          <cell r="A449" t="str">
            <v>Goodwill</v>
          </cell>
          <cell r="D449">
            <v>419293.53</v>
          </cell>
        </row>
        <row r="451">
          <cell r="A451" t="str">
            <v>ASSETS</v>
          </cell>
          <cell r="D451">
            <v>11287072.399999997</v>
          </cell>
        </row>
        <row r="453">
          <cell r="A453">
            <v>2020</v>
          </cell>
          <cell r="D453">
            <v>0</v>
          </cell>
        </row>
        <row r="454">
          <cell r="A454">
            <v>2020</v>
          </cell>
          <cell r="D454">
            <v>0</v>
          </cell>
        </row>
        <row r="455">
          <cell r="A455" t="str">
            <v>Current Mat. - Long-term Obligations</v>
          </cell>
          <cell r="D455">
            <v>0</v>
          </cell>
        </row>
        <row r="456">
          <cell r="A456">
            <v>2040</v>
          </cell>
          <cell r="D456">
            <v>154280.73000000001</v>
          </cell>
        </row>
        <row r="457">
          <cell r="A457" t="str">
            <v>Current Mat. - Intercompany Debt</v>
          </cell>
          <cell r="D457">
            <v>154280.73000000001</v>
          </cell>
        </row>
        <row r="458">
          <cell r="A458">
            <v>2100</v>
          </cell>
          <cell r="D458">
            <v>0</v>
          </cell>
        </row>
        <row r="459">
          <cell r="A459">
            <v>2100</v>
          </cell>
          <cell r="D459">
            <v>0</v>
          </cell>
        </row>
        <row r="460">
          <cell r="A460">
            <v>2100</v>
          </cell>
          <cell r="D460">
            <v>0</v>
          </cell>
        </row>
        <row r="461">
          <cell r="A461">
            <v>2100</v>
          </cell>
          <cell r="D461">
            <v>272352.01</v>
          </cell>
        </row>
        <row r="462">
          <cell r="A462">
            <v>2100</v>
          </cell>
          <cell r="D462">
            <v>0</v>
          </cell>
        </row>
        <row r="463">
          <cell r="A463">
            <v>2100</v>
          </cell>
          <cell r="D463">
            <v>-47593.54</v>
          </cell>
        </row>
        <row r="464">
          <cell r="A464">
            <v>2100</v>
          </cell>
          <cell r="D464">
            <v>117550.98</v>
          </cell>
        </row>
        <row r="465">
          <cell r="A465">
            <v>2100</v>
          </cell>
          <cell r="D465">
            <v>-4258.1499999999996</v>
          </cell>
        </row>
        <row r="466">
          <cell r="A466" t="str">
            <v>Accts. Payable - Trade</v>
          </cell>
          <cell r="D466">
            <v>338051.3</v>
          </cell>
        </row>
        <row r="467">
          <cell r="A467">
            <v>2200</v>
          </cell>
          <cell r="D467">
            <v>0</v>
          </cell>
        </row>
        <row r="468">
          <cell r="A468">
            <v>2200</v>
          </cell>
          <cell r="D468">
            <v>75340.91</v>
          </cell>
        </row>
        <row r="469">
          <cell r="A469">
            <v>2200</v>
          </cell>
          <cell r="D469">
            <v>-42580.23</v>
          </cell>
        </row>
        <row r="470">
          <cell r="A470">
            <v>2200</v>
          </cell>
          <cell r="D470">
            <v>-25.07</v>
          </cell>
        </row>
        <row r="471">
          <cell r="A471">
            <v>2200</v>
          </cell>
          <cell r="D471">
            <v>0</v>
          </cell>
        </row>
        <row r="472">
          <cell r="A472">
            <v>2200</v>
          </cell>
          <cell r="D472">
            <v>0</v>
          </cell>
        </row>
        <row r="473">
          <cell r="A473">
            <v>2200</v>
          </cell>
          <cell r="D473">
            <v>0</v>
          </cell>
        </row>
        <row r="474">
          <cell r="A474">
            <v>2200</v>
          </cell>
          <cell r="D474">
            <v>-1173.6600000000001</v>
          </cell>
        </row>
        <row r="475">
          <cell r="A475">
            <v>2200</v>
          </cell>
          <cell r="D475">
            <v>-2418.85</v>
          </cell>
        </row>
        <row r="476">
          <cell r="A476">
            <v>2200</v>
          </cell>
          <cell r="D476">
            <v>0</v>
          </cell>
        </row>
        <row r="477">
          <cell r="A477">
            <v>2200</v>
          </cell>
          <cell r="D477">
            <v>-15259.38</v>
          </cell>
        </row>
        <row r="478">
          <cell r="A478">
            <v>2200</v>
          </cell>
          <cell r="D478">
            <v>0</v>
          </cell>
        </row>
        <row r="479">
          <cell r="A479">
            <v>2200</v>
          </cell>
          <cell r="D479">
            <v>0</v>
          </cell>
        </row>
        <row r="480">
          <cell r="A480" t="str">
            <v>Accrued P/R &amp; Employee Benefits</v>
          </cell>
          <cell r="D480">
            <v>13883.720000000003</v>
          </cell>
        </row>
        <row r="481">
          <cell r="A481">
            <v>2210</v>
          </cell>
          <cell r="D481">
            <v>0</v>
          </cell>
        </row>
        <row r="482">
          <cell r="A482">
            <v>2210</v>
          </cell>
          <cell r="D482">
            <v>173493.64</v>
          </cell>
        </row>
        <row r="483">
          <cell r="A483" t="str">
            <v>Accrued Vacation</v>
          </cell>
          <cell r="D483">
            <v>173493.64</v>
          </cell>
        </row>
        <row r="484">
          <cell r="A484">
            <v>2220</v>
          </cell>
          <cell r="D484">
            <v>0</v>
          </cell>
        </row>
        <row r="485">
          <cell r="A485">
            <v>2220</v>
          </cell>
          <cell r="D485">
            <v>0</v>
          </cell>
        </row>
        <row r="486">
          <cell r="A486">
            <v>2220</v>
          </cell>
          <cell r="D486">
            <v>95480.13</v>
          </cell>
        </row>
        <row r="487">
          <cell r="A487" t="str">
            <v>Accrued Bonus</v>
          </cell>
          <cell r="D487">
            <v>95480.13</v>
          </cell>
        </row>
        <row r="488">
          <cell r="A488">
            <v>2240</v>
          </cell>
          <cell r="D488">
            <v>0</v>
          </cell>
        </row>
        <row r="489">
          <cell r="A489" t="str">
            <v>Accrued Med &amp; Dental Ins. - Non-Corp. Plans</v>
          </cell>
          <cell r="D489">
            <v>0</v>
          </cell>
        </row>
        <row r="490">
          <cell r="A490">
            <v>2260</v>
          </cell>
          <cell r="D490">
            <v>107490.77</v>
          </cell>
        </row>
        <row r="491">
          <cell r="A491">
            <v>2260</v>
          </cell>
          <cell r="D491">
            <v>0</v>
          </cell>
        </row>
        <row r="492">
          <cell r="A492" t="str">
            <v>Accrued Payroll Taxes</v>
          </cell>
          <cell r="D492">
            <v>107490.77</v>
          </cell>
        </row>
        <row r="493">
          <cell r="A493">
            <v>2310</v>
          </cell>
          <cell r="D493">
            <v>-628649</v>
          </cell>
        </row>
        <row r="494">
          <cell r="A494" t="str">
            <v>Accrued Foreign Income Taxes</v>
          </cell>
          <cell r="D494">
            <v>-628649</v>
          </cell>
        </row>
        <row r="495">
          <cell r="A495">
            <v>2410</v>
          </cell>
          <cell r="D495">
            <v>0</v>
          </cell>
        </row>
        <row r="496">
          <cell r="A496" t="str">
            <v>Deferred Revenue</v>
          </cell>
          <cell r="D496">
            <v>0</v>
          </cell>
        </row>
        <row r="497">
          <cell r="A497">
            <v>2420</v>
          </cell>
          <cell r="D497">
            <v>-25000</v>
          </cell>
        </row>
        <row r="498">
          <cell r="A498" t="str">
            <v>Billings in Excess of Cost &amp; Fees</v>
          </cell>
          <cell r="D498">
            <v>-25000</v>
          </cell>
        </row>
        <row r="499">
          <cell r="A499">
            <v>2425</v>
          </cell>
          <cell r="D499">
            <v>8500</v>
          </cell>
        </row>
        <row r="500">
          <cell r="A500" t="str">
            <v>Accrued Interest</v>
          </cell>
          <cell r="D500">
            <v>8500</v>
          </cell>
        </row>
        <row r="501">
          <cell r="A501">
            <v>2430</v>
          </cell>
          <cell r="D501">
            <v>-17953.57</v>
          </cell>
        </row>
        <row r="502">
          <cell r="A502">
            <v>2430</v>
          </cell>
          <cell r="D502">
            <v>2066.75</v>
          </cell>
        </row>
        <row r="503">
          <cell r="A503" t="str">
            <v>Accrued Commissions</v>
          </cell>
          <cell r="D503">
            <v>-15886.82</v>
          </cell>
        </row>
        <row r="504">
          <cell r="A504">
            <v>2402</v>
          </cell>
          <cell r="D504">
            <v>0</v>
          </cell>
        </row>
        <row r="505">
          <cell r="A505" t="str">
            <v>Restructuring Reserves</v>
          </cell>
          <cell r="D505">
            <v>0</v>
          </cell>
        </row>
        <row r="506">
          <cell r="A506">
            <v>2405</v>
          </cell>
          <cell r="D506">
            <v>0</v>
          </cell>
        </row>
        <row r="507">
          <cell r="A507" t="str">
            <v>Accrued Installation &amp; Warranty Costs</v>
          </cell>
          <cell r="D507">
            <v>0</v>
          </cell>
        </row>
        <row r="508">
          <cell r="A508">
            <v>2435</v>
          </cell>
        </row>
        <row r="509">
          <cell r="A509" t="str">
            <v>Unrealised IC Profit</v>
          </cell>
          <cell r="D509">
            <v>0</v>
          </cell>
        </row>
        <row r="510">
          <cell r="A510">
            <v>2445</v>
          </cell>
          <cell r="D510">
            <v>63112.04</v>
          </cell>
        </row>
        <row r="511">
          <cell r="A511" t="str">
            <v>Accrued Audit Expense</v>
          </cell>
          <cell r="D511">
            <v>63112.04</v>
          </cell>
        </row>
        <row r="512">
          <cell r="A512">
            <v>2535</v>
          </cell>
          <cell r="D512">
            <v>0</v>
          </cell>
        </row>
        <row r="513">
          <cell r="A513">
            <v>2535</v>
          </cell>
          <cell r="D513">
            <v>16778.7</v>
          </cell>
        </row>
        <row r="514">
          <cell r="A514">
            <v>2535</v>
          </cell>
          <cell r="D514">
            <v>0</v>
          </cell>
        </row>
        <row r="515">
          <cell r="A515" t="str">
            <v>Other Accrued Expenses</v>
          </cell>
          <cell r="D515">
            <v>16778.7</v>
          </cell>
        </row>
        <row r="516">
          <cell r="A516">
            <v>2720</v>
          </cell>
          <cell r="D516">
            <v>0</v>
          </cell>
        </row>
        <row r="517">
          <cell r="A517" t="str">
            <v>Capital Lease Obligation</v>
          </cell>
          <cell r="D517">
            <v>0</v>
          </cell>
        </row>
        <row r="518">
          <cell r="A518">
            <v>2730</v>
          </cell>
          <cell r="D518">
            <v>0</v>
          </cell>
        </row>
        <row r="519">
          <cell r="A519" t="str">
            <v>LT Notes Payable</v>
          </cell>
          <cell r="D519">
            <v>0</v>
          </cell>
        </row>
        <row r="520">
          <cell r="A520">
            <v>3100</v>
          </cell>
          <cell r="D520">
            <v>58981</v>
          </cell>
        </row>
        <row r="521">
          <cell r="A521">
            <v>3100</v>
          </cell>
          <cell r="D521">
            <v>31759</v>
          </cell>
        </row>
        <row r="522">
          <cell r="A522" t="str">
            <v>Common Stock</v>
          </cell>
          <cell r="D522">
            <v>90740</v>
          </cell>
        </row>
        <row r="523">
          <cell r="A523">
            <v>3200</v>
          </cell>
          <cell r="D523">
            <v>10.43</v>
          </cell>
        </row>
        <row r="524">
          <cell r="A524">
            <v>3200</v>
          </cell>
          <cell r="D524">
            <v>1800000</v>
          </cell>
        </row>
        <row r="525">
          <cell r="A525" t="str">
            <v>Capital in Excess of Par Value</v>
          </cell>
          <cell r="D525">
            <v>1800010.43</v>
          </cell>
        </row>
        <row r="526">
          <cell r="A526" t="str">
            <v>RE_BB_CFWD</v>
          </cell>
          <cell r="D526">
            <v>9220704.4100000001</v>
          </cell>
        </row>
        <row r="527">
          <cell r="A527" t="str">
            <v>3310</v>
          </cell>
          <cell r="D527">
            <v>-340000</v>
          </cell>
        </row>
        <row r="528">
          <cell r="A528" t="str">
            <v>3310</v>
          </cell>
          <cell r="D528">
            <v>0</v>
          </cell>
        </row>
        <row r="529">
          <cell r="D529">
            <v>423887.39999999868</v>
          </cell>
        </row>
        <row r="530">
          <cell r="A530" t="str">
            <v>Retained Earnings</v>
          </cell>
          <cell r="D530">
            <v>9304591.8099999987</v>
          </cell>
        </row>
        <row r="531">
          <cell r="A531">
            <v>3500</v>
          </cell>
          <cell r="D531">
            <v>-209804</v>
          </cell>
        </row>
        <row r="532">
          <cell r="A532" t="str">
            <v>Cumulative Translation Adjustment</v>
          </cell>
          <cell r="D532">
            <v>-209804</v>
          </cell>
        </row>
        <row r="534">
          <cell r="A534" t="str">
            <v>LIABILITIES+EQUITIES</v>
          </cell>
          <cell r="D534">
            <v>11287073.449999999</v>
          </cell>
        </row>
        <row r="536">
          <cell r="A536" t="str">
            <v>4000.International</v>
          </cell>
          <cell r="D536">
            <v>2074.1799999999998</v>
          </cell>
        </row>
        <row r="537">
          <cell r="A537" t="str">
            <v>4000.International</v>
          </cell>
          <cell r="D537">
            <v>0</v>
          </cell>
        </row>
        <row r="538">
          <cell r="A538" t="str">
            <v>4000.International</v>
          </cell>
          <cell r="D538">
            <v>96103.72</v>
          </cell>
        </row>
        <row r="539">
          <cell r="A539" t="str">
            <v>4000.International</v>
          </cell>
          <cell r="D539">
            <v>26692</v>
          </cell>
        </row>
        <row r="540">
          <cell r="A540" t="str">
            <v>4000.International</v>
          </cell>
          <cell r="D540">
            <v>160582.26</v>
          </cell>
        </row>
        <row r="541">
          <cell r="A541" t="str">
            <v>4000.International</v>
          </cell>
          <cell r="D541">
            <v>0</v>
          </cell>
        </row>
        <row r="542">
          <cell r="A542" t="str">
            <v>4000.International</v>
          </cell>
          <cell r="D542">
            <v>513317.95</v>
          </cell>
        </row>
        <row r="543">
          <cell r="A543" t="str">
            <v>4000.International</v>
          </cell>
          <cell r="D543">
            <v>0</v>
          </cell>
        </row>
        <row r="544">
          <cell r="A544" t="str">
            <v>4000.International</v>
          </cell>
          <cell r="D544">
            <v>1152649.72</v>
          </cell>
        </row>
        <row r="545">
          <cell r="A545" t="str">
            <v>4000.International</v>
          </cell>
          <cell r="D545">
            <v>8431.74</v>
          </cell>
        </row>
        <row r="546">
          <cell r="A546" t="str">
            <v>4000.International</v>
          </cell>
          <cell r="D546">
            <v>23296.77</v>
          </cell>
        </row>
        <row r="547">
          <cell r="A547" t="str">
            <v>4000.International</v>
          </cell>
          <cell r="D547">
            <v>1762.31</v>
          </cell>
        </row>
        <row r="548">
          <cell r="A548" t="str">
            <v>4000.International</v>
          </cell>
          <cell r="D548">
            <v>0</v>
          </cell>
        </row>
        <row r="549">
          <cell r="A549" t="str">
            <v>4000.International</v>
          </cell>
          <cell r="D549">
            <v>255</v>
          </cell>
        </row>
        <row r="550">
          <cell r="A550" t="str">
            <v>4000.International</v>
          </cell>
          <cell r="D550">
            <v>0</v>
          </cell>
        </row>
        <row r="551">
          <cell r="A551" t="str">
            <v>4000.International</v>
          </cell>
          <cell r="D551">
            <v>97591.69</v>
          </cell>
        </row>
        <row r="552">
          <cell r="A552" t="str">
            <v>4000.International</v>
          </cell>
          <cell r="D552">
            <v>5394.92</v>
          </cell>
        </row>
        <row r="553">
          <cell r="A553" t="str">
            <v>4000.International</v>
          </cell>
          <cell r="D553">
            <v>143821.94</v>
          </cell>
        </row>
        <row r="554">
          <cell r="A554" t="str">
            <v>4000.International</v>
          </cell>
          <cell r="D554">
            <v>21901.71</v>
          </cell>
        </row>
        <row r="555">
          <cell r="A555" t="str">
            <v>4000.International</v>
          </cell>
          <cell r="D555">
            <v>0</v>
          </cell>
        </row>
        <row r="556">
          <cell r="A556" t="str">
            <v>4000.International</v>
          </cell>
          <cell r="D556">
            <v>2758.48</v>
          </cell>
        </row>
        <row r="557">
          <cell r="A557" t="str">
            <v>4000.International</v>
          </cell>
          <cell r="D557">
            <v>216013.84</v>
          </cell>
        </row>
        <row r="558">
          <cell r="A558" t="str">
            <v>4000.International</v>
          </cell>
          <cell r="D558">
            <v>145777.76999999999</v>
          </cell>
        </row>
        <row r="559">
          <cell r="A559" t="str">
            <v>4000.International</v>
          </cell>
          <cell r="D559">
            <v>388955.55</v>
          </cell>
        </row>
        <row r="560">
          <cell r="A560" t="str">
            <v>4000.International</v>
          </cell>
          <cell r="D560">
            <v>39633.46</v>
          </cell>
        </row>
        <row r="561">
          <cell r="A561" t="str">
            <v>4000.International</v>
          </cell>
          <cell r="D561">
            <v>3766.46</v>
          </cell>
        </row>
        <row r="562">
          <cell r="A562" t="str">
            <v>4000.International</v>
          </cell>
          <cell r="D562">
            <v>81543.09</v>
          </cell>
        </row>
        <row r="563">
          <cell r="A563" t="str">
            <v>4000.International</v>
          </cell>
          <cell r="D563">
            <v>344053.66</v>
          </cell>
        </row>
        <row r="564">
          <cell r="A564" t="str">
            <v>4000.International</v>
          </cell>
          <cell r="D564">
            <v>147609.07</v>
          </cell>
        </row>
        <row r="565">
          <cell r="A565" t="str">
            <v>4000.International</v>
          </cell>
          <cell r="D565">
            <v>2790.3</v>
          </cell>
        </row>
        <row r="566">
          <cell r="A566" t="str">
            <v>4000.International</v>
          </cell>
          <cell r="D566">
            <v>0</v>
          </cell>
        </row>
        <row r="567">
          <cell r="A567" t="str">
            <v>4000.International</v>
          </cell>
          <cell r="D567">
            <v>32863.39</v>
          </cell>
        </row>
        <row r="568">
          <cell r="A568" t="str">
            <v>4000.International</v>
          </cell>
          <cell r="D568">
            <v>0</v>
          </cell>
        </row>
        <row r="569">
          <cell r="A569" t="str">
            <v>4000.International</v>
          </cell>
          <cell r="D569">
            <v>9484.25</v>
          </cell>
        </row>
        <row r="570">
          <cell r="A570" t="str">
            <v>4000.International</v>
          </cell>
          <cell r="D570">
            <v>11754.42</v>
          </cell>
        </row>
        <row r="571">
          <cell r="A571" t="str">
            <v>4000.International</v>
          </cell>
          <cell r="D571">
            <v>211614.71</v>
          </cell>
        </row>
        <row r="572">
          <cell r="A572" t="str">
            <v>4000.International</v>
          </cell>
          <cell r="D572">
            <v>391841</v>
          </cell>
        </row>
        <row r="573">
          <cell r="A573" t="str">
            <v>4000.International</v>
          </cell>
          <cell r="D573">
            <v>0</v>
          </cell>
        </row>
        <row r="574">
          <cell r="A574" t="str">
            <v>4000.International</v>
          </cell>
          <cell r="D574">
            <v>238005.35</v>
          </cell>
        </row>
        <row r="575">
          <cell r="A575" t="str">
            <v>4000.International</v>
          </cell>
          <cell r="D575">
            <v>3249.48</v>
          </cell>
        </row>
        <row r="576">
          <cell r="A576" t="str">
            <v>4000.International</v>
          </cell>
          <cell r="D576">
            <v>0</v>
          </cell>
        </row>
        <row r="577">
          <cell r="A577" t="str">
            <v>4000.International</v>
          </cell>
          <cell r="D577">
            <v>57152.73</v>
          </cell>
        </row>
        <row r="578">
          <cell r="A578" t="str">
            <v>4000.International</v>
          </cell>
          <cell r="D578">
            <v>0</v>
          </cell>
        </row>
        <row r="579">
          <cell r="A579" t="str">
            <v>4000.International</v>
          </cell>
          <cell r="D579">
            <v>-74884.600000000006</v>
          </cell>
        </row>
        <row r="580">
          <cell r="A580" t="str">
            <v>4000.International</v>
          </cell>
          <cell r="D580">
            <v>655.12</v>
          </cell>
        </row>
        <row r="581">
          <cell r="A581" t="str">
            <v>4000.International</v>
          </cell>
          <cell r="D581">
            <v>189.1</v>
          </cell>
        </row>
        <row r="582">
          <cell r="A582" t="str">
            <v>Gross Sales</v>
          </cell>
          <cell r="D582">
            <v>4508702.54</v>
          </cell>
        </row>
        <row r="583">
          <cell r="A583" t="str">
            <v>4000.International</v>
          </cell>
          <cell r="D583">
            <v>0</v>
          </cell>
        </row>
        <row r="584">
          <cell r="A584" t="str">
            <v>4000.International</v>
          </cell>
          <cell r="D584">
            <v>0</v>
          </cell>
        </row>
        <row r="585">
          <cell r="A585" t="str">
            <v>4000.International</v>
          </cell>
          <cell r="D585">
            <v>646.88</v>
          </cell>
        </row>
        <row r="586">
          <cell r="A586" t="str">
            <v>4000.International</v>
          </cell>
          <cell r="D586">
            <v>0</v>
          </cell>
        </row>
        <row r="587">
          <cell r="A587" t="str">
            <v>4000.International</v>
          </cell>
          <cell r="D587">
            <v>-312311</v>
          </cell>
        </row>
        <row r="588">
          <cell r="A588" t="str">
            <v>4000.International</v>
          </cell>
          <cell r="D588">
            <v>65848.02</v>
          </cell>
        </row>
        <row r="589">
          <cell r="A589" t="str">
            <v>4000.International</v>
          </cell>
          <cell r="D589">
            <v>288.58</v>
          </cell>
        </row>
        <row r="590">
          <cell r="A590" t="str">
            <v>4000.International</v>
          </cell>
          <cell r="D590">
            <v>0</v>
          </cell>
        </row>
        <row r="591">
          <cell r="A591" t="str">
            <v>4000.International</v>
          </cell>
          <cell r="D591">
            <v>0</v>
          </cell>
        </row>
        <row r="592">
          <cell r="A592" t="str">
            <v>4000.International</v>
          </cell>
          <cell r="D592">
            <v>-604.67999999999995</v>
          </cell>
        </row>
        <row r="593">
          <cell r="A593" t="str">
            <v>Net Sales</v>
          </cell>
          <cell r="D593">
            <v>4262570.34</v>
          </cell>
        </row>
        <row r="595">
          <cell r="A595" t="str">
            <v>4100.Other</v>
          </cell>
          <cell r="D595">
            <v>0</v>
          </cell>
        </row>
        <row r="596">
          <cell r="A596" t="str">
            <v>4100.Other</v>
          </cell>
          <cell r="D596">
            <v>0</v>
          </cell>
        </row>
        <row r="597">
          <cell r="A597" t="str">
            <v>4100.Other</v>
          </cell>
          <cell r="D597">
            <v>-21952.42</v>
          </cell>
        </row>
        <row r="598">
          <cell r="A598" t="str">
            <v>4100.Other</v>
          </cell>
          <cell r="D598">
            <v>-15673.62</v>
          </cell>
        </row>
        <row r="599">
          <cell r="A599" t="str">
            <v>4100.Other</v>
          </cell>
          <cell r="D599">
            <v>-71422.39</v>
          </cell>
        </row>
        <row r="600">
          <cell r="A600" t="str">
            <v>4100.Other</v>
          </cell>
          <cell r="D600">
            <v>0</v>
          </cell>
        </row>
        <row r="601">
          <cell r="A601" t="str">
            <v>4100.Other</v>
          </cell>
          <cell r="D601">
            <v>-129891.87</v>
          </cell>
        </row>
        <row r="602">
          <cell r="A602" t="str">
            <v>4100.Other</v>
          </cell>
          <cell r="D602">
            <v>0</v>
          </cell>
        </row>
        <row r="603">
          <cell r="A603" t="str">
            <v>4100.Other</v>
          </cell>
          <cell r="D603">
            <v>-235460.33</v>
          </cell>
        </row>
        <row r="604">
          <cell r="A604" t="str">
            <v>4100.Other</v>
          </cell>
          <cell r="D604">
            <v>-3901.8</v>
          </cell>
        </row>
        <row r="605">
          <cell r="A605" t="str">
            <v>4100.Other</v>
          </cell>
          <cell r="D605">
            <v>-7638.3</v>
          </cell>
        </row>
        <row r="606">
          <cell r="A606" t="str">
            <v>4100.Other</v>
          </cell>
          <cell r="D606">
            <v>-632.78</v>
          </cell>
        </row>
        <row r="607">
          <cell r="A607" t="str">
            <v>4100.Other</v>
          </cell>
          <cell r="D607">
            <v>0</v>
          </cell>
        </row>
        <row r="608">
          <cell r="A608" t="str">
            <v>4100.Other</v>
          </cell>
          <cell r="D608">
            <v>-177.97</v>
          </cell>
        </row>
        <row r="609">
          <cell r="A609" t="str">
            <v>4100.Other</v>
          </cell>
          <cell r="D609">
            <v>0</v>
          </cell>
        </row>
        <row r="610">
          <cell r="A610" t="str">
            <v>4100.Other</v>
          </cell>
          <cell r="D610">
            <v>-47174.69</v>
          </cell>
        </row>
        <row r="611">
          <cell r="A611" t="str">
            <v>4100.Other</v>
          </cell>
          <cell r="D611">
            <v>-1301.27</v>
          </cell>
        </row>
        <row r="612">
          <cell r="A612" t="str">
            <v>4100.Other</v>
          </cell>
          <cell r="D612">
            <v>-33987.72</v>
          </cell>
        </row>
        <row r="613">
          <cell r="A613" t="str">
            <v>4100.Other</v>
          </cell>
          <cell r="D613">
            <v>-13833.15</v>
          </cell>
        </row>
        <row r="614">
          <cell r="A614" t="str">
            <v>4100.Other</v>
          </cell>
          <cell r="D614">
            <v>0</v>
          </cell>
        </row>
        <row r="615">
          <cell r="A615" t="str">
            <v>4100.Other</v>
          </cell>
          <cell r="D615">
            <v>-545.47</v>
          </cell>
        </row>
        <row r="616">
          <cell r="A616" t="str">
            <v>4100.Other</v>
          </cell>
          <cell r="D616">
            <v>-45263.14</v>
          </cell>
        </row>
        <row r="617">
          <cell r="A617" t="str">
            <v>4100.Other</v>
          </cell>
          <cell r="D617">
            <v>-26943.78</v>
          </cell>
        </row>
        <row r="618">
          <cell r="A618" t="str">
            <v>4100.Other</v>
          </cell>
          <cell r="D618">
            <v>-183223.15</v>
          </cell>
        </row>
        <row r="619">
          <cell r="A619" t="str">
            <v>4100.Other</v>
          </cell>
          <cell r="D619">
            <v>-24999.64</v>
          </cell>
        </row>
        <row r="620">
          <cell r="A620" t="str">
            <v>4100.Other</v>
          </cell>
          <cell r="D620">
            <v>-2569.8000000000002</v>
          </cell>
        </row>
        <row r="621">
          <cell r="A621" t="str">
            <v>4100.Other</v>
          </cell>
          <cell r="D621">
            <v>-12781.73</v>
          </cell>
        </row>
        <row r="622">
          <cell r="A622" t="str">
            <v>4100.Other</v>
          </cell>
          <cell r="D622">
            <v>-78077.86</v>
          </cell>
        </row>
        <row r="623">
          <cell r="A623" t="str">
            <v>4100.Other</v>
          </cell>
          <cell r="D623">
            <v>-23927.11</v>
          </cell>
        </row>
        <row r="624">
          <cell r="A624" t="str">
            <v>4100.Other</v>
          </cell>
          <cell r="D624">
            <v>-963.48</v>
          </cell>
        </row>
        <row r="625">
          <cell r="A625" t="str">
            <v>4100.Other</v>
          </cell>
          <cell r="D625">
            <v>0</v>
          </cell>
        </row>
        <row r="626">
          <cell r="A626" t="str">
            <v>4100.Other</v>
          </cell>
          <cell r="D626">
            <v>0</v>
          </cell>
        </row>
        <row r="627">
          <cell r="A627" t="str">
            <v>4100.Other</v>
          </cell>
          <cell r="D627">
            <v>0</v>
          </cell>
        </row>
        <row r="628">
          <cell r="A628" t="str">
            <v>4100.Other</v>
          </cell>
          <cell r="D628">
            <v>-4742.37</v>
          </cell>
        </row>
        <row r="629">
          <cell r="A629" t="str">
            <v>4100.Other</v>
          </cell>
          <cell r="D629">
            <v>-1786.4</v>
          </cell>
        </row>
        <row r="630">
          <cell r="A630" t="str">
            <v>4100.Other</v>
          </cell>
          <cell r="D630">
            <v>-74696.77</v>
          </cell>
        </row>
        <row r="631">
          <cell r="A631" t="str">
            <v>4100.Other</v>
          </cell>
          <cell r="D631">
            <v>0</v>
          </cell>
        </row>
        <row r="632">
          <cell r="A632" t="str">
            <v>4100.Other</v>
          </cell>
          <cell r="D632">
            <v>0</v>
          </cell>
        </row>
        <row r="633">
          <cell r="A633" t="str">
            <v>4100.Other</v>
          </cell>
          <cell r="D633">
            <v>-135834.51</v>
          </cell>
        </row>
        <row r="634">
          <cell r="A634" t="str">
            <v>4100.Other</v>
          </cell>
          <cell r="D634">
            <v>-1144.58</v>
          </cell>
        </row>
        <row r="635">
          <cell r="A635" t="str">
            <v>4100.Other</v>
          </cell>
          <cell r="D635">
            <v>0</v>
          </cell>
        </row>
        <row r="636">
          <cell r="A636" t="str">
            <v>4100.Other</v>
          </cell>
          <cell r="D636" t="str">
            <v xml:space="preserve">           </v>
          </cell>
        </row>
        <row r="637">
          <cell r="A637" t="str">
            <v>4100.Other</v>
          </cell>
          <cell r="D637">
            <v>0</v>
          </cell>
        </row>
        <row r="638">
          <cell r="A638" t="str">
            <v>4100.Other</v>
          </cell>
          <cell r="D638">
            <v>23976.799999999999</v>
          </cell>
        </row>
        <row r="639">
          <cell r="A639" t="str">
            <v>4100.Other</v>
          </cell>
          <cell r="D639">
            <v>-317.79000000000002</v>
          </cell>
        </row>
        <row r="640">
          <cell r="A640" t="str">
            <v>4100.Other</v>
          </cell>
          <cell r="D640">
            <v>-6354.64</v>
          </cell>
        </row>
        <row r="641">
          <cell r="A641" t="str">
            <v>4100.Other</v>
          </cell>
          <cell r="D641">
            <v>0</v>
          </cell>
        </row>
        <row r="642">
          <cell r="A642" t="str">
            <v>Total Direct Materials</v>
          </cell>
          <cell r="D642">
            <v>-1183243.73</v>
          </cell>
        </row>
        <row r="643">
          <cell r="A643" t="str">
            <v>4100.Other</v>
          </cell>
          <cell r="D643">
            <v>0</v>
          </cell>
        </row>
        <row r="644">
          <cell r="A644" t="str">
            <v>4100.Other</v>
          </cell>
          <cell r="D644">
            <v>0</v>
          </cell>
        </row>
        <row r="645">
          <cell r="A645" t="str">
            <v>4100.Other</v>
          </cell>
          <cell r="D645">
            <v>-29646.560000000001</v>
          </cell>
        </row>
        <row r="646">
          <cell r="A646" t="str">
            <v>4100.Other</v>
          </cell>
          <cell r="D646">
            <v>0</v>
          </cell>
        </row>
        <row r="647">
          <cell r="A647" t="str">
            <v>4100.Other</v>
          </cell>
          <cell r="D647">
            <v>-4537.32</v>
          </cell>
        </row>
        <row r="648">
          <cell r="A648" t="str">
            <v>4100.Other</v>
          </cell>
          <cell r="D648">
            <v>0</v>
          </cell>
        </row>
        <row r="649">
          <cell r="A649" t="str">
            <v>4100.Other</v>
          </cell>
          <cell r="D649">
            <v>-172.94</v>
          </cell>
        </row>
        <row r="650">
          <cell r="A650" t="str">
            <v>4100.Other</v>
          </cell>
          <cell r="D650">
            <v>0</v>
          </cell>
        </row>
        <row r="651">
          <cell r="A651" t="str">
            <v>4100.Other</v>
          </cell>
          <cell r="D651">
            <v>-57555.360000000001</v>
          </cell>
        </row>
        <row r="652">
          <cell r="A652" t="str">
            <v>4100.Other</v>
          </cell>
          <cell r="D652">
            <v>0</v>
          </cell>
        </row>
        <row r="653">
          <cell r="A653" t="str">
            <v>4100.Other</v>
          </cell>
          <cell r="D653">
            <v>-180.18</v>
          </cell>
        </row>
        <row r="654">
          <cell r="A654" t="str">
            <v>4100.Other</v>
          </cell>
          <cell r="D654">
            <v>-48.55</v>
          </cell>
        </row>
        <row r="655">
          <cell r="A655" t="str">
            <v>4100.Other</v>
          </cell>
          <cell r="D655">
            <v>0</v>
          </cell>
        </row>
        <row r="656">
          <cell r="A656" t="str">
            <v>4100.Other</v>
          </cell>
          <cell r="D656">
            <v>0</v>
          </cell>
        </row>
        <row r="657">
          <cell r="A657" t="str">
            <v>4100.Other</v>
          </cell>
          <cell r="D657">
            <v>0</v>
          </cell>
        </row>
        <row r="658">
          <cell r="A658" t="str">
            <v>4100.Other</v>
          </cell>
          <cell r="D658">
            <v>-12542.78</v>
          </cell>
        </row>
        <row r="659">
          <cell r="A659" t="str">
            <v>4100.Other</v>
          </cell>
          <cell r="D659">
            <v>-1069.95</v>
          </cell>
        </row>
        <row r="660">
          <cell r="A660" t="str">
            <v>4100.Other</v>
          </cell>
          <cell r="D660">
            <v>-28051.88</v>
          </cell>
        </row>
        <row r="661">
          <cell r="A661" t="str">
            <v>4100.Other</v>
          </cell>
          <cell r="D661">
            <v>0</v>
          </cell>
        </row>
        <row r="662">
          <cell r="A662" t="str">
            <v>4100.Other</v>
          </cell>
          <cell r="D662">
            <v>0</v>
          </cell>
        </row>
        <row r="663">
          <cell r="A663" t="str">
            <v>4100.Other</v>
          </cell>
          <cell r="D663">
            <v>-586.94000000000005</v>
          </cell>
        </row>
        <row r="664">
          <cell r="A664" t="str">
            <v>4100.Other</v>
          </cell>
          <cell r="D664">
            <v>-15883.52</v>
          </cell>
        </row>
        <row r="665">
          <cell r="A665" t="str">
            <v>4100.Other</v>
          </cell>
          <cell r="D665">
            <v>-19962.439999999999</v>
          </cell>
        </row>
        <row r="666">
          <cell r="A666" t="str">
            <v>4100.Other</v>
          </cell>
          <cell r="D666">
            <v>-21249.22</v>
          </cell>
        </row>
        <row r="667">
          <cell r="A667" t="str">
            <v>4100.Other</v>
          </cell>
          <cell r="D667">
            <v>-161.33000000000001</v>
          </cell>
        </row>
        <row r="668">
          <cell r="A668" t="str">
            <v>4100.Other</v>
          </cell>
          <cell r="D668">
            <v>0</v>
          </cell>
        </row>
        <row r="669">
          <cell r="A669" t="str">
            <v>4100.Other</v>
          </cell>
          <cell r="D669">
            <v>-10165.709999999999</v>
          </cell>
        </row>
        <row r="670">
          <cell r="A670" t="str">
            <v>4100.Other</v>
          </cell>
          <cell r="D670">
            <v>-41019.629999999997</v>
          </cell>
        </row>
        <row r="671">
          <cell r="A671" t="str">
            <v>4100.Other</v>
          </cell>
          <cell r="D671">
            <v>-25047.63</v>
          </cell>
        </row>
        <row r="672">
          <cell r="A672" t="str">
            <v>4100.Other</v>
          </cell>
          <cell r="D672">
            <v>0</v>
          </cell>
        </row>
        <row r="673">
          <cell r="A673" t="str">
            <v>4100.Other</v>
          </cell>
          <cell r="D673">
            <v>0</v>
          </cell>
        </row>
        <row r="674">
          <cell r="A674" t="str">
            <v>4100.Other</v>
          </cell>
          <cell r="D674">
            <v>0</v>
          </cell>
        </row>
        <row r="675">
          <cell r="A675" t="str">
            <v>4100.Other</v>
          </cell>
          <cell r="D675">
            <v>0</v>
          </cell>
        </row>
        <row r="676">
          <cell r="A676" t="str">
            <v>4100.Other</v>
          </cell>
          <cell r="D676">
            <v>-5184.45</v>
          </cell>
        </row>
        <row r="677">
          <cell r="A677" t="str">
            <v>4100.Other</v>
          </cell>
          <cell r="D677">
            <v>-1332.61</v>
          </cell>
        </row>
        <row r="678">
          <cell r="A678" t="str">
            <v>4100.Other</v>
          </cell>
          <cell r="D678">
            <v>-22371.119999999999</v>
          </cell>
        </row>
        <row r="679">
          <cell r="A679" t="str">
            <v>4100.Other</v>
          </cell>
          <cell r="D679">
            <v>0</v>
          </cell>
        </row>
        <row r="680">
          <cell r="A680" t="str">
            <v>4100.Other</v>
          </cell>
          <cell r="D680">
            <v>0</v>
          </cell>
        </row>
        <row r="681">
          <cell r="A681" t="str">
            <v>4100.Other</v>
          </cell>
          <cell r="D681">
            <v>-3492.8</v>
          </cell>
        </row>
        <row r="682">
          <cell r="A682" t="str">
            <v>4100.Other</v>
          </cell>
          <cell r="D682">
            <v>0</v>
          </cell>
        </row>
        <row r="683">
          <cell r="A683" t="str">
            <v>4100.Other</v>
          </cell>
          <cell r="D683">
            <v>0</v>
          </cell>
        </row>
        <row r="684">
          <cell r="A684" t="str">
            <v>4100.Other</v>
          </cell>
          <cell r="D684">
            <v>0</v>
          </cell>
        </row>
        <row r="685">
          <cell r="A685" t="str">
            <v>4100.Other</v>
          </cell>
          <cell r="D685">
            <v>0</v>
          </cell>
        </row>
        <row r="686">
          <cell r="A686" t="str">
            <v>4100.Other</v>
          </cell>
          <cell r="D686">
            <v>0</v>
          </cell>
        </row>
        <row r="687">
          <cell r="A687" t="str">
            <v>4100.Other</v>
          </cell>
          <cell r="D687">
            <v>0</v>
          </cell>
        </row>
        <row r="688">
          <cell r="A688" t="str">
            <v>4100.Other</v>
          </cell>
          <cell r="D688">
            <v>0</v>
          </cell>
        </row>
        <row r="689">
          <cell r="A689" t="str">
            <v>4100.Other</v>
          </cell>
          <cell r="D689">
            <v>0</v>
          </cell>
        </row>
        <row r="690">
          <cell r="A690" t="str">
            <v>Total Direct Burden</v>
          </cell>
          <cell r="D690">
            <v>-300262.91999999993</v>
          </cell>
        </row>
        <row r="691">
          <cell r="A691" t="str">
            <v>4100.Other</v>
          </cell>
          <cell r="D691">
            <v>0</v>
          </cell>
        </row>
        <row r="692">
          <cell r="A692" t="str">
            <v>4100.Other</v>
          </cell>
          <cell r="D692">
            <v>0</v>
          </cell>
        </row>
        <row r="693">
          <cell r="A693" t="str">
            <v>4100.Other</v>
          </cell>
          <cell r="D693">
            <v>-7075.44</v>
          </cell>
        </row>
        <row r="694">
          <cell r="A694" t="str">
            <v>4100.Other</v>
          </cell>
          <cell r="D694">
            <v>0</v>
          </cell>
        </row>
        <row r="695">
          <cell r="A695" t="str">
            <v>4100.Other</v>
          </cell>
          <cell r="D695">
            <v>-1638.61</v>
          </cell>
        </row>
        <row r="696">
          <cell r="A696" t="str">
            <v>4100.Other</v>
          </cell>
          <cell r="D696">
            <v>0</v>
          </cell>
        </row>
        <row r="697">
          <cell r="A697" t="str">
            <v>4100.Other</v>
          </cell>
          <cell r="D697">
            <v>-1623.28</v>
          </cell>
        </row>
        <row r="698">
          <cell r="A698" t="str">
            <v>4100.Other</v>
          </cell>
          <cell r="D698">
            <v>0</v>
          </cell>
        </row>
        <row r="699">
          <cell r="A699" t="str">
            <v>4100.Other</v>
          </cell>
          <cell r="D699">
            <v>-14358.17</v>
          </cell>
        </row>
        <row r="700">
          <cell r="A700" t="str">
            <v>4100.Other</v>
          </cell>
          <cell r="D700">
            <v>0</v>
          </cell>
        </row>
        <row r="701">
          <cell r="A701" t="str">
            <v>4100.Other</v>
          </cell>
          <cell r="D701">
            <v>0</v>
          </cell>
        </row>
        <row r="702">
          <cell r="A702" t="str">
            <v>4100.Other</v>
          </cell>
          <cell r="D702">
            <v>0</v>
          </cell>
        </row>
        <row r="703">
          <cell r="A703" t="str">
            <v>4100.Other</v>
          </cell>
          <cell r="D703">
            <v>0</v>
          </cell>
        </row>
        <row r="704">
          <cell r="A704" t="str">
            <v>4100.Other</v>
          </cell>
          <cell r="D704">
            <v>0</v>
          </cell>
        </row>
        <row r="705">
          <cell r="A705" t="str">
            <v>4100.Other</v>
          </cell>
          <cell r="D705">
            <v>0</v>
          </cell>
        </row>
        <row r="706">
          <cell r="A706" t="str">
            <v>4100.Other</v>
          </cell>
          <cell r="D706">
            <v>-1996.18</v>
          </cell>
        </row>
        <row r="707">
          <cell r="A707" t="str">
            <v>4100.Other</v>
          </cell>
          <cell r="D707">
            <v>-154.97</v>
          </cell>
        </row>
        <row r="708">
          <cell r="A708" t="str">
            <v>4100.Other</v>
          </cell>
          <cell r="D708">
            <v>-7048.01</v>
          </cell>
        </row>
        <row r="709">
          <cell r="A709" t="str">
            <v>4100.Other</v>
          </cell>
          <cell r="D709">
            <v>0</v>
          </cell>
        </row>
        <row r="710">
          <cell r="A710" t="str">
            <v>4100.Other</v>
          </cell>
          <cell r="D710">
            <v>0</v>
          </cell>
        </row>
        <row r="711">
          <cell r="A711" t="str">
            <v>4100.Other</v>
          </cell>
          <cell r="D711">
            <v>-274.22000000000003</v>
          </cell>
        </row>
        <row r="712">
          <cell r="A712" t="str">
            <v>4100.Other</v>
          </cell>
          <cell r="D712">
            <v>-995.13</v>
          </cell>
        </row>
        <row r="713">
          <cell r="A713" t="str">
            <v>4100.Other</v>
          </cell>
          <cell r="D713">
            <v>-4390.95</v>
          </cell>
        </row>
        <row r="714">
          <cell r="A714" t="str">
            <v>4100.Other</v>
          </cell>
          <cell r="D714">
            <v>-4781.3</v>
          </cell>
        </row>
        <row r="715">
          <cell r="A715" t="str">
            <v>4100.Other</v>
          </cell>
          <cell r="D715">
            <v>0</v>
          </cell>
        </row>
        <row r="716">
          <cell r="A716" t="str">
            <v>4100.Other</v>
          </cell>
          <cell r="D716">
            <v>0</v>
          </cell>
        </row>
        <row r="717">
          <cell r="A717" t="str">
            <v>4100.Other</v>
          </cell>
          <cell r="D717">
            <v>-450.14</v>
          </cell>
        </row>
        <row r="718">
          <cell r="A718" t="str">
            <v>4100.Other</v>
          </cell>
          <cell r="D718">
            <v>-268.67</v>
          </cell>
        </row>
        <row r="719">
          <cell r="A719" t="str">
            <v>4100.Other</v>
          </cell>
          <cell r="D719">
            <v>-2897.45</v>
          </cell>
        </row>
        <row r="720">
          <cell r="A720" t="str">
            <v>4100.Other</v>
          </cell>
          <cell r="D720">
            <v>0</v>
          </cell>
        </row>
        <row r="721">
          <cell r="A721" t="str">
            <v>4100.Other</v>
          </cell>
          <cell r="D721">
            <v>0</v>
          </cell>
        </row>
        <row r="722">
          <cell r="A722" t="str">
            <v>4100.Other</v>
          </cell>
          <cell r="D722">
            <v>6040.25</v>
          </cell>
        </row>
        <row r="723">
          <cell r="A723" t="str">
            <v>4100.Other</v>
          </cell>
          <cell r="D723">
            <v>0</v>
          </cell>
        </row>
        <row r="724">
          <cell r="A724" t="str">
            <v>4100.Other</v>
          </cell>
          <cell r="D724">
            <v>0</v>
          </cell>
        </row>
        <row r="725">
          <cell r="A725" t="str">
            <v>4100.Other</v>
          </cell>
          <cell r="D725">
            <v>-6.65</v>
          </cell>
        </row>
        <row r="726">
          <cell r="A726" t="str">
            <v>4100.Other</v>
          </cell>
          <cell r="D726">
            <v>-2399.87</v>
          </cell>
        </row>
        <row r="727">
          <cell r="A727" t="str">
            <v>4100.Other</v>
          </cell>
          <cell r="D727">
            <v>-121748.41</v>
          </cell>
        </row>
        <row r="728">
          <cell r="A728" t="str">
            <v>4100.Other</v>
          </cell>
          <cell r="D728">
            <v>0</v>
          </cell>
        </row>
        <row r="729">
          <cell r="A729" t="str">
            <v>4100.Other</v>
          </cell>
          <cell r="D729">
            <v>-113.05</v>
          </cell>
        </row>
        <row r="730">
          <cell r="A730" t="str">
            <v>4100.Other</v>
          </cell>
          <cell r="D730">
            <v>0</v>
          </cell>
        </row>
        <row r="731">
          <cell r="A731" t="str">
            <v>4100.Other</v>
          </cell>
          <cell r="D731">
            <v>0</v>
          </cell>
        </row>
        <row r="732">
          <cell r="A732" t="str">
            <v>4100.Other</v>
          </cell>
          <cell r="D732">
            <v>0</v>
          </cell>
        </row>
        <row r="733">
          <cell r="A733" t="str">
            <v>4100.Other</v>
          </cell>
          <cell r="D733">
            <v>0</v>
          </cell>
        </row>
        <row r="734">
          <cell r="A734" t="str">
            <v>4100.Other</v>
          </cell>
          <cell r="D734">
            <v>0</v>
          </cell>
        </row>
        <row r="735">
          <cell r="A735" t="str">
            <v>4100.Other</v>
          </cell>
          <cell r="D735">
            <v>0</v>
          </cell>
        </row>
        <row r="736">
          <cell r="A736" t="str">
            <v>4100.Other</v>
          </cell>
          <cell r="D736">
            <v>0</v>
          </cell>
        </row>
        <row r="737">
          <cell r="A737" t="str">
            <v>4100.Other</v>
          </cell>
          <cell r="D737">
            <v>0</v>
          </cell>
        </row>
        <row r="738">
          <cell r="A738" t="str">
            <v>Total Services</v>
          </cell>
          <cell r="D738">
            <v>-166180.25</v>
          </cell>
        </row>
        <row r="739">
          <cell r="A739" t="str">
            <v>4100.Other</v>
          </cell>
          <cell r="D739">
            <v>-19125.2</v>
          </cell>
        </row>
        <row r="740">
          <cell r="A740" t="str">
            <v>4100.Other</v>
          </cell>
          <cell r="D740">
            <v>0</v>
          </cell>
        </row>
        <row r="741">
          <cell r="A741" t="str">
            <v>4100.Other</v>
          </cell>
          <cell r="D741">
            <v>-3155.4</v>
          </cell>
        </row>
        <row r="742">
          <cell r="A742" t="str">
            <v>4100.Other</v>
          </cell>
          <cell r="D742">
            <v>0</v>
          </cell>
        </row>
        <row r="743">
          <cell r="A743" t="str">
            <v>4100.Other</v>
          </cell>
          <cell r="D743">
            <v>-2889.43</v>
          </cell>
        </row>
        <row r="744">
          <cell r="A744" t="str">
            <v>4100.Other</v>
          </cell>
          <cell r="D744">
            <v>0</v>
          </cell>
        </row>
        <row r="745">
          <cell r="A745" t="str">
            <v>4100.Other</v>
          </cell>
          <cell r="D745">
            <v>-5742.46</v>
          </cell>
        </row>
        <row r="746">
          <cell r="A746" t="str">
            <v>4100.Other</v>
          </cell>
          <cell r="D746">
            <v>0</v>
          </cell>
        </row>
        <row r="747">
          <cell r="A747" t="str">
            <v>4100.Other</v>
          </cell>
          <cell r="D747">
            <v>-9435.7099999999991</v>
          </cell>
        </row>
        <row r="748">
          <cell r="A748" t="str">
            <v>4100.Other</v>
          </cell>
          <cell r="D748">
            <v>158.16</v>
          </cell>
        </row>
        <row r="749">
          <cell r="A749" t="str">
            <v>4100.Other</v>
          </cell>
          <cell r="D749">
            <v>0</v>
          </cell>
        </row>
        <row r="750">
          <cell r="A750" t="str">
            <v>4100.Other</v>
          </cell>
          <cell r="D750">
            <v>0</v>
          </cell>
        </row>
        <row r="751">
          <cell r="A751" t="str">
            <v>4100.Other</v>
          </cell>
          <cell r="D751">
            <v>0</v>
          </cell>
        </row>
        <row r="752">
          <cell r="A752" t="str">
            <v>4100.Other</v>
          </cell>
          <cell r="D752">
            <v>0</v>
          </cell>
        </row>
        <row r="753">
          <cell r="A753" t="str">
            <v>4100.Other</v>
          </cell>
          <cell r="D753">
            <v>0</v>
          </cell>
        </row>
        <row r="754">
          <cell r="A754" t="str">
            <v>4100.Other</v>
          </cell>
          <cell r="D754">
            <v>0</v>
          </cell>
        </row>
        <row r="755">
          <cell r="A755" t="str">
            <v>4100.Other</v>
          </cell>
          <cell r="D755">
            <v>0</v>
          </cell>
        </row>
        <row r="756">
          <cell r="A756" t="str">
            <v>4100.Other</v>
          </cell>
          <cell r="D756">
            <v>3207.93</v>
          </cell>
        </row>
        <row r="757">
          <cell r="A757" t="str">
            <v>4100.Other</v>
          </cell>
          <cell r="D757">
            <v>245.8</v>
          </cell>
        </row>
        <row r="758">
          <cell r="A758" t="str">
            <v>4100.Other</v>
          </cell>
          <cell r="D758">
            <v>0</v>
          </cell>
        </row>
        <row r="759">
          <cell r="A759" t="str">
            <v>4100.Other</v>
          </cell>
          <cell r="D759">
            <v>0</v>
          </cell>
        </row>
        <row r="760">
          <cell r="A760" t="str">
            <v>4100.Other</v>
          </cell>
          <cell r="D760">
            <v>82.7</v>
          </cell>
        </row>
        <row r="761">
          <cell r="A761" t="str">
            <v>4100.Other</v>
          </cell>
          <cell r="D761">
            <v>-209.55</v>
          </cell>
        </row>
        <row r="762">
          <cell r="A762" t="str">
            <v>4100.Other</v>
          </cell>
          <cell r="D762">
            <v>0</v>
          </cell>
        </row>
        <row r="763">
          <cell r="A763" t="str">
            <v>4100.Other</v>
          </cell>
          <cell r="D763">
            <v>326.25</v>
          </cell>
        </row>
        <row r="764">
          <cell r="A764" t="str">
            <v>4100.Other</v>
          </cell>
          <cell r="D764">
            <v>0</v>
          </cell>
        </row>
        <row r="765">
          <cell r="A765" t="str">
            <v>4100.Other</v>
          </cell>
          <cell r="D765">
            <v>-345.99</v>
          </cell>
        </row>
        <row r="766">
          <cell r="A766" t="str">
            <v>4100.Other</v>
          </cell>
          <cell r="D766">
            <v>-284.14</v>
          </cell>
        </row>
        <row r="767">
          <cell r="A767" t="str">
            <v>4100.Other</v>
          </cell>
          <cell r="D767">
            <v>0</v>
          </cell>
        </row>
        <row r="768">
          <cell r="A768" t="str">
            <v>4100.Other</v>
          </cell>
          <cell r="D768">
            <v>0</v>
          </cell>
        </row>
        <row r="769">
          <cell r="A769" t="str">
            <v>4100.Other</v>
          </cell>
          <cell r="D769">
            <v>-398.86</v>
          </cell>
        </row>
        <row r="770">
          <cell r="A770" t="str">
            <v>4100.Other</v>
          </cell>
          <cell r="D770">
            <v>0</v>
          </cell>
        </row>
        <row r="771">
          <cell r="A771" t="str">
            <v>4100.Other</v>
          </cell>
          <cell r="D771">
            <v>0</v>
          </cell>
        </row>
        <row r="772">
          <cell r="A772" t="str">
            <v>4100.Other</v>
          </cell>
          <cell r="D772">
            <v>0</v>
          </cell>
        </row>
        <row r="773">
          <cell r="A773" t="str">
            <v>4100.Other</v>
          </cell>
          <cell r="D773">
            <v>0</v>
          </cell>
        </row>
        <row r="774">
          <cell r="A774" t="str">
            <v>4100.Other</v>
          </cell>
          <cell r="D774">
            <v>203.77</v>
          </cell>
        </row>
        <row r="775">
          <cell r="A775" t="str">
            <v>4100.Other</v>
          </cell>
          <cell r="D775">
            <v>0</v>
          </cell>
        </row>
        <row r="776">
          <cell r="A776" t="str">
            <v>4100.Other</v>
          </cell>
          <cell r="D776">
            <v>0</v>
          </cell>
        </row>
        <row r="777">
          <cell r="A777" t="str">
            <v>4100.Other</v>
          </cell>
          <cell r="D777">
            <v>-789.11</v>
          </cell>
        </row>
        <row r="778">
          <cell r="A778" t="str">
            <v>4100.Other</v>
          </cell>
          <cell r="D778">
            <v>0</v>
          </cell>
        </row>
        <row r="779">
          <cell r="A779" t="str">
            <v>4100.Other</v>
          </cell>
          <cell r="D779">
            <v>7805.76</v>
          </cell>
        </row>
        <row r="780">
          <cell r="A780" t="str">
            <v>4100.Other</v>
          </cell>
          <cell r="D780">
            <v>0</v>
          </cell>
        </row>
        <row r="781">
          <cell r="A781" t="str">
            <v>4100.Other</v>
          </cell>
          <cell r="D781">
            <v>0</v>
          </cell>
        </row>
        <row r="782">
          <cell r="A782" t="str">
            <v>4100.Other</v>
          </cell>
          <cell r="D782">
            <v>0</v>
          </cell>
        </row>
        <row r="783">
          <cell r="A783" t="str">
            <v>4100.Other</v>
          </cell>
          <cell r="D783">
            <v>-22869.84</v>
          </cell>
        </row>
        <row r="784">
          <cell r="A784" t="str">
            <v>4100.Other</v>
          </cell>
          <cell r="D784">
            <v>0</v>
          </cell>
        </row>
        <row r="785">
          <cell r="A785" t="str">
            <v>4100.Other</v>
          </cell>
          <cell r="D785">
            <v>0</v>
          </cell>
        </row>
        <row r="786">
          <cell r="A786" t="str">
            <v>Total Adjustment to Inventory</v>
          </cell>
          <cell r="D786">
            <v>-53215.319999999992</v>
          </cell>
        </row>
        <row r="787">
          <cell r="A787" t="str">
            <v>4100.Other</v>
          </cell>
          <cell r="D787">
            <v>0</v>
          </cell>
        </row>
        <row r="788">
          <cell r="A788" t="str">
            <v>4100.Other</v>
          </cell>
          <cell r="D788">
            <v>0</v>
          </cell>
        </row>
        <row r="789">
          <cell r="A789" t="str">
            <v>4100.Other</v>
          </cell>
          <cell r="D789">
            <v>0</v>
          </cell>
        </row>
        <row r="790">
          <cell r="A790" t="str">
            <v>4100.Other</v>
          </cell>
          <cell r="D790">
            <v>0</v>
          </cell>
        </row>
        <row r="791">
          <cell r="A791" t="str">
            <v>4100.Other</v>
          </cell>
          <cell r="D791">
            <v>0</v>
          </cell>
        </row>
        <row r="792">
          <cell r="A792" t="str">
            <v>4100.Other</v>
          </cell>
          <cell r="D792">
            <v>0</v>
          </cell>
        </row>
        <row r="793">
          <cell r="A793" t="str">
            <v>4100.Other</v>
          </cell>
          <cell r="D793">
            <v>0</v>
          </cell>
        </row>
        <row r="794">
          <cell r="A794" t="str">
            <v>4100.Other</v>
          </cell>
          <cell r="D794">
            <v>0</v>
          </cell>
        </row>
        <row r="795">
          <cell r="A795" t="str">
            <v>4100.Other</v>
          </cell>
          <cell r="D795">
            <v>0</v>
          </cell>
        </row>
        <row r="796">
          <cell r="A796" t="str">
            <v>4100.Other</v>
          </cell>
          <cell r="D796">
            <v>179.6</v>
          </cell>
        </row>
        <row r="797">
          <cell r="A797" t="str">
            <v>4100.Other</v>
          </cell>
          <cell r="D797">
            <v>0</v>
          </cell>
        </row>
        <row r="798">
          <cell r="A798" t="str">
            <v>4100.Other</v>
          </cell>
          <cell r="D798">
            <v>327.23</v>
          </cell>
        </row>
        <row r="799">
          <cell r="A799" t="str">
            <v>4100.Other</v>
          </cell>
          <cell r="D799">
            <v>0</v>
          </cell>
        </row>
        <row r="800">
          <cell r="A800" t="str">
            <v>4100.Other</v>
          </cell>
          <cell r="D800">
            <v>324.7</v>
          </cell>
        </row>
        <row r="801">
          <cell r="A801" t="str">
            <v>4100.Other</v>
          </cell>
          <cell r="D801">
            <v>0</v>
          </cell>
        </row>
        <row r="802">
          <cell r="A802" t="str">
            <v>4100.Other</v>
          </cell>
          <cell r="D802">
            <v>-2223.92</v>
          </cell>
        </row>
        <row r="803">
          <cell r="A803" t="str">
            <v>4100.Other</v>
          </cell>
          <cell r="D803">
            <v>0</v>
          </cell>
        </row>
        <row r="804">
          <cell r="A804" t="str">
            <v>4100.Other</v>
          </cell>
          <cell r="D804">
            <v>-153.78</v>
          </cell>
        </row>
        <row r="805">
          <cell r="A805" t="str">
            <v>4100.Other</v>
          </cell>
          <cell r="D805">
            <v>0.01</v>
          </cell>
        </row>
        <row r="806">
          <cell r="A806" t="str">
            <v>4100.Other</v>
          </cell>
          <cell r="D806">
            <v>0</v>
          </cell>
        </row>
        <row r="807">
          <cell r="A807" t="str">
            <v>4100.Other</v>
          </cell>
          <cell r="D807">
            <v>0</v>
          </cell>
        </row>
        <row r="808">
          <cell r="A808" t="str">
            <v>4100.Other</v>
          </cell>
          <cell r="D808">
            <v>0</v>
          </cell>
        </row>
        <row r="809">
          <cell r="A809" t="str">
            <v>4100.Other</v>
          </cell>
          <cell r="D809">
            <v>170.42</v>
          </cell>
        </row>
        <row r="810">
          <cell r="A810" t="str">
            <v>4100.Other</v>
          </cell>
          <cell r="D810">
            <v>0</v>
          </cell>
        </row>
        <row r="811">
          <cell r="A811" t="str">
            <v>4100.Other</v>
          </cell>
          <cell r="D811">
            <v>-49.33</v>
          </cell>
        </row>
        <row r="812">
          <cell r="A812" t="str">
            <v>4100.Other</v>
          </cell>
          <cell r="D812">
            <v>0</v>
          </cell>
        </row>
        <row r="813">
          <cell r="A813" t="str">
            <v>4100.Other</v>
          </cell>
          <cell r="D813">
            <v>0</v>
          </cell>
        </row>
        <row r="814">
          <cell r="A814" t="str">
            <v>4100.Other</v>
          </cell>
          <cell r="D814">
            <v>-0.01</v>
          </cell>
        </row>
        <row r="815">
          <cell r="A815" t="str">
            <v>4100.Other</v>
          </cell>
          <cell r="D815">
            <v>-162.08000000000001</v>
          </cell>
        </row>
        <row r="816">
          <cell r="A816" t="str">
            <v>4100.Other</v>
          </cell>
          <cell r="D816">
            <v>-1637.91</v>
          </cell>
        </row>
        <row r="817">
          <cell r="A817" t="str">
            <v>4100.Other</v>
          </cell>
          <cell r="D817">
            <v>-599.05999999999995</v>
          </cell>
        </row>
        <row r="818">
          <cell r="A818" t="str">
            <v>4100.Other</v>
          </cell>
          <cell r="D818">
            <v>-0.01</v>
          </cell>
        </row>
        <row r="819">
          <cell r="A819" t="str">
            <v>4100.Other</v>
          </cell>
          <cell r="D819">
            <v>-0.01</v>
          </cell>
        </row>
        <row r="820">
          <cell r="A820" t="str">
            <v>4100.Other</v>
          </cell>
          <cell r="D820">
            <v>37.340000000000003</v>
          </cell>
        </row>
        <row r="821">
          <cell r="A821" t="str">
            <v>4100.Other</v>
          </cell>
          <cell r="D821">
            <v>-601.5</v>
          </cell>
        </row>
        <row r="822">
          <cell r="A822" t="str">
            <v>4100.Other</v>
          </cell>
          <cell r="D822">
            <v>-53.66</v>
          </cell>
        </row>
        <row r="823">
          <cell r="A823" t="str">
            <v>4100.Other</v>
          </cell>
          <cell r="D823">
            <v>0</v>
          </cell>
        </row>
        <row r="824">
          <cell r="A824" t="str">
            <v>4100.Other</v>
          </cell>
          <cell r="D824">
            <v>0</v>
          </cell>
        </row>
        <row r="825">
          <cell r="A825" t="str">
            <v>4100.Other</v>
          </cell>
          <cell r="D825">
            <v>0</v>
          </cell>
        </row>
        <row r="826">
          <cell r="A826" t="str">
            <v>4100.Other</v>
          </cell>
          <cell r="D826">
            <v>0</v>
          </cell>
        </row>
        <row r="827">
          <cell r="A827" t="str">
            <v>4100.Other</v>
          </cell>
          <cell r="D827">
            <v>-0.01</v>
          </cell>
        </row>
        <row r="828">
          <cell r="A828" t="str">
            <v>4100.Other</v>
          </cell>
          <cell r="D828">
            <v>-79.430000000000007</v>
          </cell>
        </row>
        <row r="829">
          <cell r="A829" t="str">
            <v>4100.Other</v>
          </cell>
          <cell r="D829">
            <v>-134.27000000000001</v>
          </cell>
        </row>
        <row r="830">
          <cell r="A830" t="str">
            <v>4100.Other</v>
          </cell>
          <cell r="D830">
            <v>0</v>
          </cell>
        </row>
        <row r="831">
          <cell r="A831" t="str">
            <v>4100.Other</v>
          </cell>
          <cell r="D831">
            <v>0</v>
          </cell>
        </row>
        <row r="832">
          <cell r="A832" t="str">
            <v>4100.Other</v>
          </cell>
          <cell r="D832">
            <v>-7738.37</v>
          </cell>
        </row>
        <row r="833">
          <cell r="A833" t="str">
            <v>4100.Other</v>
          </cell>
          <cell r="D833">
            <v>0</v>
          </cell>
        </row>
        <row r="834">
          <cell r="A834" t="str">
            <v>4100.Other</v>
          </cell>
          <cell r="D834">
            <v>0</v>
          </cell>
        </row>
        <row r="835">
          <cell r="A835" t="str">
            <v>4100.Other</v>
          </cell>
          <cell r="D835">
            <v>-10572.59</v>
          </cell>
        </row>
        <row r="836">
          <cell r="A836" t="str">
            <v>4100.Other</v>
          </cell>
          <cell r="D836">
            <v>0</v>
          </cell>
        </row>
        <row r="837">
          <cell r="A837" t="str">
            <v>4100.Other</v>
          </cell>
          <cell r="D837">
            <v>0</v>
          </cell>
        </row>
        <row r="838">
          <cell r="A838" t="str">
            <v>4100.Other</v>
          </cell>
          <cell r="D838">
            <v>0</v>
          </cell>
        </row>
        <row r="839">
          <cell r="A839" t="str">
            <v>4100.Other</v>
          </cell>
          <cell r="D839">
            <v>0</v>
          </cell>
        </row>
        <row r="840">
          <cell r="A840" t="str">
            <v>4100.Other</v>
          </cell>
          <cell r="D840">
            <v>0</v>
          </cell>
        </row>
        <row r="841">
          <cell r="A841" t="str">
            <v>Total Variances Production Material</v>
          </cell>
          <cell r="D841">
            <v>-22966.639999999999</v>
          </cell>
        </row>
        <row r="842">
          <cell r="A842" t="str">
            <v>4100.Other</v>
          </cell>
          <cell r="D842">
            <v>0</v>
          </cell>
        </row>
        <row r="843">
          <cell r="A843" t="str">
            <v>4100.Other</v>
          </cell>
          <cell r="D843">
            <v>0</v>
          </cell>
        </row>
        <row r="844">
          <cell r="A844" t="str">
            <v>4100.Other</v>
          </cell>
          <cell r="D844">
            <v>26046.89</v>
          </cell>
        </row>
        <row r="845">
          <cell r="A845" t="str">
            <v>4100.Other</v>
          </cell>
          <cell r="D845">
            <v>0</v>
          </cell>
        </row>
        <row r="846">
          <cell r="A846" t="str">
            <v>4100.Other</v>
          </cell>
          <cell r="D846">
            <v>3895.73</v>
          </cell>
        </row>
        <row r="847">
          <cell r="A847" t="str">
            <v>4100.Other</v>
          </cell>
          <cell r="D847">
            <v>0</v>
          </cell>
        </row>
        <row r="848">
          <cell r="A848" t="str">
            <v>4100.Other</v>
          </cell>
          <cell r="D848">
            <v>633.34</v>
          </cell>
        </row>
        <row r="849">
          <cell r="A849" t="str">
            <v>4100.Other</v>
          </cell>
          <cell r="D849">
            <v>0</v>
          </cell>
        </row>
        <row r="850">
          <cell r="A850" t="str">
            <v>4100.Other</v>
          </cell>
          <cell r="D850">
            <v>180403.75</v>
          </cell>
        </row>
        <row r="851">
          <cell r="A851" t="str">
            <v>4100.Other</v>
          </cell>
          <cell r="D851">
            <v>0</v>
          </cell>
        </row>
        <row r="852">
          <cell r="A852" t="str">
            <v>4100.Other</v>
          </cell>
          <cell r="D852">
            <v>179.28</v>
          </cell>
        </row>
        <row r="853">
          <cell r="A853" t="str">
            <v>4100.Other</v>
          </cell>
          <cell r="D853">
            <v>4.68</v>
          </cell>
        </row>
        <row r="854">
          <cell r="A854" t="str">
            <v>4100.Other</v>
          </cell>
          <cell r="D854">
            <v>0</v>
          </cell>
        </row>
        <row r="855">
          <cell r="A855" t="str">
            <v>4100.Other</v>
          </cell>
          <cell r="D855">
            <v>0</v>
          </cell>
        </row>
        <row r="856">
          <cell r="A856" t="str">
            <v>4100.Other</v>
          </cell>
          <cell r="D856">
            <v>0</v>
          </cell>
        </row>
        <row r="857">
          <cell r="A857" t="str">
            <v>4100.Other</v>
          </cell>
          <cell r="D857">
            <v>-9485.64</v>
          </cell>
        </row>
        <row r="858">
          <cell r="A858" t="str">
            <v>4100.Other</v>
          </cell>
          <cell r="D858">
            <v>40.450000000000003</v>
          </cell>
        </row>
        <row r="859">
          <cell r="A859" t="str">
            <v>4100.Other</v>
          </cell>
          <cell r="D859">
            <v>1068.22</v>
          </cell>
        </row>
        <row r="860">
          <cell r="A860" t="str">
            <v>4100.Other</v>
          </cell>
          <cell r="D860">
            <v>0</v>
          </cell>
        </row>
        <row r="861">
          <cell r="A861" t="str">
            <v>4100.Other</v>
          </cell>
          <cell r="D861">
            <v>0</v>
          </cell>
        </row>
        <row r="862">
          <cell r="A862" t="str">
            <v>4100.Other</v>
          </cell>
          <cell r="D862">
            <v>-385.46</v>
          </cell>
        </row>
        <row r="863">
          <cell r="A863" t="str">
            <v>4100.Other</v>
          </cell>
          <cell r="D863">
            <v>1676.44</v>
          </cell>
        </row>
        <row r="864">
          <cell r="A864" t="str">
            <v>4100.Other</v>
          </cell>
          <cell r="D864">
            <v>2937.87</v>
          </cell>
        </row>
        <row r="865">
          <cell r="A865" t="str">
            <v>4100.Other</v>
          </cell>
          <cell r="D865">
            <v>1888.22</v>
          </cell>
        </row>
        <row r="866">
          <cell r="A866" t="str">
            <v>4100.Other</v>
          </cell>
          <cell r="D866">
            <v>135.63</v>
          </cell>
        </row>
        <row r="867">
          <cell r="A867" t="str">
            <v>4100.Other</v>
          </cell>
          <cell r="D867">
            <v>31.08</v>
          </cell>
        </row>
        <row r="868">
          <cell r="A868" t="str">
            <v>4100.Other</v>
          </cell>
          <cell r="D868">
            <v>1967.78</v>
          </cell>
        </row>
        <row r="869">
          <cell r="A869" t="str">
            <v>4100.Other</v>
          </cell>
          <cell r="D869">
            <v>10478.549999999999</v>
          </cell>
        </row>
        <row r="870">
          <cell r="A870" t="str">
            <v>4100.Other</v>
          </cell>
          <cell r="D870">
            <v>2375.16</v>
          </cell>
        </row>
        <row r="871">
          <cell r="A871" t="str">
            <v>4100.Other</v>
          </cell>
          <cell r="D871">
            <v>0</v>
          </cell>
        </row>
        <row r="872">
          <cell r="A872" t="str">
            <v>4100.Other</v>
          </cell>
          <cell r="D872">
            <v>0</v>
          </cell>
        </row>
        <row r="873">
          <cell r="A873" t="str">
            <v>4100.Other</v>
          </cell>
          <cell r="D873">
            <v>0</v>
          </cell>
        </row>
        <row r="874">
          <cell r="A874" t="str">
            <v>4100.Other</v>
          </cell>
          <cell r="D874">
            <v>0</v>
          </cell>
        </row>
        <row r="875">
          <cell r="A875" t="str">
            <v>4100.Other</v>
          </cell>
          <cell r="D875">
            <v>243.62</v>
          </cell>
        </row>
        <row r="876">
          <cell r="A876" t="str">
            <v>4100.Other</v>
          </cell>
          <cell r="D876">
            <v>26.38</v>
          </cell>
        </row>
        <row r="877">
          <cell r="A877" t="str">
            <v>4100.Other</v>
          </cell>
          <cell r="D877">
            <v>203.95</v>
          </cell>
        </row>
        <row r="878">
          <cell r="A878" t="str">
            <v>4100.Other</v>
          </cell>
          <cell r="D878">
            <v>0</v>
          </cell>
        </row>
        <row r="879">
          <cell r="A879" t="str">
            <v>4100.Other</v>
          </cell>
          <cell r="D879">
            <v>0</v>
          </cell>
        </row>
        <row r="880">
          <cell r="A880" t="str">
            <v>4100.Other</v>
          </cell>
          <cell r="D880">
            <v>-205.96</v>
          </cell>
        </row>
        <row r="881">
          <cell r="A881" t="str">
            <v>4100.Other</v>
          </cell>
          <cell r="D881">
            <v>0</v>
          </cell>
        </row>
        <row r="882">
          <cell r="A882" t="str">
            <v>4100.Other</v>
          </cell>
          <cell r="D882">
            <v>0</v>
          </cell>
        </row>
        <row r="883">
          <cell r="A883" t="str">
            <v>4100.Other</v>
          </cell>
          <cell r="D883">
            <v>-1683.57</v>
          </cell>
        </row>
        <row r="884">
          <cell r="A884" t="str">
            <v>4100.Other</v>
          </cell>
          <cell r="D884">
            <v>0</v>
          </cell>
        </row>
        <row r="885">
          <cell r="A885" t="str">
            <v>4100.Other</v>
          </cell>
          <cell r="D885">
            <v>0</v>
          </cell>
        </row>
        <row r="886">
          <cell r="A886" t="str">
            <v>4100.Other</v>
          </cell>
          <cell r="D886">
            <v>0</v>
          </cell>
        </row>
        <row r="887">
          <cell r="A887" t="str">
            <v>4100.Other</v>
          </cell>
          <cell r="D887">
            <v>0</v>
          </cell>
        </row>
        <row r="888">
          <cell r="A888" t="str">
            <v>4100.Other</v>
          </cell>
          <cell r="D888">
            <v>0</v>
          </cell>
        </row>
        <row r="889">
          <cell r="A889" t="str">
            <v>Total Variances Production Burden</v>
          </cell>
          <cell r="D889">
            <v>222476.38999999998</v>
          </cell>
        </row>
        <row r="890">
          <cell r="A890" t="str">
            <v>4100.Other</v>
          </cell>
          <cell r="D890">
            <v>0</v>
          </cell>
        </row>
        <row r="891">
          <cell r="A891" t="str">
            <v>4100.Other</v>
          </cell>
          <cell r="D891">
            <v>0</v>
          </cell>
        </row>
        <row r="892">
          <cell r="A892" t="str">
            <v>4100.Other</v>
          </cell>
          <cell r="D892">
            <v>-3949.98</v>
          </cell>
        </row>
        <row r="893">
          <cell r="A893" t="str">
            <v>4100.Other</v>
          </cell>
          <cell r="D893">
            <v>0</v>
          </cell>
        </row>
        <row r="894">
          <cell r="A894" t="str">
            <v>4100.Other</v>
          </cell>
          <cell r="D894">
            <v>76.61</v>
          </cell>
        </row>
        <row r="895">
          <cell r="A895" t="str">
            <v>4100.Other</v>
          </cell>
          <cell r="D895">
            <v>0</v>
          </cell>
        </row>
        <row r="896">
          <cell r="A896" t="str">
            <v>4100.Other</v>
          </cell>
          <cell r="D896">
            <v>450.9</v>
          </cell>
        </row>
        <row r="897">
          <cell r="A897" t="str">
            <v>4100.Other</v>
          </cell>
          <cell r="D897">
            <v>0</v>
          </cell>
        </row>
        <row r="898">
          <cell r="A898" t="str">
            <v>4100.Other</v>
          </cell>
          <cell r="D898">
            <v>12858.38</v>
          </cell>
        </row>
        <row r="899">
          <cell r="A899" t="str">
            <v>4100.Other</v>
          </cell>
          <cell r="D899">
            <v>0</v>
          </cell>
        </row>
        <row r="900">
          <cell r="A900" t="str">
            <v>4100.Other</v>
          </cell>
          <cell r="D900">
            <v>0</v>
          </cell>
        </row>
        <row r="901">
          <cell r="A901" t="str">
            <v>4100.Other</v>
          </cell>
          <cell r="D901">
            <v>0</v>
          </cell>
        </row>
        <row r="902">
          <cell r="A902" t="str">
            <v>4100.Other</v>
          </cell>
          <cell r="D902">
            <v>0</v>
          </cell>
        </row>
        <row r="903">
          <cell r="A903" t="str">
            <v>4100.Other</v>
          </cell>
          <cell r="D903">
            <v>0</v>
          </cell>
        </row>
        <row r="904">
          <cell r="A904" t="str">
            <v>4100.Other</v>
          </cell>
          <cell r="D904">
            <v>0</v>
          </cell>
        </row>
        <row r="905">
          <cell r="A905" t="str">
            <v>4100.Other</v>
          </cell>
          <cell r="D905">
            <v>0.05</v>
          </cell>
        </row>
        <row r="906">
          <cell r="A906" t="str">
            <v>4100.Other</v>
          </cell>
          <cell r="D906">
            <v>-0.02</v>
          </cell>
        </row>
        <row r="907">
          <cell r="A907" t="str">
            <v>4100.Other</v>
          </cell>
          <cell r="D907">
            <v>54.93</v>
          </cell>
        </row>
        <row r="908">
          <cell r="A908" t="str">
            <v>4100.Other</v>
          </cell>
          <cell r="D908">
            <v>0</v>
          </cell>
        </row>
        <row r="909">
          <cell r="A909" t="str">
            <v>4100.Other</v>
          </cell>
          <cell r="D909">
            <v>0</v>
          </cell>
        </row>
        <row r="910">
          <cell r="A910" t="str">
            <v>4100.Other</v>
          </cell>
          <cell r="D910">
            <v>0</v>
          </cell>
        </row>
        <row r="911">
          <cell r="A911" t="str">
            <v>4100.Other</v>
          </cell>
          <cell r="D911">
            <v>0</v>
          </cell>
        </row>
        <row r="912">
          <cell r="A912" t="str">
            <v>4100.Other</v>
          </cell>
          <cell r="D912">
            <v>-516.42999999999995</v>
          </cell>
        </row>
        <row r="913">
          <cell r="A913" t="str">
            <v>4100.Other</v>
          </cell>
          <cell r="D913">
            <v>13.5</v>
          </cell>
        </row>
        <row r="914">
          <cell r="A914" t="str">
            <v>4100.Other</v>
          </cell>
          <cell r="D914">
            <v>0</v>
          </cell>
        </row>
        <row r="915">
          <cell r="A915" t="str">
            <v>4100.Other</v>
          </cell>
          <cell r="D915">
            <v>0</v>
          </cell>
        </row>
        <row r="916">
          <cell r="A916" t="str">
            <v>4100.Other</v>
          </cell>
          <cell r="D916">
            <v>0</v>
          </cell>
        </row>
        <row r="917">
          <cell r="A917" t="str">
            <v>4100.Other</v>
          </cell>
          <cell r="D917">
            <v>5.26</v>
          </cell>
        </row>
        <row r="918">
          <cell r="A918" t="str">
            <v>4100.Other</v>
          </cell>
          <cell r="D918">
            <v>-173.4</v>
          </cell>
        </row>
        <row r="919">
          <cell r="A919" t="str">
            <v>4100.Other</v>
          </cell>
          <cell r="D919">
            <v>0</v>
          </cell>
        </row>
        <row r="920">
          <cell r="A920" t="str">
            <v>4100.Other</v>
          </cell>
          <cell r="D920">
            <v>0</v>
          </cell>
        </row>
        <row r="921">
          <cell r="A921" t="str">
            <v>4100.Other</v>
          </cell>
          <cell r="D921">
            <v>0</v>
          </cell>
        </row>
        <row r="922">
          <cell r="A922" t="str">
            <v>4100.Other</v>
          </cell>
          <cell r="D922">
            <v>0</v>
          </cell>
        </row>
        <row r="923">
          <cell r="A923" t="str">
            <v>4100.Other</v>
          </cell>
          <cell r="D923">
            <v>0</v>
          </cell>
        </row>
        <row r="924">
          <cell r="A924" t="str">
            <v>4100.Other</v>
          </cell>
          <cell r="D924">
            <v>0</v>
          </cell>
        </row>
        <row r="925">
          <cell r="A925" t="str">
            <v>4100.Other</v>
          </cell>
          <cell r="D925">
            <v>42.52</v>
          </cell>
        </row>
        <row r="926">
          <cell r="A926" t="str">
            <v>4100.Other</v>
          </cell>
          <cell r="D926">
            <v>0</v>
          </cell>
        </row>
        <row r="927">
          <cell r="A927" t="str">
            <v>4100.Other</v>
          </cell>
          <cell r="D927">
            <v>0</v>
          </cell>
        </row>
        <row r="928">
          <cell r="A928" t="str">
            <v>4100.Other</v>
          </cell>
          <cell r="D928">
            <v>20.52</v>
          </cell>
        </row>
        <row r="929">
          <cell r="A929" t="str">
            <v>4100.Other</v>
          </cell>
          <cell r="D929">
            <v>0</v>
          </cell>
        </row>
        <row r="930">
          <cell r="A930" t="str">
            <v>4100.Other</v>
          </cell>
          <cell r="D930">
            <v>0</v>
          </cell>
        </row>
        <row r="931">
          <cell r="A931" t="str">
            <v>4100.Other</v>
          </cell>
          <cell r="D931">
            <v>-1255.3599999999999</v>
          </cell>
        </row>
        <row r="932">
          <cell r="A932" t="str">
            <v>4100.Other</v>
          </cell>
          <cell r="D932">
            <v>0</v>
          </cell>
        </row>
        <row r="933">
          <cell r="A933" t="str">
            <v>4100.Other</v>
          </cell>
          <cell r="D933">
            <v>0</v>
          </cell>
        </row>
        <row r="934">
          <cell r="A934" t="str">
            <v>4100.Other</v>
          </cell>
          <cell r="D934">
            <v>0</v>
          </cell>
        </row>
        <row r="935">
          <cell r="A935" t="str">
            <v>4100.Other</v>
          </cell>
          <cell r="D935">
            <v>0</v>
          </cell>
        </row>
        <row r="936">
          <cell r="A936" t="str">
            <v>4100.Other</v>
          </cell>
          <cell r="D936">
            <v>0</v>
          </cell>
        </row>
        <row r="937">
          <cell r="A937" t="str">
            <v>Total Variances Production Services</v>
          </cell>
          <cell r="D937">
            <v>7627.4800000000005</v>
          </cell>
        </row>
        <row r="938">
          <cell r="A938" t="str">
            <v>4100.Other</v>
          </cell>
          <cell r="D938">
            <v>0</v>
          </cell>
        </row>
        <row r="939">
          <cell r="A939" t="str">
            <v>4100.Other</v>
          </cell>
          <cell r="D939">
            <v>0</v>
          </cell>
        </row>
        <row r="940">
          <cell r="A940" t="str">
            <v>4100.Other</v>
          </cell>
          <cell r="D940">
            <v>121888.14</v>
          </cell>
        </row>
        <row r="941">
          <cell r="A941" t="str">
            <v>4100.Other</v>
          </cell>
          <cell r="D941">
            <v>0</v>
          </cell>
        </row>
        <row r="942">
          <cell r="A942" t="str">
            <v>4100.Other</v>
          </cell>
          <cell r="D942">
            <v>-592.12</v>
          </cell>
        </row>
        <row r="943">
          <cell r="A943" t="str">
            <v>4100.Other</v>
          </cell>
          <cell r="D943">
            <v>0</v>
          </cell>
        </row>
        <row r="944">
          <cell r="A944" t="str">
            <v>4100.Other</v>
          </cell>
          <cell r="D944">
            <v>-894.23</v>
          </cell>
        </row>
        <row r="945">
          <cell r="A945" t="str">
            <v>4100.Other</v>
          </cell>
          <cell r="D945">
            <v>-786.06</v>
          </cell>
        </row>
        <row r="946">
          <cell r="A946" t="str">
            <v>4100.Other</v>
          </cell>
          <cell r="D946">
            <v>-323.08999999999997</v>
          </cell>
        </row>
        <row r="947">
          <cell r="A947" t="str">
            <v>4100.Other</v>
          </cell>
          <cell r="D947">
            <v>-1517.53</v>
          </cell>
        </row>
        <row r="948">
          <cell r="A948" t="str">
            <v>4100.Other</v>
          </cell>
          <cell r="D948">
            <v>-5613.09</v>
          </cell>
        </row>
        <row r="949">
          <cell r="A949" t="str">
            <v>4100.Other</v>
          </cell>
          <cell r="D949">
            <v>0</v>
          </cell>
        </row>
        <row r="950">
          <cell r="A950" t="str">
            <v>4100.Other</v>
          </cell>
          <cell r="D950">
            <v>-6138.73</v>
          </cell>
        </row>
        <row r="951">
          <cell r="A951" t="str">
            <v>4100.Other</v>
          </cell>
          <cell r="D951">
            <v>-4146.91</v>
          </cell>
        </row>
        <row r="952">
          <cell r="A952" t="str">
            <v>4100.Other</v>
          </cell>
          <cell r="D952">
            <v>-2125.33</v>
          </cell>
        </row>
        <row r="953">
          <cell r="A953" t="str">
            <v>4100.Other</v>
          </cell>
          <cell r="D953">
            <v>-5931.83</v>
          </cell>
        </row>
        <row r="954">
          <cell r="A954" t="str">
            <v>4100.Other</v>
          </cell>
          <cell r="D954">
            <v>-1791.39</v>
          </cell>
        </row>
        <row r="955">
          <cell r="A955" t="str">
            <v>4100.Other</v>
          </cell>
          <cell r="D955">
            <v>-1430.51</v>
          </cell>
        </row>
        <row r="956">
          <cell r="A956" t="str">
            <v>4100.Other</v>
          </cell>
          <cell r="D956">
            <v>-8474.34</v>
          </cell>
        </row>
        <row r="957">
          <cell r="A957" t="str">
            <v>4100.Other</v>
          </cell>
          <cell r="D957">
            <v>-25273.96</v>
          </cell>
        </row>
        <row r="958">
          <cell r="A958" t="str">
            <v>4100.Other</v>
          </cell>
          <cell r="D958">
            <v>0</v>
          </cell>
        </row>
        <row r="959">
          <cell r="A959" t="str">
            <v>4100.Other</v>
          </cell>
          <cell r="D959">
            <v>-371.03</v>
          </cell>
        </row>
        <row r="960">
          <cell r="A960" t="str">
            <v>4100.Other</v>
          </cell>
          <cell r="D960">
            <v>-20</v>
          </cell>
        </row>
        <row r="961">
          <cell r="A961" t="str">
            <v>4100.Other</v>
          </cell>
          <cell r="D961">
            <v>-205.47</v>
          </cell>
        </row>
        <row r="962">
          <cell r="A962" t="str">
            <v>4100.Other</v>
          </cell>
          <cell r="D962">
            <v>-1616.43</v>
          </cell>
        </row>
        <row r="963">
          <cell r="A963" t="str">
            <v>4100.Other</v>
          </cell>
          <cell r="D963">
            <v>0</v>
          </cell>
        </row>
        <row r="964">
          <cell r="A964" t="str">
            <v>4100.Other</v>
          </cell>
          <cell r="D964">
            <v>-128.5</v>
          </cell>
        </row>
        <row r="965">
          <cell r="A965" t="str">
            <v>4100.Other</v>
          </cell>
          <cell r="D965">
            <v>-2562</v>
          </cell>
        </row>
        <row r="966">
          <cell r="A966" t="str">
            <v>4100.Other</v>
          </cell>
          <cell r="D966">
            <v>-355.68</v>
          </cell>
        </row>
        <row r="967">
          <cell r="A967" t="str">
            <v>4100.Other</v>
          </cell>
          <cell r="D967">
            <v>0</v>
          </cell>
        </row>
        <row r="968">
          <cell r="A968" t="str">
            <v>4100.Other</v>
          </cell>
          <cell r="D968">
            <v>-506.74</v>
          </cell>
        </row>
        <row r="969">
          <cell r="A969" t="str">
            <v>4100.Other</v>
          </cell>
          <cell r="D969">
            <v>-373.4</v>
          </cell>
        </row>
        <row r="970">
          <cell r="A970" t="str">
            <v>4100.Other</v>
          </cell>
          <cell r="D970">
            <v>-5836</v>
          </cell>
        </row>
        <row r="971">
          <cell r="A971" t="str">
            <v>4100.Other</v>
          </cell>
          <cell r="D971">
            <v>-1059.5</v>
          </cell>
        </row>
        <row r="972">
          <cell r="A972" t="str">
            <v>4100.Other</v>
          </cell>
          <cell r="D972">
            <v>-533.9</v>
          </cell>
        </row>
        <row r="973">
          <cell r="A973" t="str">
            <v>4100.Other</v>
          </cell>
          <cell r="D973">
            <v>-509.7</v>
          </cell>
        </row>
        <row r="974">
          <cell r="A974" t="str">
            <v>4100.Other</v>
          </cell>
          <cell r="D974">
            <v>0</v>
          </cell>
        </row>
        <row r="975">
          <cell r="A975" t="str">
            <v>4100.Other</v>
          </cell>
          <cell r="D975">
            <v>0</v>
          </cell>
        </row>
        <row r="976">
          <cell r="A976" t="str">
            <v>4100.Other</v>
          </cell>
          <cell r="D976">
            <v>-301.33999999999997</v>
          </cell>
        </row>
        <row r="977">
          <cell r="A977" t="str">
            <v>4100.Other</v>
          </cell>
          <cell r="D977">
            <v>-2009.71</v>
          </cell>
        </row>
        <row r="978">
          <cell r="A978" t="str">
            <v>4100.Other</v>
          </cell>
          <cell r="D978">
            <v>388.56</v>
          </cell>
        </row>
        <row r="979">
          <cell r="A979" t="str">
            <v>Miscellaneous</v>
          </cell>
          <cell r="D979">
            <v>40848.180000000029</v>
          </cell>
        </row>
        <row r="980">
          <cell r="A980" t="str">
            <v>MATERIALS</v>
          </cell>
          <cell r="D980">
            <v>-1454916.8099999998</v>
          </cell>
        </row>
        <row r="981">
          <cell r="A981" t="str">
            <v>4110</v>
          </cell>
          <cell r="D981">
            <v>0</v>
          </cell>
        </row>
        <row r="982">
          <cell r="A982" t="str">
            <v>4110</v>
          </cell>
          <cell r="D982">
            <v>0</v>
          </cell>
        </row>
        <row r="983">
          <cell r="A983" t="str">
            <v>4110</v>
          </cell>
          <cell r="D983">
            <v>-8832.14</v>
          </cell>
        </row>
        <row r="984">
          <cell r="A984" t="str">
            <v>4110</v>
          </cell>
          <cell r="D984">
            <v>0</v>
          </cell>
        </row>
        <row r="985">
          <cell r="A985" t="str">
            <v>4110</v>
          </cell>
          <cell r="D985">
            <v>-1669.88</v>
          </cell>
        </row>
        <row r="986">
          <cell r="A986" t="str">
            <v>4110</v>
          </cell>
          <cell r="D986">
            <v>0</v>
          </cell>
        </row>
        <row r="987">
          <cell r="A987" t="str">
            <v>4110</v>
          </cell>
          <cell r="D987">
            <v>-211.94</v>
          </cell>
        </row>
        <row r="988">
          <cell r="A988" t="str">
            <v>4110</v>
          </cell>
          <cell r="D988">
            <v>0</v>
          </cell>
        </row>
        <row r="989">
          <cell r="A989" t="str">
            <v>4110</v>
          </cell>
          <cell r="D989">
            <v>-24029.68</v>
          </cell>
        </row>
        <row r="990">
          <cell r="A990" t="str">
            <v>4110</v>
          </cell>
          <cell r="D990">
            <v>0</v>
          </cell>
        </row>
        <row r="991">
          <cell r="A991" t="str">
            <v>4110</v>
          </cell>
          <cell r="D991">
            <v>-175.6</v>
          </cell>
        </row>
        <row r="992">
          <cell r="A992" t="str">
            <v>4110</v>
          </cell>
          <cell r="D992">
            <v>-38.18</v>
          </cell>
        </row>
        <row r="993">
          <cell r="A993" t="str">
            <v>4110</v>
          </cell>
          <cell r="D993">
            <v>0</v>
          </cell>
        </row>
        <row r="994">
          <cell r="A994" t="str">
            <v>4110</v>
          </cell>
          <cell r="D994">
            <v>0</v>
          </cell>
        </row>
        <row r="995">
          <cell r="A995" t="str">
            <v>4110</v>
          </cell>
          <cell r="D995">
            <v>0</v>
          </cell>
        </row>
        <row r="996">
          <cell r="A996" t="str">
            <v>4110</v>
          </cell>
          <cell r="D996">
            <v>-7109.51</v>
          </cell>
        </row>
        <row r="997">
          <cell r="A997" t="str">
            <v>4110</v>
          </cell>
          <cell r="D997">
            <v>-369.64</v>
          </cell>
        </row>
        <row r="998">
          <cell r="A998" t="str">
            <v>4110</v>
          </cell>
          <cell r="D998">
            <v>-10114.219999999999</v>
          </cell>
        </row>
        <row r="999">
          <cell r="A999" t="str">
            <v>4110</v>
          </cell>
          <cell r="D999">
            <v>0</v>
          </cell>
        </row>
        <row r="1000">
          <cell r="A1000" t="str">
            <v>4110</v>
          </cell>
          <cell r="D1000">
            <v>0</v>
          </cell>
        </row>
        <row r="1001">
          <cell r="A1001" t="str">
            <v>4110</v>
          </cell>
          <cell r="D1001">
            <v>-175.69</v>
          </cell>
        </row>
        <row r="1002">
          <cell r="A1002" t="str">
            <v>4110</v>
          </cell>
          <cell r="D1002">
            <v>-9442.0300000000007</v>
          </cell>
        </row>
        <row r="1003">
          <cell r="A1003" t="str">
            <v>4110</v>
          </cell>
          <cell r="D1003">
            <v>-10263.709999999999</v>
          </cell>
        </row>
        <row r="1004">
          <cell r="A1004" t="str">
            <v>4110</v>
          </cell>
          <cell r="D1004">
            <v>-9025.16</v>
          </cell>
        </row>
        <row r="1005">
          <cell r="A1005" t="str">
            <v>4110</v>
          </cell>
          <cell r="D1005">
            <v>-128.09</v>
          </cell>
        </row>
        <row r="1006">
          <cell r="A1006" t="str">
            <v>4110</v>
          </cell>
          <cell r="D1006">
            <v>0</v>
          </cell>
        </row>
        <row r="1007">
          <cell r="A1007" t="str">
            <v>4110</v>
          </cell>
          <cell r="D1007">
            <v>-5260.01</v>
          </cell>
        </row>
        <row r="1008">
          <cell r="A1008" t="str">
            <v>4110</v>
          </cell>
          <cell r="D1008">
            <v>-24372.65</v>
          </cell>
        </row>
        <row r="1009">
          <cell r="A1009" t="str">
            <v>4110</v>
          </cell>
          <cell r="D1009">
            <v>-9155.36</v>
          </cell>
        </row>
        <row r="1010">
          <cell r="A1010" t="str">
            <v>4110</v>
          </cell>
          <cell r="D1010">
            <v>0</v>
          </cell>
        </row>
        <row r="1011">
          <cell r="A1011" t="str">
            <v>4110</v>
          </cell>
          <cell r="D1011">
            <v>0</v>
          </cell>
        </row>
        <row r="1012">
          <cell r="A1012" t="str">
            <v>4110</v>
          </cell>
          <cell r="D1012">
            <v>0</v>
          </cell>
        </row>
        <row r="1013">
          <cell r="A1013" t="str">
            <v>4110</v>
          </cell>
          <cell r="D1013">
            <v>0</v>
          </cell>
        </row>
        <row r="1014">
          <cell r="A1014" t="str">
            <v>4110</v>
          </cell>
          <cell r="D1014">
            <v>-1637.47</v>
          </cell>
        </row>
        <row r="1015">
          <cell r="A1015" t="str">
            <v>4110</v>
          </cell>
          <cell r="D1015">
            <v>-720.72</v>
          </cell>
        </row>
        <row r="1016">
          <cell r="A1016" t="str">
            <v>4110</v>
          </cell>
          <cell r="D1016">
            <v>-14218.67</v>
          </cell>
        </row>
        <row r="1017">
          <cell r="A1017" t="str">
            <v>4110</v>
          </cell>
          <cell r="D1017">
            <v>0</v>
          </cell>
        </row>
        <row r="1018">
          <cell r="A1018" t="str">
            <v>4110</v>
          </cell>
          <cell r="D1018">
            <v>0</v>
          </cell>
        </row>
        <row r="1019">
          <cell r="A1019" t="str">
            <v>4110</v>
          </cell>
          <cell r="D1019">
            <v>-3392.73</v>
          </cell>
        </row>
        <row r="1020">
          <cell r="A1020" t="str">
            <v>4110</v>
          </cell>
          <cell r="D1020">
            <v>0</v>
          </cell>
        </row>
        <row r="1021">
          <cell r="A1021" t="str">
            <v>4110</v>
          </cell>
          <cell r="D1021">
            <v>0</v>
          </cell>
        </row>
        <row r="1022">
          <cell r="A1022" t="str">
            <v>4110</v>
          </cell>
          <cell r="D1022">
            <v>0</v>
          </cell>
        </row>
        <row r="1023">
          <cell r="A1023" t="str">
            <v>4110</v>
          </cell>
          <cell r="D1023">
            <v>0</v>
          </cell>
        </row>
        <row r="1024">
          <cell r="A1024" t="str">
            <v>4110</v>
          </cell>
          <cell r="D1024">
            <v>0</v>
          </cell>
        </row>
        <row r="1025">
          <cell r="A1025" t="str">
            <v>4110</v>
          </cell>
          <cell r="D1025">
            <v>0</v>
          </cell>
        </row>
        <row r="1026">
          <cell r="A1026" t="str">
            <v>4110</v>
          </cell>
          <cell r="D1026">
            <v>0</v>
          </cell>
        </row>
        <row r="1027">
          <cell r="A1027" t="str">
            <v>4110</v>
          </cell>
          <cell r="D1027">
            <v>0</v>
          </cell>
        </row>
        <row r="1028">
          <cell r="A1028" t="str">
            <v>Total Labor</v>
          </cell>
          <cell r="D1028">
            <v>-140343.08000000002</v>
          </cell>
        </row>
        <row r="1029">
          <cell r="A1029" t="str">
            <v>4110</v>
          </cell>
          <cell r="D1029">
            <v>0</v>
          </cell>
        </row>
        <row r="1030">
          <cell r="A1030" t="str">
            <v>4110</v>
          </cell>
          <cell r="D1030">
            <v>0</v>
          </cell>
        </row>
        <row r="1031">
          <cell r="A1031" t="str">
            <v>4110</v>
          </cell>
          <cell r="D1031">
            <v>7024.79</v>
          </cell>
        </row>
        <row r="1032">
          <cell r="A1032" t="str">
            <v>4110</v>
          </cell>
          <cell r="D1032">
            <v>0</v>
          </cell>
        </row>
        <row r="1033">
          <cell r="A1033" t="str">
            <v>4110</v>
          </cell>
          <cell r="D1033">
            <v>1830.04</v>
          </cell>
        </row>
        <row r="1034">
          <cell r="A1034" t="str">
            <v>4110</v>
          </cell>
          <cell r="D1034">
            <v>0</v>
          </cell>
        </row>
        <row r="1035">
          <cell r="A1035" t="str">
            <v>4110</v>
          </cell>
          <cell r="D1035">
            <v>524.77</v>
          </cell>
        </row>
        <row r="1036">
          <cell r="A1036" t="str">
            <v>4110</v>
          </cell>
          <cell r="D1036">
            <v>0</v>
          </cell>
        </row>
        <row r="1037">
          <cell r="A1037" t="str">
            <v>4110</v>
          </cell>
          <cell r="D1037">
            <v>72935.48</v>
          </cell>
        </row>
        <row r="1038">
          <cell r="A1038" t="str">
            <v>4110</v>
          </cell>
          <cell r="D1038">
            <v>0</v>
          </cell>
        </row>
        <row r="1039">
          <cell r="A1039" t="str">
            <v>4110</v>
          </cell>
          <cell r="D1039">
            <v>174.31</v>
          </cell>
        </row>
        <row r="1040">
          <cell r="A1040" t="str">
            <v>4110</v>
          </cell>
          <cell r="D1040">
            <v>5.35</v>
          </cell>
        </row>
        <row r="1041">
          <cell r="A1041" t="str">
            <v>4110</v>
          </cell>
          <cell r="D1041">
            <v>0</v>
          </cell>
        </row>
        <row r="1042">
          <cell r="A1042" t="str">
            <v>4110</v>
          </cell>
          <cell r="D1042">
            <v>0</v>
          </cell>
        </row>
        <row r="1043">
          <cell r="A1043" t="str">
            <v>4110</v>
          </cell>
          <cell r="D1043">
            <v>0</v>
          </cell>
        </row>
        <row r="1044">
          <cell r="A1044" t="str">
            <v>4110</v>
          </cell>
          <cell r="D1044">
            <v>-18739.349999999999</v>
          </cell>
        </row>
        <row r="1045">
          <cell r="A1045" t="str">
            <v>4110</v>
          </cell>
          <cell r="D1045">
            <v>36.11</v>
          </cell>
        </row>
        <row r="1046">
          <cell r="A1046" t="str">
            <v>4110</v>
          </cell>
          <cell r="D1046">
            <v>1013.04</v>
          </cell>
        </row>
        <row r="1047">
          <cell r="A1047" t="str">
            <v>4110</v>
          </cell>
          <cell r="D1047">
            <v>0</v>
          </cell>
        </row>
        <row r="1048">
          <cell r="A1048" t="str">
            <v>4110</v>
          </cell>
          <cell r="D1048">
            <v>0</v>
          </cell>
        </row>
        <row r="1049">
          <cell r="A1049" t="str">
            <v>4110</v>
          </cell>
          <cell r="D1049">
            <v>-69.17</v>
          </cell>
        </row>
        <row r="1050">
          <cell r="A1050" t="str">
            <v>4110</v>
          </cell>
          <cell r="D1050">
            <v>2436.7199999999998</v>
          </cell>
        </row>
        <row r="1051">
          <cell r="A1051" t="str">
            <v>4110</v>
          </cell>
          <cell r="D1051">
            <v>2125</v>
          </cell>
        </row>
        <row r="1052">
          <cell r="A1052" t="str">
            <v>4110</v>
          </cell>
          <cell r="D1052">
            <v>2242.62</v>
          </cell>
        </row>
        <row r="1053">
          <cell r="A1053" t="str">
            <v>4110</v>
          </cell>
          <cell r="D1053">
            <v>116.22</v>
          </cell>
        </row>
        <row r="1054">
          <cell r="A1054" t="str">
            <v>4110</v>
          </cell>
          <cell r="D1054">
            <v>29.37</v>
          </cell>
        </row>
        <row r="1055">
          <cell r="A1055" t="str">
            <v>4110</v>
          </cell>
          <cell r="D1055">
            <v>1869.56</v>
          </cell>
        </row>
        <row r="1056">
          <cell r="A1056" t="str">
            <v>4110</v>
          </cell>
          <cell r="D1056">
            <v>10439.870000000001</v>
          </cell>
        </row>
        <row r="1057">
          <cell r="A1057" t="str">
            <v>4110</v>
          </cell>
          <cell r="D1057">
            <v>1875.65</v>
          </cell>
        </row>
        <row r="1058">
          <cell r="A1058" t="str">
            <v>4110</v>
          </cell>
          <cell r="D1058">
            <v>0</v>
          </cell>
        </row>
        <row r="1059">
          <cell r="A1059" t="str">
            <v>4110</v>
          </cell>
          <cell r="D1059">
            <v>0</v>
          </cell>
        </row>
        <row r="1060">
          <cell r="A1060" t="str">
            <v>4110</v>
          </cell>
          <cell r="D1060">
            <v>0</v>
          </cell>
        </row>
        <row r="1061">
          <cell r="A1061" t="str">
            <v>4110</v>
          </cell>
          <cell r="D1061">
            <v>0</v>
          </cell>
        </row>
        <row r="1062">
          <cell r="A1062" t="str">
            <v>4110</v>
          </cell>
          <cell r="D1062">
            <v>290.32</v>
          </cell>
        </row>
        <row r="1063">
          <cell r="A1063" t="str">
            <v>4110</v>
          </cell>
          <cell r="D1063">
            <v>24.01</v>
          </cell>
        </row>
        <row r="1064">
          <cell r="A1064" t="str">
            <v>4110</v>
          </cell>
          <cell r="D1064">
            <v>972.63</v>
          </cell>
        </row>
        <row r="1065">
          <cell r="A1065" t="str">
            <v>4110</v>
          </cell>
          <cell r="D1065">
            <v>0</v>
          </cell>
        </row>
        <row r="1066">
          <cell r="A1066" t="str">
            <v>4110</v>
          </cell>
          <cell r="D1066">
            <v>0</v>
          </cell>
        </row>
        <row r="1067">
          <cell r="A1067" t="str">
            <v>4110</v>
          </cell>
          <cell r="D1067">
            <v>559.61</v>
          </cell>
        </row>
        <row r="1068">
          <cell r="A1068" t="str">
            <v>4110</v>
          </cell>
          <cell r="D1068">
            <v>0</v>
          </cell>
        </row>
        <row r="1069">
          <cell r="A1069" t="str">
            <v>4110</v>
          </cell>
          <cell r="D1069">
            <v>0</v>
          </cell>
        </row>
        <row r="1070">
          <cell r="A1070" t="str">
            <v>4110</v>
          </cell>
          <cell r="D1070">
            <v>-405.82</v>
          </cell>
        </row>
        <row r="1071">
          <cell r="A1071" t="str">
            <v>4110</v>
          </cell>
          <cell r="D1071">
            <v>0</v>
          </cell>
        </row>
        <row r="1072">
          <cell r="A1072" t="str">
            <v>4110</v>
          </cell>
          <cell r="D1072">
            <v>0</v>
          </cell>
        </row>
        <row r="1073">
          <cell r="A1073" t="str">
            <v>4110</v>
          </cell>
          <cell r="D1073">
            <v>0</v>
          </cell>
        </row>
        <row r="1074">
          <cell r="A1074" t="str">
            <v>4110</v>
          </cell>
          <cell r="D1074">
            <v>0</v>
          </cell>
        </row>
        <row r="1075">
          <cell r="A1075" t="str">
            <v>4110</v>
          </cell>
          <cell r="D1075">
            <v>0</v>
          </cell>
        </row>
        <row r="1076">
          <cell r="A1076" t="str">
            <v>Total Variances Production Labor</v>
          </cell>
          <cell r="D1076">
            <v>87311.12999999999</v>
          </cell>
        </row>
        <row r="1077">
          <cell r="A1077" t="str">
            <v>4110</v>
          </cell>
          <cell r="D1077">
            <v>-1481.6</v>
          </cell>
        </row>
        <row r="1078">
          <cell r="A1078" t="str">
            <v>4110</v>
          </cell>
          <cell r="D1078">
            <v>-7226.88</v>
          </cell>
        </row>
        <row r="1079">
          <cell r="A1079" t="str">
            <v>4110</v>
          </cell>
          <cell r="D1079">
            <v>-80058.27</v>
          </cell>
        </row>
        <row r="1080">
          <cell r="A1080" t="str">
            <v>Temporary Labor - Production Related</v>
          </cell>
          <cell r="D1080">
            <v>-88766.75</v>
          </cell>
        </row>
        <row r="1081">
          <cell r="A1081" t="str">
            <v>DIRECT LABOR</v>
          </cell>
          <cell r="D1081">
            <v>-141798.70000000001</v>
          </cell>
        </row>
        <row r="1082">
          <cell r="A1082" t="str">
            <v>4120</v>
          </cell>
          <cell r="D1082">
            <v>13995.98</v>
          </cell>
        </row>
        <row r="1083">
          <cell r="A1083" t="str">
            <v>4120</v>
          </cell>
          <cell r="D1083">
            <v>-14593.18</v>
          </cell>
        </row>
        <row r="1084">
          <cell r="A1084" t="str">
            <v>4120</v>
          </cell>
          <cell r="D1084">
            <v>9842.27</v>
          </cell>
        </row>
        <row r="1085">
          <cell r="A1085" t="str">
            <v>4120</v>
          </cell>
          <cell r="D1085">
            <v>-6052.81</v>
          </cell>
        </row>
        <row r="1086">
          <cell r="A1086" t="str">
            <v>Currency Translation (Gain)/Loss - COS</v>
          </cell>
          <cell r="D1086">
            <v>3192.2599999999993</v>
          </cell>
        </row>
        <row r="1087">
          <cell r="A1087" t="str">
            <v>TOTAL DIRECT COSTS</v>
          </cell>
          <cell r="D1087">
            <v>-1593523.2499999986</v>
          </cell>
        </row>
        <row r="1089">
          <cell r="A1089" t="str">
            <v>4130.1000</v>
          </cell>
          <cell r="D1089">
            <v>-287254.52</v>
          </cell>
        </row>
        <row r="1090">
          <cell r="A1090" t="str">
            <v>4130.1000</v>
          </cell>
          <cell r="D1090">
            <v>-134409.31</v>
          </cell>
        </row>
        <row r="1091">
          <cell r="A1091" t="str">
            <v>4130.1000</v>
          </cell>
          <cell r="D1091">
            <v>-64578.93</v>
          </cell>
        </row>
        <row r="1092">
          <cell r="A1092" t="str">
            <v>4130.1000</v>
          </cell>
          <cell r="D1092">
            <v>0</v>
          </cell>
        </row>
        <row r="1093">
          <cell r="A1093" t="str">
            <v>4130.1000</v>
          </cell>
          <cell r="D1093">
            <v>-13161.6</v>
          </cell>
        </row>
        <row r="1094">
          <cell r="A1094" t="str">
            <v>4130.1000</v>
          </cell>
          <cell r="D1094">
            <v>-1512.46</v>
          </cell>
        </row>
        <row r="1095">
          <cell r="A1095" t="str">
            <v>4130.1000</v>
          </cell>
          <cell r="D1095">
            <v>-1139.8699999999999</v>
          </cell>
        </row>
        <row r="1096">
          <cell r="A1096" t="str">
            <v>4130.1000</v>
          </cell>
          <cell r="D1096">
            <v>-874.97</v>
          </cell>
        </row>
        <row r="1097">
          <cell r="A1097" t="str">
            <v>4130.1000</v>
          </cell>
          <cell r="D1097">
            <v>0</v>
          </cell>
        </row>
        <row r="1098">
          <cell r="A1098" t="str">
            <v>4130.1000</v>
          </cell>
          <cell r="D1098">
            <v>-233.16</v>
          </cell>
        </row>
        <row r="1099">
          <cell r="A1099" t="str">
            <v>4130.1000</v>
          </cell>
          <cell r="D1099">
            <v>-22826.05</v>
          </cell>
        </row>
        <row r="1100">
          <cell r="A1100" t="str">
            <v>4130.1000</v>
          </cell>
          <cell r="D1100">
            <v>-10752.78</v>
          </cell>
        </row>
        <row r="1101">
          <cell r="A1101" t="str">
            <v>4130.1000</v>
          </cell>
          <cell r="D1101">
            <v>-5166.34</v>
          </cell>
        </row>
        <row r="1102">
          <cell r="A1102" t="str">
            <v>4130.1000</v>
          </cell>
          <cell r="D1102">
            <v>0</v>
          </cell>
        </row>
        <row r="1103">
          <cell r="A1103" t="str">
            <v>4130.1000</v>
          </cell>
          <cell r="D1103">
            <v>-1052.95</v>
          </cell>
        </row>
        <row r="1104">
          <cell r="A1104" t="str">
            <v>4130.1000</v>
          </cell>
          <cell r="D1104">
            <v>0</v>
          </cell>
        </row>
        <row r="1105">
          <cell r="A1105" t="str">
            <v>4130.1000</v>
          </cell>
          <cell r="D1105">
            <v>0</v>
          </cell>
        </row>
        <row r="1106">
          <cell r="A1106" t="str">
            <v>4130.1000</v>
          </cell>
          <cell r="D1106">
            <v>0</v>
          </cell>
        </row>
        <row r="1107">
          <cell r="A1107" t="str">
            <v>4130.1000</v>
          </cell>
          <cell r="D1107">
            <v>0</v>
          </cell>
        </row>
        <row r="1108">
          <cell r="A1108" t="str">
            <v>4130.1000</v>
          </cell>
          <cell r="D1108">
            <v>0</v>
          </cell>
        </row>
        <row r="1109">
          <cell r="A1109" t="str">
            <v>4130.1000</v>
          </cell>
          <cell r="D1109">
            <v>-976.72</v>
          </cell>
        </row>
        <row r="1110">
          <cell r="A1110" t="str">
            <v>4130.1000</v>
          </cell>
          <cell r="D1110">
            <v>171.5</v>
          </cell>
        </row>
        <row r="1111">
          <cell r="A1111" t="str">
            <v>4130.1000</v>
          </cell>
          <cell r="D1111">
            <v>-137.63999999999999</v>
          </cell>
        </row>
        <row r="1112">
          <cell r="A1112" t="str">
            <v>4130.1000</v>
          </cell>
          <cell r="D1112">
            <v>0</v>
          </cell>
        </row>
        <row r="1113">
          <cell r="A1113" t="str">
            <v>4130.1000</v>
          </cell>
          <cell r="D1113">
            <v>0</v>
          </cell>
        </row>
        <row r="1114">
          <cell r="A1114" t="str">
            <v>4130.1000</v>
          </cell>
          <cell r="D1114">
            <v>0</v>
          </cell>
        </row>
        <row r="1115">
          <cell r="A1115" t="str">
            <v>4130.1000</v>
          </cell>
          <cell r="D1115">
            <v>0</v>
          </cell>
        </row>
        <row r="1116">
          <cell r="A1116" t="str">
            <v>4130.1000</v>
          </cell>
          <cell r="D1116">
            <v>0</v>
          </cell>
        </row>
        <row r="1117">
          <cell r="A1117" t="str">
            <v>4130.1000</v>
          </cell>
          <cell r="D1117">
            <v>0</v>
          </cell>
        </row>
        <row r="1118">
          <cell r="A1118" t="str">
            <v>4130.1000</v>
          </cell>
          <cell r="D1118">
            <v>0</v>
          </cell>
        </row>
        <row r="1119">
          <cell r="A1119" t="str">
            <v>4130.1000</v>
          </cell>
          <cell r="D1119">
            <v>0</v>
          </cell>
        </row>
        <row r="1120">
          <cell r="A1120" t="str">
            <v>4130.1000</v>
          </cell>
          <cell r="D1120">
            <v>0</v>
          </cell>
        </row>
        <row r="1121">
          <cell r="A1121" t="str">
            <v>4130.1000</v>
          </cell>
          <cell r="D1121">
            <v>-9106.15</v>
          </cell>
        </row>
        <row r="1122">
          <cell r="A1122" t="str">
            <v>4130.1000</v>
          </cell>
          <cell r="D1122">
            <v>0</v>
          </cell>
        </row>
        <row r="1123">
          <cell r="A1123" t="str">
            <v>4130.1000</v>
          </cell>
          <cell r="D1123">
            <v>0</v>
          </cell>
        </row>
        <row r="1124">
          <cell r="A1124" t="str">
            <v>Salaries &amp; Wages</v>
          </cell>
          <cell r="D1124">
            <v>-553011.94999999995</v>
          </cell>
        </row>
        <row r="1125">
          <cell r="A1125" t="str">
            <v>4130.Personnel_1015</v>
          </cell>
          <cell r="D1125">
            <v>-38472.9</v>
          </cell>
        </row>
        <row r="1126">
          <cell r="A1126" t="str">
            <v>4130.Personnel_1015</v>
          </cell>
          <cell r="D1126">
            <v>-312.2</v>
          </cell>
        </row>
        <row r="1127">
          <cell r="A1127" t="str">
            <v>4130.Personnel_1015</v>
          </cell>
          <cell r="D1127">
            <v>0</v>
          </cell>
        </row>
        <row r="1128">
          <cell r="A1128" t="str">
            <v>4130.Personnel_1015</v>
          </cell>
          <cell r="D1128">
            <v>0</v>
          </cell>
        </row>
        <row r="1129">
          <cell r="A1129" t="str">
            <v>Management Bonuses</v>
          </cell>
          <cell r="D1129">
            <v>-38785.1</v>
          </cell>
        </row>
        <row r="1130">
          <cell r="A1130" t="str">
            <v>4130.1005</v>
          </cell>
          <cell r="D1130">
            <v>0</v>
          </cell>
        </row>
        <row r="1131">
          <cell r="A1131" t="str">
            <v>4130.1005</v>
          </cell>
          <cell r="D1131">
            <v>0</v>
          </cell>
        </row>
        <row r="1132">
          <cell r="A1132" t="str">
            <v>4130.1005</v>
          </cell>
          <cell r="D1132">
            <v>0</v>
          </cell>
        </row>
        <row r="1133">
          <cell r="A1133" t="str">
            <v>4130.1005</v>
          </cell>
          <cell r="D1133">
            <v>0</v>
          </cell>
        </row>
        <row r="1134">
          <cell r="A1134" t="str">
            <v>4130.1005</v>
          </cell>
          <cell r="D1134">
            <v>0</v>
          </cell>
        </row>
        <row r="1135">
          <cell r="A1135" t="str">
            <v>4130.1005</v>
          </cell>
          <cell r="D1135">
            <v>0</v>
          </cell>
        </row>
        <row r="1136">
          <cell r="A1136" t="str">
            <v>4130.1005</v>
          </cell>
          <cell r="D1136">
            <v>-27832.92</v>
          </cell>
        </row>
        <row r="1137">
          <cell r="A1137" t="str">
            <v>4130.1005</v>
          </cell>
          <cell r="D1137">
            <v>-14674.51</v>
          </cell>
        </row>
        <row r="1138">
          <cell r="A1138" t="str">
            <v>4130.1005</v>
          </cell>
          <cell r="D1138">
            <v>-7719.35</v>
          </cell>
        </row>
        <row r="1139">
          <cell r="A1139" t="str">
            <v>4130.1005</v>
          </cell>
          <cell r="D1139">
            <v>0</v>
          </cell>
        </row>
        <row r="1140">
          <cell r="A1140" t="str">
            <v>4130.1005</v>
          </cell>
          <cell r="D1140">
            <v>-1680.27</v>
          </cell>
        </row>
        <row r="1141">
          <cell r="A1141" t="str">
            <v>4130.1005</v>
          </cell>
          <cell r="D1141">
            <v>-41898.57</v>
          </cell>
        </row>
        <row r="1142">
          <cell r="A1142" t="str">
            <v>4130.1005</v>
          </cell>
          <cell r="D1142">
            <v>-19892.669999999998</v>
          </cell>
        </row>
        <row r="1143">
          <cell r="A1143" t="str">
            <v>4130.1005</v>
          </cell>
          <cell r="D1143">
            <v>-9936.35</v>
          </cell>
        </row>
        <row r="1144">
          <cell r="A1144" t="str">
            <v>4130.1005</v>
          </cell>
          <cell r="D1144">
            <v>0</v>
          </cell>
        </row>
        <row r="1145">
          <cell r="A1145" t="str">
            <v>4130.1005</v>
          </cell>
          <cell r="D1145">
            <v>-1959.9</v>
          </cell>
        </row>
        <row r="1146">
          <cell r="A1146" t="str">
            <v>4130.1005</v>
          </cell>
          <cell r="D1146">
            <v>0</v>
          </cell>
        </row>
        <row r="1147">
          <cell r="A1147" t="str">
            <v>4130.1005</v>
          </cell>
          <cell r="D1147">
            <v>0</v>
          </cell>
        </row>
        <row r="1148">
          <cell r="A1148" t="str">
            <v>4130.1005</v>
          </cell>
          <cell r="D1148">
            <v>0</v>
          </cell>
        </row>
        <row r="1149">
          <cell r="A1149" t="str">
            <v>4130.1005</v>
          </cell>
          <cell r="D1149">
            <v>0</v>
          </cell>
        </row>
        <row r="1150">
          <cell r="A1150" t="str">
            <v>4130.1005</v>
          </cell>
          <cell r="D1150">
            <v>0</v>
          </cell>
        </row>
        <row r="1151">
          <cell r="A1151" t="str">
            <v>4130.1005</v>
          </cell>
          <cell r="D1151">
            <v>0</v>
          </cell>
        </row>
        <row r="1152">
          <cell r="A1152" t="str">
            <v>4130.1005</v>
          </cell>
          <cell r="D1152">
            <v>0</v>
          </cell>
        </row>
        <row r="1153">
          <cell r="A1153" t="str">
            <v>4130.1005</v>
          </cell>
          <cell r="D1153">
            <v>0</v>
          </cell>
        </row>
        <row r="1154">
          <cell r="A1154" t="str">
            <v>4130.1005</v>
          </cell>
          <cell r="D1154">
            <v>0</v>
          </cell>
        </row>
        <row r="1155">
          <cell r="A1155" t="str">
            <v>4130.1005</v>
          </cell>
          <cell r="D1155">
            <v>0</v>
          </cell>
        </row>
        <row r="1156">
          <cell r="A1156" t="str">
            <v>4130.1005</v>
          </cell>
          <cell r="D1156">
            <v>-18686.21</v>
          </cell>
        </row>
        <row r="1157">
          <cell r="A1157" t="str">
            <v>4130.1005</v>
          </cell>
          <cell r="D1157">
            <v>-7402.05</v>
          </cell>
        </row>
        <row r="1158">
          <cell r="A1158" t="str">
            <v>4130.1005</v>
          </cell>
          <cell r="D1158">
            <v>-3748.13</v>
          </cell>
        </row>
        <row r="1159">
          <cell r="A1159" t="str">
            <v>4130.1005</v>
          </cell>
          <cell r="D1159">
            <v>0</v>
          </cell>
        </row>
        <row r="1160">
          <cell r="A1160" t="str">
            <v>4130.1005</v>
          </cell>
          <cell r="D1160">
            <v>-829.31</v>
          </cell>
        </row>
        <row r="1161">
          <cell r="A1161" t="str">
            <v>4130.1005</v>
          </cell>
          <cell r="D1161">
            <v>-953.51</v>
          </cell>
        </row>
        <row r="1162">
          <cell r="A1162" t="str">
            <v>4130.1005</v>
          </cell>
          <cell r="D1162">
            <v>-383.1</v>
          </cell>
        </row>
        <row r="1163">
          <cell r="A1163" t="str">
            <v>4130.1005</v>
          </cell>
          <cell r="D1163">
            <v>-280.95</v>
          </cell>
        </row>
        <row r="1164">
          <cell r="A1164" t="str">
            <v>4130.1005</v>
          </cell>
          <cell r="D1164">
            <v>0</v>
          </cell>
        </row>
        <row r="1165">
          <cell r="A1165" t="str">
            <v>4130.1005</v>
          </cell>
          <cell r="D1165">
            <v>-63.85</v>
          </cell>
        </row>
        <row r="1166">
          <cell r="A1166" t="str">
            <v>4130.1005</v>
          </cell>
          <cell r="D1166">
            <v>-7795.43</v>
          </cell>
        </row>
        <row r="1167">
          <cell r="A1167" t="str">
            <v>4130.1005</v>
          </cell>
          <cell r="D1167">
            <v>-7002.77</v>
          </cell>
        </row>
        <row r="1168">
          <cell r="A1168" t="str">
            <v>4130.1005</v>
          </cell>
          <cell r="D1168">
            <v>-362.46</v>
          </cell>
        </row>
        <row r="1169">
          <cell r="A1169" t="str">
            <v>4130.1005</v>
          </cell>
          <cell r="D1169">
            <v>0</v>
          </cell>
        </row>
        <row r="1170">
          <cell r="A1170" t="str">
            <v>4130.1005</v>
          </cell>
          <cell r="D1170">
            <v>0</v>
          </cell>
        </row>
        <row r="1171">
          <cell r="A1171" t="str">
            <v>4130.1005</v>
          </cell>
          <cell r="D1171">
            <v>-111.1</v>
          </cell>
        </row>
        <row r="1172">
          <cell r="A1172" t="str">
            <v>4130.1005</v>
          </cell>
          <cell r="D1172">
            <v>0</v>
          </cell>
        </row>
        <row r="1173">
          <cell r="A1173" t="str">
            <v>4130.1005</v>
          </cell>
          <cell r="D1173">
            <v>0</v>
          </cell>
        </row>
        <row r="1174">
          <cell r="A1174" t="str">
            <v>4130.1005</v>
          </cell>
          <cell r="D1174">
            <v>0</v>
          </cell>
        </row>
        <row r="1175">
          <cell r="A1175" t="str">
            <v>4130.1005</v>
          </cell>
          <cell r="D1175">
            <v>0</v>
          </cell>
        </row>
        <row r="1176">
          <cell r="A1176" t="str">
            <v>4130.1005</v>
          </cell>
          <cell r="D1176">
            <v>0</v>
          </cell>
        </row>
        <row r="1177">
          <cell r="A1177" t="str">
            <v>4130.1005</v>
          </cell>
          <cell r="D1177">
            <v>0</v>
          </cell>
        </row>
        <row r="1178">
          <cell r="A1178" t="str">
            <v>4130.1005</v>
          </cell>
          <cell r="D1178">
            <v>0</v>
          </cell>
        </row>
        <row r="1179">
          <cell r="A1179" t="str">
            <v>4130.1005</v>
          </cell>
          <cell r="D1179">
            <v>-92.65</v>
          </cell>
        </row>
        <row r="1180">
          <cell r="A1180" t="str">
            <v>4130.1005</v>
          </cell>
          <cell r="D1180">
            <v>0</v>
          </cell>
        </row>
        <row r="1181">
          <cell r="A1181" t="str">
            <v>4130.1005</v>
          </cell>
          <cell r="D1181">
            <v>0</v>
          </cell>
        </row>
        <row r="1182">
          <cell r="A1182" t="str">
            <v>4130.1005</v>
          </cell>
          <cell r="D1182">
            <v>0</v>
          </cell>
        </row>
        <row r="1183">
          <cell r="A1183" t="str">
            <v>4130.1005</v>
          </cell>
          <cell r="D1183">
            <v>0</v>
          </cell>
        </row>
        <row r="1184">
          <cell r="A1184" t="str">
            <v>4130.1005</v>
          </cell>
          <cell r="D1184">
            <v>0</v>
          </cell>
        </row>
        <row r="1185">
          <cell r="A1185" t="str">
            <v>4130.1005</v>
          </cell>
          <cell r="D1185">
            <v>0</v>
          </cell>
        </row>
        <row r="1186">
          <cell r="A1186" t="str">
            <v>4130.1005</v>
          </cell>
          <cell r="D1186">
            <v>0</v>
          </cell>
        </row>
        <row r="1187">
          <cell r="A1187" t="str">
            <v>4130.1005</v>
          </cell>
          <cell r="D1187">
            <v>0</v>
          </cell>
        </row>
        <row r="1188">
          <cell r="A1188" t="str">
            <v>4130.1005</v>
          </cell>
          <cell r="D1188">
            <v>0</v>
          </cell>
        </row>
        <row r="1189">
          <cell r="A1189" t="str">
            <v>4130.1005</v>
          </cell>
          <cell r="D1189">
            <v>0</v>
          </cell>
        </row>
        <row r="1190">
          <cell r="A1190" t="str">
            <v>4130.1005</v>
          </cell>
          <cell r="D1190">
            <v>0</v>
          </cell>
        </row>
        <row r="1191">
          <cell r="A1191" t="str">
            <v>4130.1005</v>
          </cell>
          <cell r="D1191">
            <v>0</v>
          </cell>
        </row>
        <row r="1192">
          <cell r="A1192" t="str">
            <v>4130.1005</v>
          </cell>
          <cell r="D1192">
            <v>0</v>
          </cell>
        </row>
        <row r="1193">
          <cell r="A1193" t="str">
            <v>4130.1005</v>
          </cell>
          <cell r="D1193">
            <v>0</v>
          </cell>
        </row>
        <row r="1194">
          <cell r="A1194" t="str">
            <v>4130.1005</v>
          </cell>
          <cell r="D1194">
            <v>0</v>
          </cell>
        </row>
        <row r="1195">
          <cell r="A1195" t="str">
            <v>4130.1005</v>
          </cell>
          <cell r="D1195">
            <v>0</v>
          </cell>
        </row>
        <row r="1196">
          <cell r="A1196" t="str">
            <v>4130.1005</v>
          </cell>
          <cell r="D1196">
            <v>0</v>
          </cell>
        </row>
        <row r="1197">
          <cell r="A1197" t="str">
            <v>Fringe Benefits</v>
          </cell>
          <cell r="D1197">
            <v>-173306.06</v>
          </cell>
        </row>
        <row r="1198">
          <cell r="A1198" t="str">
            <v>4130.Occupancy_3010</v>
          </cell>
          <cell r="D1198">
            <v>-26771.18</v>
          </cell>
        </row>
        <row r="1199">
          <cell r="A1199" t="str">
            <v>4130.Occupancy_3010</v>
          </cell>
          <cell r="D1199">
            <v>-1337.82</v>
          </cell>
        </row>
        <row r="1200">
          <cell r="A1200" t="str">
            <v>4130.Occupancy_3010</v>
          </cell>
          <cell r="D1200">
            <v>-1337.84</v>
          </cell>
        </row>
        <row r="1201">
          <cell r="A1201" t="str">
            <v>Utilities</v>
          </cell>
          <cell r="D1201">
            <v>-29446.84</v>
          </cell>
        </row>
        <row r="1202">
          <cell r="A1202" t="str">
            <v>4130.1045</v>
          </cell>
          <cell r="D1202">
            <v>-8087.52</v>
          </cell>
        </row>
        <row r="1203">
          <cell r="A1203" t="str">
            <v>4130.1045</v>
          </cell>
          <cell r="D1203">
            <v>-1048.73</v>
          </cell>
        </row>
        <row r="1204">
          <cell r="A1204" t="str">
            <v>4130.1045</v>
          </cell>
          <cell r="D1204">
            <v>-503.84</v>
          </cell>
        </row>
        <row r="1205">
          <cell r="A1205" t="str">
            <v>4130.1045</v>
          </cell>
          <cell r="D1205">
            <v>0</v>
          </cell>
        </row>
        <row r="1206">
          <cell r="A1206" t="str">
            <v>4130.1045</v>
          </cell>
          <cell r="D1206">
            <v>0</v>
          </cell>
        </row>
        <row r="1207">
          <cell r="A1207" t="str">
            <v>Telephone &amp; Fax</v>
          </cell>
          <cell r="D1207">
            <v>-9640.09</v>
          </cell>
        </row>
        <row r="1208">
          <cell r="A1208" t="str">
            <v>4130.GenAdmin_6040</v>
          </cell>
          <cell r="D1208">
            <v>0</v>
          </cell>
        </row>
        <row r="1209">
          <cell r="A1209" t="str">
            <v>4130.GenAdmin_6040</v>
          </cell>
          <cell r="D1209">
            <v>0</v>
          </cell>
        </row>
        <row r="1210">
          <cell r="A1210" t="str">
            <v>4130.GenAdmin_6040</v>
          </cell>
          <cell r="D1210">
            <v>-762.04</v>
          </cell>
        </row>
        <row r="1211">
          <cell r="A1211" t="str">
            <v>Misc. State &amp; Local Taxes</v>
          </cell>
          <cell r="D1211">
            <v>-762.04</v>
          </cell>
        </row>
        <row r="1212">
          <cell r="A1212" t="str">
            <v>4130.GenAdmin_6035</v>
          </cell>
          <cell r="D1212">
            <v>0</v>
          </cell>
        </row>
        <row r="1213">
          <cell r="A1213" t="str">
            <v>4130.GenAdmin_6035</v>
          </cell>
          <cell r="D1213">
            <v>-14462.41</v>
          </cell>
        </row>
        <row r="1214">
          <cell r="A1214" t="str">
            <v>4130.GenAdmin_6035</v>
          </cell>
          <cell r="D1214">
            <v>-741.62</v>
          </cell>
        </row>
        <row r="1215">
          <cell r="A1215" t="str">
            <v>4130.GenAdmin_6035</v>
          </cell>
          <cell r="D1215">
            <v>-741.62</v>
          </cell>
        </row>
        <row r="1216">
          <cell r="A1216" t="str">
            <v>4130.GenAdmin_6035</v>
          </cell>
          <cell r="D1216">
            <v>0</v>
          </cell>
        </row>
        <row r="1217">
          <cell r="A1217" t="str">
            <v>4130.GenAdmin_6035</v>
          </cell>
          <cell r="D1217">
            <v>0</v>
          </cell>
        </row>
        <row r="1218">
          <cell r="A1218" t="str">
            <v>4130.GenAdmin_6035</v>
          </cell>
          <cell r="D1218">
            <v>0</v>
          </cell>
        </row>
        <row r="1219">
          <cell r="A1219" t="str">
            <v>General Insurance</v>
          </cell>
          <cell r="D1219">
            <v>-15945.650000000001</v>
          </cell>
        </row>
        <row r="1220">
          <cell r="A1220" t="str">
            <v>4130.1055</v>
          </cell>
          <cell r="D1220">
            <v>-443.84</v>
          </cell>
        </row>
        <row r="1221">
          <cell r="A1221" t="str">
            <v>4130.1055</v>
          </cell>
          <cell r="D1221">
            <v>-356.37</v>
          </cell>
        </row>
        <row r="1222">
          <cell r="A1222" t="str">
            <v>4130.1055</v>
          </cell>
          <cell r="D1222">
            <v>-21.21</v>
          </cell>
        </row>
        <row r="1223">
          <cell r="A1223" t="str">
            <v>4130.1055</v>
          </cell>
          <cell r="D1223">
            <v>0</v>
          </cell>
        </row>
        <row r="1224">
          <cell r="A1224" t="str">
            <v>4130.1055</v>
          </cell>
          <cell r="D1224">
            <v>0</v>
          </cell>
        </row>
        <row r="1225">
          <cell r="A1225" t="str">
            <v>4130.1055</v>
          </cell>
          <cell r="D1225">
            <v>-25.62</v>
          </cell>
        </row>
        <row r="1226">
          <cell r="A1226" t="str">
            <v>4130.1055</v>
          </cell>
          <cell r="D1226">
            <v>-76.87</v>
          </cell>
        </row>
        <row r="1227">
          <cell r="A1227" t="str">
            <v>4130.1055</v>
          </cell>
          <cell r="D1227">
            <v>-25.62</v>
          </cell>
        </row>
        <row r="1228">
          <cell r="A1228" t="str">
            <v>4130.1055</v>
          </cell>
          <cell r="D1228">
            <v>0</v>
          </cell>
        </row>
        <row r="1229">
          <cell r="A1229" t="str">
            <v>4130.1055</v>
          </cell>
          <cell r="D1229">
            <v>0</v>
          </cell>
        </row>
        <row r="1230">
          <cell r="A1230" t="str">
            <v>4130.1055</v>
          </cell>
          <cell r="D1230">
            <v>-1422.67</v>
          </cell>
        </row>
        <row r="1231">
          <cell r="A1231" t="str">
            <v>4130.1055</v>
          </cell>
          <cell r="D1231">
            <v>-308.82</v>
          </cell>
        </row>
        <row r="1232">
          <cell r="A1232" t="str">
            <v>4130.1055</v>
          </cell>
          <cell r="D1232">
            <v>-394.51</v>
          </cell>
        </row>
        <row r="1233">
          <cell r="A1233" t="str">
            <v>4130.1055</v>
          </cell>
          <cell r="D1233">
            <v>0</v>
          </cell>
        </row>
        <row r="1234">
          <cell r="A1234" t="str">
            <v>4130.1055</v>
          </cell>
          <cell r="D1234">
            <v>0</v>
          </cell>
        </row>
        <row r="1235">
          <cell r="A1235" t="str">
            <v>4130.1055</v>
          </cell>
          <cell r="D1235">
            <v>0</v>
          </cell>
        </row>
        <row r="1236">
          <cell r="A1236" t="str">
            <v>4130.1055</v>
          </cell>
          <cell r="D1236">
            <v>-1344.51</v>
          </cell>
        </row>
        <row r="1237">
          <cell r="A1237" t="str">
            <v>4130.1055</v>
          </cell>
          <cell r="D1237">
            <v>-540.4</v>
          </cell>
        </row>
        <row r="1238">
          <cell r="A1238" t="str">
            <v>4130.1055</v>
          </cell>
          <cell r="D1238">
            <v>0</v>
          </cell>
        </row>
        <row r="1239">
          <cell r="A1239" t="str">
            <v>4130.1055</v>
          </cell>
          <cell r="D1239">
            <v>0</v>
          </cell>
        </row>
        <row r="1240">
          <cell r="A1240" t="str">
            <v>4130.1055</v>
          </cell>
          <cell r="D1240">
            <v>-534.04999999999995</v>
          </cell>
        </row>
        <row r="1241">
          <cell r="A1241" t="str">
            <v>4130.1055</v>
          </cell>
          <cell r="D1241">
            <v>-527.15</v>
          </cell>
        </row>
        <row r="1242">
          <cell r="A1242" t="str">
            <v>4130.1055</v>
          </cell>
          <cell r="D1242">
            <v>0</v>
          </cell>
        </row>
        <row r="1243">
          <cell r="A1243" t="str">
            <v>4130.1055</v>
          </cell>
          <cell r="D1243">
            <v>0</v>
          </cell>
        </row>
        <row r="1244">
          <cell r="A1244" t="str">
            <v>4130.1055</v>
          </cell>
          <cell r="D1244">
            <v>0</v>
          </cell>
        </row>
        <row r="1245">
          <cell r="A1245" t="str">
            <v>Office Supplies</v>
          </cell>
          <cell r="D1245">
            <v>-6021.64</v>
          </cell>
        </row>
        <row r="1246">
          <cell r="A1246" t="str">
            <v>4130.ProdRelated_5015</v>
          </cell>
          <cell r="D1246">
            <v>0</v>
          </cell>
        </row>
        <row r="1247">
          <cell r="A1247" t="str">
            <v>4130.ProdRelated_5015</v>
          </cell>
          <cell r="D1247">
            <v>-584</v>
          </cell>
        </row>
        <row r="1248">
          <cell r="A1248" t="str">
            <v>4130.ProdRelated_5015</v>
          </cell>
          <cell r="D1248">
            <v>-383.56</v>
          </cell>
        </row>
        <row r="1249">
          <cell r="A1249" t="str">
            <v>4130.ProdRelated_5015</v>
          </cell>
          <cell r="D1249">
            <v>-2401.9499999999998</v>
          </cell>
        </row>
        <row r="1250">
          <cell r="A1250" t="str">
            <v>4130.ProdRelated_5015</v>
          </cell>
          <cell r="D1250">
            <v>0</v>
          </cell>
        </row>
        <row r="1251">
          <cell r="A1251" t="str">
            <v>4130.ProdRelated_5015</v>
          </cell>
          <cell r="D1251">
            <v>0</v>
          </cell>
        </row>
        <row r="1252">
          <cell r="A1252" t="str">
            <v>4130.ProdRelated_5015</v>
          </cell>
          <cell r="D1252">
            <v>-421.88</v>
          </cell>
        </row>
        <row r="1253">
          <cell r="A1253" t="str">
            <v>4130.ProdRelated_5015</v>
          </cell>
          <cell r="D1253">
            <v>0</v>
          </cell>
        </row>
        <row r="1254">
          <cell r="A1254" t="str">
            <v>4130.ProdRelated_5015</v>
          </cell>
          <cell r="D1254">
            <v>-704.58</v>
          </cell>
        </row>
        <row r="1255">
          <cell r="A1255" t="str">
            <v>4130.ProdRelated_5015</v>
          </cell>
          <cell r="D1255">
            <v>0</v>
          </cell>
        </row>
        <row r="1256">
          <cell r="A1256" t="str">
            <v>4130.ProdRelated_5015</v>
          </cell>
          <cell r="D1256">
            <v>-1164.19</v>
          </cell>
        </row>
        <row r="1257">
          <cell r="A1257" t="str">
            <v>4130.ProdRelated_5015</v>
          </cell>
          <cell r="D1257">
            <v>0</v>
          </cell>
        </row>
        <row r="1258">
          <cell r="A1258" t="str">
            <v>4130.ProdRelated_5015</v>
          </cell>
          <cell r="D1258">
            <v>0</v>
          </cell>
        </row>
        <row r="1259">
          <cell r="A1259" t="str">
            <v>4130.ProdRelated_5015</v>
          </cell>
          <cell r="D1259">
            <v>0</v>
          </cell>
        </row>
        <row r="1260">
          <cell r="A1260" t="str">
            <v>4130.ProdRelated_5015</v>
          </cell>
          <cell r="D1260">
            <v>0</v>
          </cell>
        </row>
        <row r="1261">
          <cell r="A1261" t="str">
            <v>4130.ProdRelated_5015</v>
          </cell>
          <cell r="D1261">
            <v>0</v>
          </cell>
        </row>
        <row r="1262">
          <cell r="A1262" t="str">
            <v>4130.ProdRelated_5015</v>
          </cell>
          <cell r="D1262">
            <v>-2901.21</v>
          </cell>
        </row>
        <row r="1263">
          <cell r="A1263" t="str">
            <v>4130.ProdRelated_5015</v>
          </cell>
          <cell r="D1263">
            <v>0</v>
          </cell>
        </row>
        <row r="1264">
          <cell r="A1264" t="str">
            <v>Short Lived Tools</v>
          </cell>
          <cell r="D1264">
            <v>-8561.369999999999</v>
          </cell>
        </row>
        <row r="1265">
          <cell r="A1265" t="str">
            <v>4130.ProdRelated_5005</v>
          </cell>
          <cell r="D1265">
            <v>0</v>
          </cell>
        </row>
        <row r="1266">
          <cell r="A1266" t="str">
            <v>4130.ProdRelated_5005</v>
          </cell>
          <cell r="D1266">
            <v>-3468.59</v>
          </cell>
        </row>
        <row r="1267">
          <cell r="A1267" t="str">
            <v>4130.ProdRelated_5005</v>
          </cell>
          <cell r="D1267">
            <v>-1412.84</v>
          </cell>
        </row>
        <row r="1268">
          <cell r="A1268" t="str">
            <v>4130.ProdRelated_5005</v>
          </cell>
          <cell r="D1268">
            <v>-126.61</v>
          </cell>
        </row>
        <row r="1269">
          <cell r="A1269" t="str">
            <v>4130.ProdRelated_5005</v>
          </cell>
          <cell r="D1269">
            <v>-1557</v>
          </cell>
        </row>
        <row r="1270">
          <cell r="A1270" t="str">
            <v>4130.ProdRelated_5005</v>
          </cell>
          <cell r="D1270">
            <v>0</v>
          </cell>
        </row>
        <row r="1271">
          <cell r="A1271" t="str">
            <v>4130.ProdRelated_5005</v>
          </cell>
          <cell r="D1271">
            <v>0</v>
          </cell>
        </row>
        <row r="1272">
          <cell r="A1272" t="str">
            <v>4130.ProdRelated_5005</v>
          </cell>
          <cell r="D1272">
            <v>0</v>
          </cell>
        </row>
        <row r="1273">
          <cell r="A1273" t="str">
            <v>4130.ProdRelated_5005</v>
          </cell>
          <cell r="D1273">
            <v>-4128.03</v>
          </cell>
        </row>
        <row r="1274">
          <cell r="A1274" t="str">
            <v>4130.ProdRelated_5005</v>
          </cell>
          <cell r="D1274">
            <v>0</v>
          </cell>
        </row>
        <row r="1275">
          <cell r="A1275" t="str">
            <v>4130.ProdRelated_5005</v>
          </cell>
          <cell r="D1275">
            <v>-1017.02</v>
          </cell>
        </row>
        <row r="1276">
          <cell r="A1276" t="str">
            <v>4130.ProdRelated_5005</v>
          </cell>
          <cell r="D1276">
            <v>0</v>
          </cell>
        </row>
        <row r="1277">
          <cell r="A1277" t="str">
            <v>4130.ProdRelated_5005</v>
          </cell>
          <cell r="D1277">
            <v>-656.51</v>
          </cell>
        </row>
        <row r="1278">
          <cell r="A1278" t="str">
            <v>4130.ProdRelated_5005</v>
          </cell>
          <cell r="D1278">
            <v>0</v>
          </cell>
        </row>
        <row r="1279">
          <cell r="A1279" t="str">
            <v>4130.ProdRelated_5005</v>
          </cell>
          <cell r="D1279">
            <v>-678.16</v>
          </cell>
        </row>
        <row r="1280">
          <cell r="A1280" t="str">
            <v>4130.ProdRelated_5005</v>
          </cell>
          <cell r="D1280">
            <v>0</v>
          </cell>
        </row>
        <row r="1281">
          <cell r="A1281" t="str">
            <v>4130.ProdRelated_5005</v>
          </cell>
          <cell r="D1281">
            <v>0</v>
          </cell>
        </row>
        <row r="1282">
          <cell r="A1282" t="str">
            <v>Gen. Manufacturing Supplies</v>
          </cell>
          <cell r="D1282">
            <v>-13044.76</v>
          </cell>
        </row>
        <row r="1283">
          <cell r="A1283" t="str">
            <v>4130.Occupancy_3015</v>
          </cell>
          <cell r="D1283">
            <v>-6769.06</v>
          </cell>
        </row>
        <row r="1284">
          <cell r="A1284" t="str">
            <v>4130.Occupancy_3015</v>
          </cell>
          <cell r="D1284">
            <v>-804.48</v>
          </cell>
        </row>
        <row r="1285">
          <cell r="A1285" t="str">
            <v>4130.Occupancy_3015</v>
          </cell>
          <cell r="D1285">
            <v>0</v>
          </cell>
        </row>
        <row r="1286">
          <cell r="A1286" t="str">
            <v>4130.Occupancy_3015</v>
          </cell>
          <cell r="D1286">
            <v>0</v>
          </cell>
        </row>
        <row r="1287">
          <cell r="A1287" t="str">
            <v>4130.Occupancy_3015</v>
          </cell>
          <cell r="D1287">
            <v>0</v>
          </cell>
        </row>
        <row r="1288">
          <cell r="A1288" t="str">
            <v>4130.Occupancy_3015</v>
          </cell>
          <cell r="D1288">
            <v>0</v>
          </cell>
        </row>
        <row r="1289">
          <cell r="A1289" t="str">
            <v>4130.Occupancy_3015</v>
          </cell>
          <cell r="D1289">
            <v>0</v>
          </cell>
        </row>
        <row r="1290">
          <cell r="A1290" t="str">
            <v>4130.Occupancy_3015</v>
          </cell>
          <cell r="D1290">
            <v>0</v>
          </cell>
        </row>
        <row r="1291">
          <cell r="A1291" t="str">
            <v>4130.Occupancy_3015</v>
          </cell>
          <cell r="D1291">
            <v>0</v>
          </cell>
        </row>
        <row r="1292">
          <cell r="A1292" t="str">
            <v>4130.Occupancy_3015</v>
          </cell>
          <cell r="D1292">
            <v>0</v>
          </cell>
        </row>
        <row r="1293">
          <cell r="A1293" t="str">
            <v>4130.Occupancy_3015</v>
          </cell>
          <cell r="D1293">
            <v>0</v>
          </cell>
        </row>
        <row r="1294">
          <cell r="A1294" t="str">
            <v>Building Maintenance</v>
          </cell>
          <cell r="D1294">
            <v>-7573.5400000000009</v>
          </cell>
        </row>
        <row r="1295">
          <cell r="A1295" t="str">
            <v>4130.1025</v>
          </cell>
          <cell r="D1295">
            <v>-802.41</v>
          </cell>
        </row>
        <row r="1296">
          <cell r="A1296" t="str">
            <v>4130.1025</v>
          </cell>
          <cell r="D1296">
            <v>-2252.02</v>
          </cell>
        </row>
        <row r="1297">
          <cell r="A1297" t="str">
            <v>4130.1025</v>
          </cell>
          <cell r="D1297">
            <v>-2764.8</v>
          </cell>
        </row>
        <row r="1298">
          <cell r="A1298" t="str">
            <v>4130.1025</v>
          </cell>
          <cell r="D1298">
            <v>0</v>
          </cell>
        </row>
        <row r="1299">
          <cell r="A1299" t="str">
            <v>4130.1025</v>
          </cell>
          <cell r="D1299">
            <v>-785.81</v>
          </cell>
        </row>
        <row r="1300">
          <cell r="A1300" t="str">
            <v>4130.1025</v>
          </cell>
          <cell r="D1300">
            <v>0</v>
          </cell>
        </row>
        <row r="1301">
          <cell r="A1301" t="str">
            <v>4130.1025</v>
          </cell>
          <cell r="D1301">
            <v>0</v>
          </cell>
        </row>
        <row r="1302">
          <cell r="A1302" t="str">
            <v>4130.1025</v>
          </cell>
          <cell r="D1302">
            <v>0</v>
          </cell>
        </row>
        <row r="1303">
          <cell r="A1303" t="str">
            <v>4130.1025</v>
          </cell>
          <cell r="D1303">
            <v>0</v>
          </cell>
        </row>
        <row r="1304">
          <cell r="A1304" t="str">
            <v>4130.1025</v>
          </cell>
          <cell r="D1304">
            <v>0</v>
          </cell>
        </row>
        <row r="1305">
          <cell r="A1305" t="str">
            <v>4130.1025</v>
          </cell>
          <cell r="D1305">
            <v>-238.41</v>
          </cell>
        </row>
        <row r="1306">
          <cell r="A1306" t="str">
            <v>4130.1025</v>
          </cell>
          <cell r="D1306">
            <v>-440.56</v>
          </cell>
        </row>
        <row r="1307">
          <cell r="A1307" t="str">
            <v>4130.1025</v>
          </cell>
          <cell r="D1307">
            <v>-260</v>
          </cell>
        </row>
        <row r="1308">
          <cell r="A1308" t="str">
            <v>4130.1025</v>
          </cell>
          <cell r="D1308">
            <v>0</v>
          </cell>
        </row>
        <row r="1309">
          <cell r="A1309" t="str">
            <v>4130.1025</v>
          </cell>
          <cell r="D1309">
            <v>-377.61</v>
          </cell>
        </row>
        <row r="1310">
          <cell r="A1310" t="str">
            <v>4130.1025</v>
          </cell>
          <cell r="D1310">
            <v>-355.67</v>
          </cell>
        </row>
        <row r="1311">
          <cell r="A1311" t="str">
            <v>4130.1025</v>
          </cell>
          <cell r="D1311">
            <v>-2535.65</v>
          </cell>
        </row>
        <row r="1312">
          <cell r="A1312" t="str">
            <v>4130.1025</v>
          </cell>
          <cell r="D1312">
            <v>-1151.4000000000001</v>
          </cell>
        </row>
        <row r="1313">
          <cell r="A1313" t="str">
            <v>4130.1025</v>
          </cell>
          <cell r="D1313">
            <v>0</v>
          </cell>
        </row>
        <row r="1314">
          <cell r="A1314" t="str">
            <v>4130.1025</v>
          </cell>
          <cell r="D1314">
            <v>0</v>
          </cell>
        </row>
        <row r="1315">
          <cell r="A1315" t="str">
            <v>4130.1025</v>
          </cell>
          <cell r="D1315">
            <v>-390.6</v>
          </cell>
        </row>
        <row r="1316">
          <cell r="A1316" t="str">
            <v>4130.1025</v>
          </cell>
          <cell r="D1316">
            <v>-1207.78</v>
          </cell>
        </row>
        <row r="1317">
          <cell r="A1317" t="str">
            <v>4130.1025</v>
          </cell>
          <cell r="D1317">
            <v>-135.32</v>
          </cell>
        </row>
        <row r="1318">
          <cell r="A1318" t="str">
            <v>4130.1025</v>
          </cell>
          <cell r="D1318">
            <v>0</v>
          </cell>
        </row>
        <row r="1319">
          <cell r="A1319" t="str">
            <v>4130.1025</v>
          </cell>
          <cell r="D1319">
            <v>-19.3</v>
          </cell>
        </row>
        <row r="1320">
          <cell r="A1320" t="str">
            <v>4130.1025</v>
          </cell>
          <cell r="D1320">
            <v>-88.7</v>
          </cell>
        </row>
        <row r="1321">
          <cell r="A1321" t="str">
            <v>4130.1025</v>
          </cell>
          <cell r="D1321">
            <v>0</v>
          </cell>
        </row>
        <row r="1322">
          <cell r="A1322" t="str">
            <v>4130.1025</v>
          </cell>
          <cell r="D1322">
            <v>0</v>
          </cell>
        </row>
        <row r="1323">
          <cell r="A1323" t="str">
            <v>4130.1025</v>
          </cell>
          <cell r="D1323">
            <v>-8380.31</v>
          </cell>
        </row>
        <row r="1324">
          <cell r="A1324" t="str">
            <v>4130.1025</v>
          </cell>
          <cell r="D1324">
            <v>-4909.95</v>
          </cell>
        </row>
        <row r="1325">
          <cell r="A1325" t="str">
            <v>4130.1025</v>
          </cell>
          <cell r="D1325">
            <v>-3124.09</v>
          </cell>
        </row>
        <row r="1326">
          <cell r="A1326" t="str">
            <v>4130.1025</v>
          </cell>
          <cell r="D1326">
            <v>0</v>
          </cell>
        </row>
        <row r="1327">
          <cell r="A1327" t="str">
            <v>4130.1025</v>
          </cell>
          <cell r="D1327">
            <v>-669.94</v>
          </cell>
        </row>
        <row r="1328">
          <cell r="A1328" t="str">
            <v>Travel Costs</v>
          </cell>
          <cell r="D1328">
            <v>-30890.329999999998</v>
          </cell>
        </row>
        <row r="1329">
          <cell r="A1329" t="str">
            <v>4130.1035</v>
          </cell>
          <cell r="D1329">
            <v>-22560.82</v>
          </cell>
        </row>
        <row r="1330">
          <cell r="A1330" t="str">
            <v>4130.1035</v>
          </cell>
          <cell r="D1330">
            <v>0</v>
          </cell>
        </row>
        <row r="1331">
          <cell r="A1331" t="str">
            <v>4130.1035</v>
          </cell>
          <cell r="D1331">
            <v>0</v>
          </cell>
        </row>
        <row r="1332">
          <cell r="A1332" t="str">
            <v>4130.1035</v>
          </cell>
          <cell r="D1332">
            <v>0</v>
          </cell>
        </row>
        <row r="1333">
          <cell r="A1333" t="str">
            <v>4130.1035</v>
          </cell>
          <cell r="D1333">
            <v>-30845.86</v>
          </cell>
        </row>
        <row r="1334">
          <cell r="A1334" t="str">
            <v>4130.1035</v>
          </cell>
          <cell r="D1334">
            <v>0</v>
          </cell>
        </row>
        <row r="1335">
          <cell r="A1335" t="str">
            <v>4130.1035</v>
          </cell>
          <cell r="D1335">
            <v>0</v>
          </cell>
        </row>
        <row r="1336">
          <cell r="A1336" t="str">
            <v>4130.1035</v>
          </cell>
          <cell r="D1336">
            <v>0</v>
          </cell>
        </row>
        <row r="1337">
          <cell r="A1337" t="str">
            <v>Depreciation</v>
          </cell>
          <cell r="D1337">
            <v>-53406.68</v>
          </cell>
        </row>
        <row r="1338">
          <cell r="A1338" t="str">
            <v>4130.Personnel_1025</v>
          </cell>
          <cell r="D1338">
            <v>-544.66</v>
          </cell>
        </row>
        <row r="1339">
          <cell r="A1339" t="str">
            <v>4130.Personnel_1025</v>
          </cell>
          <cell r="D1339">
            <v>0</v>
          </cell>
        </row>
        <row r="1340">
          <cell r="A1340" t="str">
            <v>4130.Personnel_1025</v>
          </cell>
          <cell r="D1340">
            <v>-199.03</v>
          </cell>
        </row>
        <row r="1341">
          <cell r="A1341" t="str">
            <v>4130.Personnel_1025</v>
          </cell>
          <cell r="D1341">
            <v>0</v>
          </cell>
        </row>
        <row r="1342">
          <cell r="A1342" t="str">
            <v>4130.Personnel_1025</v>
          </cell>
          <cell r="D1342">
            <v>-937.96</v>
          </cell>
        </row>
        <row r="1343">
          <cell r="A1343" t="str">
            <v>4130.Personnel_1025</v>
          </cell>
          <cell r="D1343">
            <v>0</v>
          </cell>
        </row>
        <row r="1344">
          <cell r="A1344" t="str">
            <v>Outside Contractors</v>
          </cell>
          <cell r="D1344">
            <v>-1681.65</v>
          </cell>
        </row>
        <row r="1345">
          <cell r="A1345" t="str">
            <v>4130.ProdRelated_5020</v>
          </cell>
          <cell r="D1345">
            <v>-3796.5</v>
          </cell>
        </row>
        <row r="1346">
          <cell r="A1346" t="str">
            <v>Equipment Service Contracts</v>
          </cell>
          <cell r="D1346">
            <v>-3796.5</v>
          </cell>
        </row>
        <row r="1347">
          <cell r="A1347" t="str">
            <v>4130.Occupancy_3045</v>
          </cell>
          <cell r="D1347">
            <v>-12307.5</v>
          </cell>
        </row>
        <row r="1348">
          <cell r="A1348" t="str">
            <v>4130.Occupancy_3045</v>
          </cell>
          <cell r="D1348">
            <v>-631.15</v>
          </cell>
        </row>
        <row r="1349">
          <cell r="A1349" t="str">
            <v>4130.Occupancy_3045</v>
          </cell>
          <cell r="D1349">
            <v>-631.15</v>
          </cell>
        </row>
        <row r="1350">
          <cell r="A1350" t="str">
            <v>4130.Occupancy_3045</v>
          </cell>
          <cell r="D1350">
            <v>0</v>
          </cell>
        </row>
        <row r="1351">
          <cell r="A1351" t="str">
            <v>4130.Occupancy_3045</v>
          </cell>
          <cell r="D1351">
            <v>0</v>
          </cell>
        </row>
        <row r="1352">
          <cell r="A1352" t="str">
            <v>4130.Occupancy_3045</v>
          </cell>
          <cell r="D1352">
            <v>2020.1</v>
          </cell>
        </row>
        <row r="1353">
          <cell r="A1353" t="str">
            <v>4130.Occupancy_3045</v>
          </cell>
          <cell r="D1353">
            <v>0</v>
          </cell>
        </row>
        <row r="1354">
          <cell r="A1354" t="str">
            <v>Facilities Expense</v>
          </cell>
          <cell r="D1354">
            <v>-11549.699999999999</v>
          </cell>
        </row>
        <row r="1355">
          <cell r="A1355" t="str">
            <v>4130.1065</v>
          </cell>
          <cell r="D1355">
            <v>-34720.019999999997</v>
          </cell>
        </row>
        <row r="1356">
          <cell r="A1356" t="str">
            <v>4130.1065</v>
          </cell>
          <cell r="D1356">
            <v>-34117.61</v>
          </cell>
        </row>
        <row r="1357">
          <cell r="A1357" t="str">
            <v>4130.1065</v>
          </cell>
          <cell r="D1357">
            <v>0</v>
          </cell>
        </row>
        <row r="1358">
          <cell r="A1358" t="str">
            <v>Installation &amp; Warranty Costs</v>
          </cell>
          <cell r="D1358">
            <v>-68837.63</v>
          </cell>
        </row>
        <row r="1359">
          <cell r="A1359" t="str">
            <v>4130.1060</v>
          </cell>
          <cell r="D1359">
            <v>52255</v>
          </cell>
        </row>
        <row r="1360">
          <cell r="A1360" t="str">
            <v>Inventory Obsolenscense Costs</v>
          </cell>
          <cell r="D1360">
            <v>52255</v>
          </cell>
        </row>
        <row r="1361">
          <cell r="A1361" t="str">
            <v>4130.1075</v>
          </cell>
          <cell r="D1361">
            <v>45121.95</v>
          </cell>
        </row>
        <row r="1362">
          <cell r="A1362" t="str">
            <v>4130.1075</v>
          </cell>
          <cell r="D1362">
            <v>59299.63</v>
          </cell>
        </row>
        <row r="1363">
          <cell r="A1363" t="str">
            <v>Inventory Absorption</v>
          </cell>
          <cell r="D1363">
            <v>104421.57999999999</v>
          </cell>
        </row>
        <row r="1364">
          <cell r="A1364" t="str">
            <v>4130.Other.Other</v>
          </cell>
          <cell r="D1364">
            <v>0</v>
          </cell>
        </row>
        <row r="1365">
          <cell r="A1365" t="str">
            <v>4130.Other.Other</v>
          </cell>
          <cell r="D1365">
            <v>-97.46</v>
          </cell>
        </row>
        <row r="1366">
          <cell r="A1366" t="str">
            <v>4130.Other.Other</v>
          </cell>
          <cell r="D1366">
            <v>-88.36</v>
          </cell>
        </row>
        <row r="1367">
          <cell r="A1367" t="str">
            <v>4130.Other.Other</v>
          </cell>
          <cell r="D1367">
            <v>-66.55</v>
          </cell>
        </row>
        <row r="1368">
          <cell r="A1368" t="str">
            <v>4130.Other.Other</v>
          </cell>
          <cell r="D1368">
            <v>0</v>
          </cell>
        </row>
        <row r="1369">
          <cell r="A1369" t="str">
            <v>4130.Other.Other</v>
          </cell>
          <cell r="D1369">
            <v>0</v>
          </cell>
        </row>
        <row r="1370">
          <cell r="A1370" t="str">
            <v>4130.Other.Other</v>
          </cell>
          <cell r="D1370">
            <v>0</v>
          </cell>
        </row>
        <row r="1371">
          <cell r="A1371" t="str">
            <v>4130.Other.Other</v>
          </cell>
          <cell r="D1371">
            <v>-120</v>
          </cell>
        </row>
        <row r="1372">
          <cell r="A1372" t="str">
            <v>4130.Other.Other</v>
          </cell>
          <cell r="D1372">
            <v>-3754.43</v>
          </cell>
        </row>
        <row r="1373">
          <cell r="A1373" t="str">
            <v>4130.Other.Other</v>
          </cell>
          <cell r="D1373">
            <v>0</v>
          </cell>
        </row>
        <row r="1374">
          <cell r="A1374" t="str">
            <v>4130.Other.Other</v>
          </cell>
          <cell r="D1374">
            <v>0</v>
          </cell>
        </row>
        <row r="1375">
          <cell r="A1375" t="str">
            <v>4130.Other.Other</v>
          </cell>
          <cell r="D1375">
            <v>0</v>
          </cell>
        </row>
        <row r="1376">
          <cell r="A1376" t="str">
            <v>4130.Other.Other</v>
          </cell>
          <cell r="D1376">
            <v>0</v>
          </cell>
        </row>
        <row r="1377">
          <cell r="A1377" t="str">
            <v>4130.Other.Other</v>
          </cell>
          <cell r="D1377">
            <v>0</v>
          </cell>
        </row>
        <row r="1378">
          <cell r="A1378" t="str">
            <v>4130.Other.Other</v>
          </cell>
          <cell r="D1378">
            <v>0</v>
          </cell>
        </row>
        <row r="1379">
          <cell r="A1379" t="str">
            <v>4130.Other.Other</v>
          </cell>
          <cell r="D1379">
            <v>0</v>
          </cell>
        </row>
        <row r="1380">
          <cell r="A1380" t="str">
            <v>4130.Other.Other</v>
          </cell>
          <cell r="D1380">
            <v>-94.5</v>
          </cell>
        </row>
        <row r="1381">
          <cell r="A1381" t="str">
            <v>4130.Other.Other</v>
          </cell>
          <cell r="D1381">
            <v>-35</v>
          </cell>
        </row>
        <row r="1382">
          <cell r="A1382" t="str">
            <v>4130.Other.Other</v>
          </cell>
          <cell r="D1382">
            <v>0</v>
          </cell>
        </row>
        <row r="1383">
          <cell r="A1383" t="str">
            <v>4130.Other.Other</v>
          </cell>
          <cell r="D1383">
            <v>0</v>
          </cell>
        </row>
        <row r="1384">
          <cell r="A1384" t="str">
            <v>4130.Other.Other</v>
          </cell>
          <cell r="D1384">
            <v>0</v>
          </cell>
        </row>
        <row r="1385">
          <cell r="A1385" t="str">
            <v>4130.Other.Other</v>
          </cell>
          <cell r="D1385">
            <v>0</v>
          </cell>
        </row>
        <row r="1386">
          <cell r="A1386" t="str">
            <v>4130.Other.Other</v>
          </cell>
          <cell r="D1386">
            <v>-104</v>
          </cell>
        </row>
        <row r="1387">
          <cell r="A1387" t="str">
            <v>4130.Other.Other</v>
          </cell>
          <cell r="D1387">
            <v>0</v>
          </cell>
        </row>
        <row r="1388">
          <cell r="A1388" t="str">
            <v>4130.Other.Other</v>
          </cell>
          <cell r="D1388">
            <v>0</v>
          </cell>
        </row>
        <row r="1389">
          <cell r="A1389" t="str">
            <v>4130.Other.Other</v>
          </cell>
          <cell r="D1389">
            <v>-6706.85</v>
          </cell>
        </row>
        <row r="1390">
          <cell r="A1390" t="str">
            <v>Other</v>
          </cell>
          <cell r="D1390">
            <v>-11067.150000000001</v>
          </cell>
        </row>
        <row r="1391">
          <cell r="A1391" t="str">
            <v>OVERHEAD</v>
          </cell>
          <cell r="D1391">
            <v>-880652.10000000021</v>
          </cell>
        </row>
        <row r="1393">
          <cell r="A1393" t="str">
            <v>4200.1000</v>
          </cell>
          <cell r="D1393">
            <v>-76178.559999999998</v>
          </cell>
        </row>
        <row r="1394">
          <cell r="A1394" t="str">
            <v>4200.1000</v>
          </cell>
          <cell r="D1394">
            <v>0</v>
          </cell>
        </row>
        <row r="1395">
          <cell r="A1395" t="str">
            <v>4200.1000</v>
          </cell>
          <cell r="D1395">
            <v>0</v>
          </cell>
        </row>
        <row r="1396">
          <cell r="A1396" t="str">
            <v>4200.1000</v>
          </cell>
          <cell r="D1396">
            <v>-6094.26</v>
          </cell>
        </row>
        <row r="1397">
          <cell r="A1397" t="str">
            <v>4200.1000</v>
          </cell>
          <cell r="D1397">
            <v>0</v>
          </cell>
        </row>
        <row r="1398">
          <cell r="A1398" t="str">
            <v>4200.1000</v>
          </cell>
          <cell r="D1398">
            <v>0</v>
          </cell>
        </row>
        <row r="1399">
          <cell r="A1399" t="str">
            <v>4200.1000</v>
          </cell>
          <cell r="D1399">
            <v>0</v>
          </cell>
        </row>
        <row r="1400">
          <cell r="A1400" t="str">
            <v>Salaries &amp; Wages</v>
          </cell>
          <cell r="D1400">
            <v>-82272.819999999992</v>
          </cell>
        </row>
        <row r="1401">
          <cell r="A1401" t="str">
            <v>4200.Personnel_1015</v>
          </cell>
          <cell r="D1401">
            <v>-9286.0499999999993</v>
          </cell>
        </row>
        <row r="1402">
          <cell r="A1402" t="str">
            <v>Bonuses</v>
          </cell>
          <cell r="D1402">
            <v>-9286.0499999999993</v>
          </cell>
        </row>
        <row r="1403">
          <cell r="A1403" t="str">
            <v>4200.1005</v>
          </cell>
          <cell r="D1403">
            <v>0</v>
          </cell>
        </row>
        <row r="1404">
          <cell r="A1404" t="str">
            <v>4200.1005</v>
          </cell>
          <cell r="D1404">
            <v>-6929.85</v>
          </cell>
        </row>
        <row r="1405">
          <cell r="A1405" t="str">
            <v>4200.1005</v>
          </cell>
          <cell r="D1405">
            <v>-11944.6</v>
          </cell>
        </row>
        <row r="1406">
          <cell r="A1406" t="str">
            <v>4200.1005</v>
          </cell>
          <cell r="D1406">
            <v>0</v>
          </cell>
        </row>
        <row r="1407">
          <cell r="A1407" t="str">
            <v>4200.1005</v>
          </cell>
          <cell r="D1407">
            <v>348.35</v>
          </cell>
        </row>
        <row r="1408">
          <cell r="A1408" t="str">
            <v>4200.1005</v>
          </cell>
          <cell r="D1408">
            <v>-3317.2</v>
          </cell>
        </row>
        <row r="1409">
          <cell r="A1409" t="str">
            <v>4200.1005</v>
          </cell>
          <cell r="D1409">
            <v>0</v>
          </cell>
        </row>
        <row r="1410">
          <cell r="A1410" t="str">
            <v>4200.1005</v>
          </cell>
          <cell r="D1410">
            <v>-2108.94</v>
          </cell>
        </row>
        <row r="1411">
          <cell r="A1411" t="str">
            <v>4200.1005</v>
          </cell>
          <cell r="D1411">
            <v>-45.99</v>
          </cell>
        </row>
        <row r="1412">
          <cell r="A1412" t="str">
            <v>4200.1005</v>
          </cell>
          <cell r="D1412">
            <v>0</v>
          </cell>
        </row>
        <row r="1413">
          <cell r="A1413" t="str">
            <v>4200.1005</v>
          </cell>
          <cell r="D1413">
            <v>0</v>
          </cell>
        </row>
        <row r="1414">
          <cell r="A1414" t="str">
            <v>Fringe Benefits</v>
          </cell>
          <cell r="D1414">
            <v>-23998.230000000003</v>
          </cell>
        </row>
        <row r="1415">
          <cell r="A1415" t="str">
            <v>4200.Occupancy_3010</v>
          </cell>
          <cell r="D1415">
            <v>-1337.76</v>
          </cell>
        </row>
        <row r="1416">
          <cell r="A1416" t="str">
            <v>Utilities</v>
          </cell>
          <cell r="D1416">
            <v>-1337.76</v>
          </cell>
        </row>
        <row r="1417">
          <cell r="A1417" t="str">
            <v>4200.1045</v>
          </cell>
          <cell r="D1417">
            <v>-5579.91</v>
          </cell>
        </row>
        <row r="1418">
          <cell r="A1418" t="str">
            <v>4200.1045</v>
          </cell>
          <cell r="D1418">
            <v>0</v>
          </cell>
        </row>
        <row r="1419">
          <cell r="A1419" t="str">
            <v>4200.1045</v>
          </cell>
          <cell r="D1419">
            <v>0</v>
          </cell>
        </row>
        <row r="1420">
          <cell r="A1420" t="str">
            <v>Telephone &amp; Fax</v>
          </cell>
          <cell r="D1420">
            <v>-5579.91</v>
          </cell>
        </row>
        <row r="1421">
          <cell r="A1421" t="str">
            <v>4200.GenAdmin_6040</v>
          </cell>
          <cell r="D1421">
            <v>0</v>
          </cell>
        </row>
        <row r="1422">
          <cell r="A1422" t="str">
            <v>Misc. State &amp; Local Taxes</v>
          </cell>
          <cell r="D1422">
            <v>0</v>
          </cell>
        </row>
        <row r="1423">
          <cell r="A1423" t="str">
            <v>4200.GenAdmin_6035</v>
          </cell>
          <cell r="D1423">
            <v>0</v>
          </cell>
        </row>
        <row r="1424">
          <cell r="A1424" t="str">
            <v>4200.GenAdmin_6035</v>
          </cell>
          <cell r="D1424">
            <v>-741.62</v>
          </cell>
        </row>
        <row r="1425">
          <cell r="A1425" t="str">
            <v>General Insurance</v>
          </cell>
          <cell r="D1425">
            <v>-741.62</v>
          </cell>
        </row>
        <row r="1426">
          <cell r="A1426" t="str">
            <v>4200.1055</v>
          </cell>
          <cell r="D1426">
            <v>-17.28</v>
          </cell>
        </row>
        <row r="1427">
          <cell r="A1427" t="str">
            <v>4200.1055</v>
          </cell>
          <cell r="D1427">
            <v>-62.06</v>
          </cell>
        </row>
        <row r="1428">
          <cell r="A1428" t="str">
            <v>4200.1055</v>
          </cell>
          <cell r="D1428">
            <v>-65.849999999999994</v>
          </cell>
        </row>
        <row r="1429">
          <cell r="A1429" t="str">
            <v>4200.1055</v>
          </cell>
          <cell r="D1429">
            <v>-406.71</v>
          </cell>
        </row>
        <row r="1430">
          <cell r="A1430" t="str">
            <v>4200.1055</v>
          </cell>
          <cell r="D1430">
            <v>-527.15</v>
          </cell>
        </row>
        <row r="1431">
          <cell r="A1431" t="str">
            <v>4200.1055</v>
          </cell>
          <cell r="D1431">
            <v>0</v>
          </cell>
        </row>
        <row r="1432">
          <cell r="A1432" t="str">
            <v>Office Supplies</v>
          </cell>
          <cell r="D1432">
            <v>-1079.05</v>
          </cell>
        </row>
        <row r="1433">
          <cell r="A1433" t="str">
            <v>4200.1025</v>
          </cell>
          <cell r="D1433">
            <v>-3723</v>
          </cell>
        </row>
        <row r="1434">
          <cell r="A1434" t="str">
            <v>4200.1025</v>
          </cell>
          <cell r="D1434">
            <v>0</v>
          </cell>
        </row>
        <row r="1435">
          <cell r="A1435" t="str">
            <v>4200.1025</v>
          </cell>
          <cell r="D1435">
            <v>-2990.62</v>
          </cell>
        </row>
        <row r="1436">
          <cell r="A1436" t="str">
            <v>4200.1025</v>
          </cell>
          <cell r="D1436">
            <v>-2984.85</v>
          </cell>
        </row>
        <row r="1437">
          <cell r="A1437" t="str">
            <v>4200.1025</v>
          </cell>
          <cell r="D1437">
            <v>-22316.55</v>
          </cell>
        </row>
        <row r="1438">
          <cell r="A1438" t="str">
            <v>4200.1025</v>
          </cell>
          <cell r="D1438">
            <v>-672.76</v>
          </cell>
        </row>
        <row r="1439">
          <cell r="A1439" t="str">
            <v>4200.1025</v>
          </cell>
          <cell r="D1439">
            <v>-723.58</v>
          </cell>
        </row>
        <row r="1440">
          <cell r="A1440" t="str">
            <v>4200.1025</v>
          </cell>
          <cell r="D1440">
            <v>-303.05</v>
          </cell>
        </row>
        <row r="1441">
          <cell r="A1441" t="str">
            <v>Travel Costs</v>
          </cell>
          <cell r="D1441">
            <v>-33714.409999999996</v>
          </cell>
        </row>
        <row r="1442">
          <cell r="A1442" t="str">
            <v>4200.SalesRelated_4010</v>
          </cell>
          <cell r="D1442">
            <v>0</v>
          </cell>
        </row>
        <row r="1443">
          <cell r="A1443" t="str">
            <v>4200.SalesRelated_4010</v>
          </cell>
          <cell r="D1443">
            <v>0</v>
          </cell>
        </row>
        <row r="1444">
          <cell r="A1444" t="str">
            <v>4200.SalesRelated_4010</v>
          </cell>
          <cell r="D1444">
            <v>0</v>
          </cell>
        </row>
        <row r="1445">
          <cell r="A1445" t="str">
            <v>4200.SalesRelated_4010</v>
          </cell>
          <cell r="D1445">
            <v>0</v>
          </cell>
        </row>
        <row r="1446">
          <cell r="A1446" t="str">
            <v>4200.SalesRelated_4010</v>
          </cell>
          <cell r="D1446">
            <v>0</v>
          </cell>
        </row>
        <row r="1447">
          <cell r="A1447" t="str">
            <v>Advertising Expense</v>
          </cell>
          <cell r="D1447">
            <v>0</v>
          </cell>
        </row>
        <row r="1448">
          <cell r="A1448" t="str">
            <v>4200.1020</v>
          </cell>
          <cell r="D1448">
            <v>0</v>
          </cell>
        </row>
        <row r="1449">
          <cell r="A1449" t="str">
            <v>4200.1020</v>
          </cell>
          <cell r="D1449">
            <v>-20767.509999999998</v>
          </cell>
        </row>
        <row r="1450">
          <cell r="A1450" t="str">
            <v>4200.1020</v>
          </cell>
          <cell r="D1450">
            <v>1533.5</v>
          </cell>
        </row>
        <row r="1451">
          <cell r="A1451" t="str">
            <v>4200.1020</v>
          </cell>
          <cell r="D1451">
            <v>0</v>
          </cell>
        </row>
        <row r="1452">
          <cell r="A1452" t="str">
            <v>4200.1020</v>
          </cell>
          <cell r="D1452">
            <v>0</v>
          </cell>
        </row>
        <row r="1453">
          <cell r="A1453" t="str">
            <v>Trade Shows, Exhibits &amp; Promo</v>
          </cell>
          <cell r="D1453">
            <v>-19234.009999999998</v>
          </cell>
        </row>
        <row r="1454">
          <cell r="A1454" t="str">
            <v>4200.1015</v>
          </cell>
          <cell r="D1454">
            <v>-114648.44</v>
          </cell>
        </row>
        <row r="1455">
          <cell r="A1455" t="str">
            <v>4200.1015</v>
          </cell>
          <cell r="D1455">
            <v>0</v>
          </cell>
        </row>
        <row r="1456">
          <cell r="A1456" t="str">
            <v>4200.1015</v>
          </cell>
          <cell r="D1456">
            <v>0</v>
          </cell>
        </row>
        <row r="1457">
          <cell r="A1457" t="str">
            <v>4200.1015</v>
          </cell>
          <cell r="D1457">
            <v>0</v>
          </cell>
        </row>
        <row r="1458">
          <cell r="A1458" t="str">
            <v>4200.1015</v>
          </cell>
          <cell r="D1458">
            <v>0</v>
          </cell>
        </row>
        <row r="1459">
          <cell r="A1459" t="str">
            <v>4200.1015</v>
          </cell>
          <cell r="D1459">
            <v>0</v>
          </cell>
        </row>
        <row r="1460">
          <cell r="A1460" t="str">
            <v>4200.1015</v>
          </cell>
          <cell r="D1460">
            <v>0</v>
          </cell>
        </row>
        <row r="1461">
          <cell r="A1461" t="str">
            <v>4200.1015</v>
          </cell>
          <cell r="D1461">
            <v>0</v>
          </cell>
        </row>
        <row r="1462">
          <cell r="A1462" t="str">
            <v>4200.1015</v>
          </cell>
          <cell r="D1462">
            <v>0</v>
          </cell>
        </row>
        <row r="1463">
          <cell r="A1463" t="str">
            <v>4200.1015</v>
          </cell>
          <cell r="D1463">
            <v>0</v>
          </cell>
        </row>
        <row r="1464">
          <cell r="A1464" t="str">
            <v>4200.1015</v>
          </cell>
          <cell r="D1464">
            <v>0</v>
          </cell>
        </row>
        <row r="1465">
          <cell r="A1465" t="str">
            <v>4200.1015</v>
          </cell>
          <cell r="D1465">
            <v>0</v>
          </cell>
        </row>
        <row r="1466">
          <cell r="A1466" t="str">
            <v>4200.1015</v>
          </cell>
          <cell r="D1466">
            <v>0</v>
          </cell>
        </row>
        <row r="1467">
          <cell r="A1467" t="str">
            <v>4200.1015</v>
          </cell>
          <cell r="D1467">
            <v>0</v>
          </cell>
        </row>
        <row r="1468">
          <cell r="A1468" t="str">
            <v>4200.1015</v>
          </cell>
          <cell r="D1468">
            <v>0</v>
          </cell>
        </row>
        <row r="1469">
          <cell r="A1469" t="str">
            <v>4200.1015</v>
          </cell>
          <cell r="D1469">
            <v>0</v>
          </cell>
        </row>
        <row r="1470">
          <cell r="A1470" t="str">
            <v>4200.1015</v>
          </cell>
          <cell r="D1470">
            <v>0</v>
          </cell>
        </row>
        <row r="1471">
          <cell r="A1471" t="str">
            <v>4200.1015</v>
          </cell>
          <cell r="D1471">
            <v>0</v>
          </cell>
        </row>
        <row r="1472">
          <cell r="A1472" t="str">
            <v>4200.1015</v>
          </cell>
          <cell r="D1472">
            <v>0</v>
          </cell>
        </row>
        <row r="1473">
          <cell r="A1473" t="str">
            <v>4200.1015</v>
          </cell>
          <cell r="D1473">
            <v>0</v>
          </cell>
        </row>
        <row r="1474">
          <cell r="A1474" t="str">
            <v>4200.1015</v>
          </cell>
          <cell r="D1474">
            <v>0</v>
          </cell>
        </row>
        <row r="1475">
          <cell r="A1475" t="str">
            <v>4200.1015</v>
          </cell>
          <cell r="D1475">
            <v>0</v>
          </cell>
        </row>
        <row r="1476">
          <cell r="A1476" t="str">
            <v>4200.1015</v>
          </cell>
          <cell r="D1476">
            <v>0</v>
          </cell>
        </row>
        <row r="1477">
          <cell r="A1477" t="str">
            <v>4200.1015</v>
          </cell>
          <cell r="D1477">
            <v>0</v>
          </cell>
        </row>
        <row r="1478">
          <cell r="A1478" t="str">
            <v>4200.1015</v>
          </cell>
          <cell r="D1478">
            <v>0</v>
          </cell>
        </row>
        <row r="1479">
          <cell r="A1479" t="str">
            <v>4200.1015</v>
          </cell>
          <cell r="D1479">
            <v>0</v>
          </cell>
        </row>
        <row r="1480">
          <cell r="A1480" t="str">
            <v>4200.1015</v>
          </cell>
          <cell r="D1480">
            <v>0</v>
          </cell>
        </row>
        <row r="1481">
          <cell r="A1481" t="str">
            <v>4200.1015</v>
          </cell>
          <cell r="D1481">
            <v>0</v>
          </cell>
        </row>
        <row r="1482">
          <cell r="A1482" t="str">
            <v>4200.1015</v>
          </cell>
          <cell r="D1482">
            <v>0</v>
          </cell>
        </row>
        <row r="1483">
          <cell r="A1483" t="str">
            <v>4200.1015</v>
          </cell>
          <cell r="D1483">
            <v>0</v>
          </cell>
        </row>
        <row r="1484">
          <cell r="A1484" t="str">
            <v>4200.1015</v>
          </cell>
          <cell r="D1484">
            <v>0</v>
          </cell>
        </row>
        <row r="1485">
          <cell r="A1485" t="str">
            <v>4200.1015</v>
          </cell>
          <cell r="D1485">
            <v>0</v>
          </cell>
        </row>
        <row r="1486">
          <cell r="A1486" t="str">
            <v>4200.1015</v>
          </cell>
          <cell r="D1486">
            <v>0</v>
          </cell>
        </row>
        <row r="1487">
          <cell r="A1487" t="str">
            <v>4200.1015</v>
          </cell>
          <cell r="D1487">
            <v>0</v>
          </cell>
        </row>
        <row r="1488">
          <cell r="A1488" t="str">
            <v>4200.1015</v>
          </cell>
          <cell r="D1488">
            <v>0</v>
          </cell>
        </row>
        <row r="1489">
          <cell r="A1489" t="str">
            <v>4200.1015</v>
          </cell>
          <cell r="D1489">
            <v>0</v>
          </cell>
        </row>
        <row r="1490">
          <cell r="A1490" t="str">
            <v>4200.1015</v>
          </cell>
          <cell r="D1490">
            <v>0</v>
          </cell>
        </row>
        <row r="1491">
          <cell r="A1491" t="str">
            <v>4200.1015</v>
          </cell>
          <cell r="D1491">
            <v>-2294.6799999999998</v>
          </cell>
        </row>
        <row r="1492">
          <cell r="A1492" t="str">
            <v>Commissions</v>
          </cell>
          <cell r="D1492">
            <v>-116943.12</v>
          </cell>
        </row>
        <row r="1493">
          <cell r="A1493" t="str">
            <v>4200.Occupancy_3045</v>
          </cell>
          <cell r="D1493">
            <v>-631.15</v>
          </cell>
        </row>
        <row r="1494">
          <cell r="A1494" t="str">
            <v>Facilities Expense</v>
          </cell>
          <cell r="D1494">
            <v>-631.15</v>
          </cell>
        </row>
        <row r="1495">
          <cell r="A1495" t="str">
            <v>4200.Other.Other</v>
          </cell>
          <cell r="D1495">
            <v>-30</v>
          </cell>
        </row>
        <row r="1496">
          <cell r="A1496" t="str">
            <v>4200.Other.Other</v>
          </cell>
          <cell r="D1496">
            <v>0</v>
          </cell>
        </row>
        <row r="1497">
          <cell r="A1497" t="str">
            <v>4200.Other.Other</v>
          </cell>
          <cell r="D1497">
            <v>0</v>
          </cell>
        </row>
        <row r="1498">
          <cell r="A1498" t="str">
            <v>4200.Other.Other</v>
          </cell>
          <cell r="D1498">
            <v>0</v>
          </cell>
        </row>
        <row r="1499">
          <cell r="A1499" t="str">
            <v>4200.Other.Other</v>
          </cell>
          <cell r="D1499">
            <v>0</v>
          </cell>
        </row>
        <row r="1500">
          <cell r="A1500" t="str">
            <v>4200.Other.Other</v>
          </cell>
          <cell r="D1500">
            <v>-2565.23</v>
          </cell>
        </row>
        <row r="1501">
          <cell r="A1501" t="str">
            <v>4200.Other.Other</v>
          </cell>
          <cell r="D1501">
            <v>0</v>
          </cell>
        </row>
        <row r="1502">
          <cell r="A1502" t="str">
            <v>4200.Other.Other</v>
          </cell>
          <cell r="D1502">
            <v>-2085.61</v>
          </cell>
        </row>
        <row r="1503">
          <cell r="A1503" t="str">
            <v>4200.Other.Other</v>
          </cell>
          <cell r="D1503">
            <v>0</v>
          </cell>
        </row>
        <row r="1504">
          <cell r="A1504" t="str">
            <v>4200.Other.Other</v>
          </cell>
          <cell r="D1504">
            <v>0</v>
          </cell>
        </row>
        <row r="1505">
          <cell r="A1505" t="str">
            <v>4200.Other.Other</v>
          </cell>
          <cell r="D1505">
            <v>-298</v>
          </cell>
        </row>
        <row r="1506">
          <cell r="A1506" t="str">
            <v>4200.Other.Other</v>
          </cell>
          <cell r="D1506">
            <v>-88.06</v>
          </cell>
        </row>
        <row r="1507">
          <cell r="A1507" t="str">
            <v>4200.Other.Other</v>
          </cell>
          <cell r="D1507">
            <v>0</v>
          </cell>
        </row>
        <row r="1508">
          <cell r="A1508" t="str">
            <v>4200.Other.Other</v>
          </cell>
          <cell r="D1508">
            <v>-9963</v>
          </cell>
        </row>
        <row r="1509">
          <cell r="A1509" t="str">
            <v>4200.Other.Other</v>
          </cell>
          <cell r="D1509">
            <v>-2268.9</v>
          </cell>
        </row>
        <row r="1510">
          <cell r="A1510" t="str">
            <v>Other</v>
          </cell>
          <cell r="D1510">
            <v>-17298.800000000003</v>
          </cell>
        </row>
        <row r="1511">
          <cell r="A1511" t="str">
            <v>SELLING EXPENSES</v>
          </cell>
          <cell r="D1511">
            <v>-312116.93</v>
          </cell>
        </row>
        <row r="1513">
          <cell r="A1513" t="str">
            <v>4210.1000</v>
          </cell>
          <cell r="D1513">
            <v>-62272.9</v>
          </cell>
        </row>
        <row r="1514">
          <cell r="A1514" t="str">
            <v>4210.1000</v>
          </cell>
          <cell r="D1514">
            <v>-11777.3</v>
          </cell>
        </row>
        <row r="1515">
          <cell r="A1515" t="str">
            <v>4210.1000</v>
          </cell>
          <cell r="D1515">
            <v>-20500</v>
          </cell>
        </row>
        <row r="1516">
          <cell r="A1516" t="str">
            <v>4210.1000</v>
          </cell>
          <cell r="D1516">
            <v>-77295.679999999993</v>
          </cell>
        </row>
        <row r="1517">
          <cell r="A1517" t="str">
            <v>4210.1000</v>
          </cell>
          <cell r="D1517">
            <v>-31903.7</v>
          </cell>
        </row>
        <row r="1518">
          <cell r="A1518" t="str">
            <v>4210.1000</v>
          </cell>
          <cell r="D1518">
            <v>0</v>
          </cell>
        </row>
        <row r="1519">
          <cell r="A1519" t="str">
            <v>4210.1000</v>
          </cell>
          <cell r="D1519">
            <v>-40.26</v>
          </cell>
        </row>
        <row r="1520">
          <cell r="A1520" t="str">
            <v>4210.1000</v>
          </cell>
          <cell r="D1520">
            <v>0</v>
          </cell>
        </row>
        <row r="1521">
          <cell r="A1521" t="str">
            <v>4210.1000</v>
          </cell>
          <cell r="D1521">
            <v>-36.86</v>
          </cell>
        </row>
        <row r="1522">
          <cell r="A1522" t="str">
            <v>4210.1000</v>
          </cell>
          <cell r="D1522">
            <v>-158.03</v>
          </cell>
        </row>
        <row r="1523">
          <cell r="A1523" t="str">
            <v>4210.1000</v>
          </cell>
          <cell r="D1523">
            <v>-112.92</v>
          </cell>
        </row>
        <row r="1524">
          <cell r="A1524" t="str">
            <v>4210.1000</v>
          </cell>
          <cell r="D1524">
            <v>0</v>
          </cell>
        </row>
        <row r="1525">
          <cell r="A1525" t="str">
            <v>4210.1000</v>
          </cell>
          <cell r="D1525">
            <v>0</v>
          </cell>
        </row>
        <row r="1526">
          <cell r="A1526" t="str">
            <v>4210.1000</v>
          </cell>
          <cell r="D1526">
            <v>0</v>
          </cell>
        </row>
        <row r="1527">
          <cell r="A1527" t="str">
            <v>4210.1000</v>
          </cell>
          <cell r="D1527">
            <v>0</v>
          </cell>
        </row>
        <row r="1528">
          <cell r="A1528" t="str">
            <v>4210.1000</v>
          </cell>
          <cell r="D1528">
            <v>0</v>
          </cell>
        </row>
        <row r="1529">
          <cell r="A1529" t="str">
            <v>4210.1000</v>
          </cell>
          <cell r="D1529">
            <v>-403.41</v>
          </cell>
        </row>
        <row r="1530">
          <cell r="A1530" t="str">
            <v>4210.1000</v>
          </cell>
          <cell r="D1530">
            <v>-2617.1999999999998</v>
          </cell>
        </row>
        <row r="1531">
          <cell r="A1531" t="str">
            <v>4210.1000</v>
          </cell>
          <cell r="D1531">
            <v>-44519.48</v>
          </cell>
        </row>
        <row r="1532">
          <cell r="A1532" t="str">
            <v>4210.1000</v>
          </cell>
          <cell r="D1532">
            <v>-942.2</v>
          </cell>
        </row>
        <row r="1533">
          <cell r="A1533" t="str">
            <v>4210.1000</v>
          </cell>
          <cell r="D1533">
            <v>-1640</v>
          </cell>
        </row>
        <row r="1534">
          <cell r="A1534" t="str">
            <v>4210.1000</v>
          </cell>
          <cell r="D1534">
            <v>-6183.69</v>
          </cell>
        </row>
        <row r="1535">
          <cell r="A1535" t="str">
            <v>4210.1000</v>
          </cell>
          <cell r="D1535">
            <v>-2552.3000000000002</v>
          </cell>
        </row>
        <row r="1536">
          <cell r="A1536" t="str">
            <v>4210.1000</v>
          </cell>
          <cell r="D1536">
            <v>0</v>
          </cell>
        </row>
        <row r="1537">
          <cell r="A1537" t="str">
            <v>4210.1000</v>
          </cell>
          <cell r="D1537">
            <v>0</v>
          </cell>
        </row>
        <row r="1538">
          <cell r="A1538" t="str">
            <v>4210.1000</v>
          </cell>
          <cell r="D1538">
            <v>0</v>
          </cell>
        </row>
        <row r="1539">
          <cell r="A1539" t="str">
            <v>4210.1000</v>
          </cell>
          <cell r="D1539">
            <v>0</v>
          </cell>
        </row>
        <row r="1540">
          <cell r="A1540" t="str">
            <v>4210.1000</v>
          </cell>
          <cell r="D1540">
            <v>0</v>
          </cell>
        </row>
        <row r="1541">
          <cell r="A1541" t="str">
            <v>4210.1000</v>
          </cell>
          <cell r="D1541">
            <v>0</v>
          </cell>
        </row>
        <row r="1542">
          <cell r="A1542" t="str">
            <v>4210.1000</v>
          </cell>
          <cell r="D1542">
            <v>0</v>
          </cell>
        </row>
        <row r="1543">
          <cell r="A1543" t="str">
            <v>4210.1000</v>
          </cell>
          <cell r="D1543">
            <v>-11600</v>
          </cell>
        </row>
        <row r="1544">
          <cell r="A1544" t="str">
            <v>4210.1000</v>
          </cell>
          <cell r="D1544">
            <v>0</v>
          </cell>
        </row>
        <row r="1545">
          <cell r="A1545" t="str">
            <v>4210.1000</v>
          </cell>
          <cell r="D1545">
            <v>0</v>
          </cell>
        </row>
        <row r="1546">
          <cell r="A1546" t="str">
            <v>4210.1000</v>
          </cell>
          <cell r="D1546">
            <v>0</v>
          </cell>
        </row>
        <row r="1547">
          <cell r="A1547" t="str">
            <v>4210.1000</v>
          </cell>
          <cell r="D1547">
            <v>0</v>
          </cell>
        </row>
        <row r="1548">
          <cell r="A1548" t="str">
            <v>4210.1000</v>
          </cell>
          <cell r="D1548">
            <v>5125</v>
          </cell>
        </row>
        <row r="1549">
          <cell r="A1549" t="str">
            <v>4210.1000</v>
          </cell>
          <cell r="D1549">
            <v>208.38</v>
          </cell>
        </row>
        <row r="1550">
          <cell r="A1550" t="str">
            <v>4210.1000</v>
          </cell>
          <cell r="D1550">
            <v>-560</v>
          </cell>
        </row>
        <row r="1551">
          <cell r="A1551" t="str">
            <v>4210.1000</v>
          </cell>
          <cell r="D1551">
            <v>0</v>
          </cell>
        </row>
        <row r="1552">
          <cell r="A1552" t="str">
            <v>4210.1000</v>
          </cell>
          <cell r="D1552">
            <v>0</v>
          </cell>
        </row>
        <row r="1553">
          <cell r="A1553" t="str">
            <v>4210.1000</v>
          </cell>
          <cell r="D1553">
            <v>-7586.16</v>
          </cell>
        </row>
        <row r="1554">
          <cell r="A1554" t="str">
            <v>4210.1000</v>
          </cell>
          <cell r="D1554">
            <v>-210</v>
          </cell>
        </row>
        <row r="1555">
          <cell r="A1555" t="str">
            <v>Salaries &amp; Wages</v>
          </cell>
          <cell r="D1555">
            <v>-277578.71000000002</v>
          </cell>
        </row>
        <row r="1556">
          <cell r="A1556" t="str">
            <v>4210.Personnel_1015</v>
          </cell>
          <cell r="D1556">
            <v>-45501.75</v>
          </cell>
        </row>
        <row r="1557">
          <cell r="A1557" t="str">
            <v>4210.Personnel_1015</v>
          </cell>
          <cell r="D1557">
            <v>0</v>
          </cell>
        </row>
        <row r="1558">
          <cell r="A1558" t="str">
            <v>4210.Personnel_1015</v>
          </cell>
          <cell r="D1558">
            <v>0</v>
          </cell>
        </row>
        <row r="1559">
          <cell r="A1559" t="str">
            <v>4210.Personnel_1015</v>
          </cell>
          <cell r="D1559">
            <v>0</v>
          </cell>
        </row>
        <row r="1560">
          <cell r="A1560" t="str">
            <v>4210.Personnel_1015</v>
          </cell>
          <cell r="D1560">
            <v>0</v>
          </cell>
        </row>
        <row r="1561">
          <cell r="A1561" t="str">
            <v>Bonuses</v>
          </cell>
          <cell r="D1561">
            <v>-45501.75</v>
          </cell>
        </row>
        <row r="1562">
          <cell r="A1562" t="str">
            <v>4210.1005</v>
          </cell>
          <cell r="D1562">
            <v>0</v>
          </cell>
        </row>
        <row r="1563">
          <cell r="A1563" t="str">
            <v>4210.1005</v>
          </cell>
          <cell r="D1563">
            <v>0</v>
          </cell>
        </row>
        <row r="1564">
          <cell r="A1564" t="str">
            <v>4210.1005</v>
          </cell>
          <cell r="D1564">
            <v>0</v>
          </cell>
        </row>
        <row r="1565">
          <cell r="A1565" t="str">
            <v>4210.1005</v>
          </cell>
          <cell r="D1565">
            <v>0</v>
          </cell>
        </row>
        <row r="1566">
          <cell r="A1566" t="str">
            <v>4210.1005</v>
          </cell>
          <cell r="D1566">
            <v>0</v>
          </cell>
        </row>
        <row r="1567">
          <cell r="A1567" t="str">
            <v>4210.1005</v>
          </cell>
          <cell r="D1567">
            <v>0</v>
          </cell>
        </row>
        <row r="1568">
          <cell r="A1568" t="str">
            <v>4210.1005</v>
          </cell>
          <cell r="D1568">
            <v>0</v>
          </cell>
        </row>
        <row r="1569">
          <cell r="A1569" t="str">
            <v>4210.1005</v>
          </cell>
          <cell r="D1569">
            <v>0</v>
          </cell>
        </row>
        <row r="1570">
          <cell r="A1570" t="str">
            <v>4210.1005</v>
          </cell>
          <cell r="D1570">
            <v>0</v>
          </cell>
        </row>
        <row r="1571">
          <cell r="A1571" t="str">
            <v>4210.1005</v>
          </cell>
          <cell r="D1571">
            <v>0</v>
          </cell>
        </row>
        <row r="1572">
          <cell r="A1572" t="str">
            <v>4210.1005</v>
          </cell>
          <cell r="D1572">
            <v>0</v>
          </cell>
        </row>
        <row r="1573">
          <cell r="A1573" t="str">
            <v>4210.1005</v>
          </cell>
          <cell r="D1573">
            <v>0</v>
          </cell>
        </row>
        <row r="1574">
          <cell r="A1574" t="str">
            <v>4210.1005</v>
          </cell>
          <cell r="D1574">
            <v>-3506.32</v>
          </cell>
        </row>
        <row r="1575">
          <cell r="A1575" t="str">
            <v>4210.1005</v>
          </cell>
          <cell r="D1575">
            <v>-1861.4</v>
          </cell>
        </row>
        <row r="1576">
          <cell r="A1576" t="str">
            <v>4210.1005</v>
          </cell>
          <cell r="D1576">
            <v>-2000.98</v>
          </cell>
        </row>
        <row r="1577">
          <cell r="A1577" t="str">
            <v>4210.1005</v>
          </cell>
          <cell r="D1577">
            <v>-7780.78</v>
          </cell>
        </row>
        <row r="1578">
          <cell r="A1578" t="str">
            <v>4210.1005</v>
          </cell>
          <cell r="D1578">
            <v>-2936.64</v>
          </cell>
        </row>
        <row r="1579">
          <cell r="A1579" t="str">
            <v>4210.1005</v>
          </cell>
          <cell r="D1579">
            <v>0</v>
          </cell>
        </row>
        <row r="1580">
          <cell r="A1580" t="str">
            <v>4210.1005</v>
          </cell>
          <cell r="D1580">
            <v>-5297.85</v>
          </cell>
        </row>
        <row r="1581">
          <cell r="A1581" t="str">
            <v>4210.1005</v>
          </cell>
          <cell r="D1581">
            <v>-3929.35</v>
          </cell>
        </row>
        <row r="1582">
          <cell r="A1582" t="str">
            <v>4210.1005</v>
          </cell>
          <cell r="D1582">
            <v>-3426.15</v>
          </cell>
        </row>
        <row r="1583">
          <cell r="A1583" t="str">
            <v>4210.1005</v>
          </cell>
          <cell r="D1583">
            <v>-11690.34</v>
          </cell>
        </row>
        <row r="1584">
          <cell r="A1584" t="str">
            <v>4210.1005</v>
          </cell>
          <cell r="D1584">
            <v>-5167.8500000000004</v>
          </cell>
        </row>
        <row r="1585">
          <cell r="A1585" t="str">
            <v>4210.1005</v>
          </cell>
          <cell r="D1585">
            <v>0</v>
          </cell>
        </row>
        <row r="1586">
          <cell r="A1586" t="str">
            <v>4210.1005</v>
          </cell>
          <cell r="D1586">
            <v>0</v>
          </cell>
        </row>
        <row r="1587">
          <cell r="A1587" t="str">
            <v>4210.1005</v>
          </cell>
          <cell r="D1587">
            <v>0</v>
          </cell>
        </row>
        <row r="1588">
          <cell r="A1588" t="str">
            <v>4210.1005</v>
          </cell>
          <cell r="D1588">
            <v>0</v>
          </cell>
        </row>
        <row r="1589">
          <cell r="A1589" t="str">
            <v>4210.1005</v>
          </cell>
          <cell r="D1589">
            <v>0</v>
          </cell>
        </row>
        <row r="1590">
          <cell r="A1590" t="str">
            <v>4210.1005</v>
          </cell>
          <cell r="D1590">
            <v>0</v>
          </cell>
        </row>
        <row r="1591">
          <cell r="A1591" t="str">
            <v>4210.1005</v>
          </cell>
          <cell r="D1591">
            <v>0</v>
          </cell>
        </row>
        <row r="1592">
          <cell r="A1592" t="str">
            <v>4210.1005</v>
          </cell>
          <cell r="D1592">
            <v>-11324.56</v>
          </cell>
        </row>
        <row r="1593">
          <cell r="A1593" t="str">
            <v>4210.1005</v>
          </cell>
          <cell r="D1593">
            <v>0</v>
          </cell>
        </row>
        <row r="1594">
          <cell r="A1594" t="str">
            <v>4210.1005</v>
          </cell>
          <cell r="D1594">
            <v>0</v>
          </cell>
        </row>
        <row r="1595">
          <cell r="A1595" t="str">
            <v>4210.1005</v>
          </cell>
          <cell r="D1595">
            <v>0</v>
          </cell>
        </row>
        <row r="1596">
          <cell r="A1596" t="str">
            <v>4210.1005</v>
          </cell>
          <cell r="D1596">
            <v>0</v>
          </cell>
        </row>
        <row r="1597">
          <cell r="A1597" t="str">
            <v>4210.1005</v>
          </cell>
          <cell r="D1597">
            <v>0</v>
          </cell>
        </row>
        <row r="1598">
          <cell r="A1598" t="str">
            <v>4210.1005</v>
          </cell>
          <cell r="D1598">
            <v>-1728.74</v>
          </cell>
        </row>
        <row r="1599">
          <cell r="A1599" t="str">
            <v>4210.1005</v>
          </cell>
          <cell r="D1599">
            <v>-829.3</v>
          </cell>
        </row>
        <row r="1600">
          <cell r="A1600" t="str">
            <v>4210.1005</v>
          </cell>
          <cell r="D1600">
            <v>-829.3</v>
          </cell>
        </row>
        <row r="1601">
          <cell r="A1601" t="str">
            <v>4210.1005</v>
          </cell>
          <cell r="D1601">
            <v>-3483.06</v>
          </cell>
        </row>
        <row r="1602">
          <cell r="A1602" t="str">
            <v>4210.1005</v>
          </cell>
          <cell r="D1602">
            <v>-1467.84</v>
          </cell>
        </row>
        <row r="1603">
          <cell r="A1603" t="str">
            <v>4210.1005</v>
          </cell>
          <cell r="D1603">
            <v>0</v>
          </cell>
        </row>
        <row r="1604">
          <cell r="A1604" t="str">
            <v>4210.1005</v>
          </cell>
          <cell r="D1604">
            <v>-149</v>
          </cell>
        </row>
        <row r="1605">
          <cell r="A1605" t="str">
            <v>4210.1005</v>
          </cell>
          <cell r="D1605">
            <v>-63.85</v>
          </cell>
        </row>
        <row r="1606">
          <cell r="A1606" t="str">
            <v>4210.1005</v>
          </cell>
          <cell r="D1606">
            <v>-153.25</v>
          </cell>
        </row>
        <row r="1607">
          <cell r="A1607" t="str">
            <v>4210.1005</v>
          </cell>
          <cell r="D1607">
            <v>-197.35</v>
          </cell>
        </row>
        <row r="1608">
          <cell r="A1608" t="str">
            <v>4210.1005</v>
          </cell>
          <cell r="D1608">
            <v>-63.85</v>
          </cell>
        </row>
        <row r="1609">
          <cell r="A1609" t="str">
            <v>4210.1005</v>
          </cell>
          <cell r="D1609">
            <v>-3601.45</v>
          </cell>
        </row>
        <row r="1610">
          <cell r="A1610" t="str">
            <v>4210.1005</v>
          </cell>
          <cell r="D1610">
            <v>0</v>
          </cell>
        </row>
        <row r="1611">
          <cell r="A1611" t="str">
            <v>4210.1005</v>
          </cell>
          <cell r="D1611">
            <v>0</v>
          </cell>
        </row>
        <row r="1612">
          <cell r="A1612" t="str">
            <v>4210.1005</v>
          </cell>
          <cell r="D1612">
            <v>0</v>
          </cell>
        </row>
        <row r="1613">
          <cell r="A1613" t="str">
            <v>4210.1005</v>
          </cell>
          <cell r="D1613">
            <v>0</v>
          </cell>
        </row>
        <row r="1614">
          <cell r="A1614" t="str">
            <v>4210.1005</v>
          </cell>
          <cell r="D1614">
            <v>0</v>
          </cell>
        </row>
        <row r="1615">
          <cell r="A1615" t="str">
            <v>4210.1005</v>
          </cell>
          <cell r="D1615">
            <v>-391.8</v>
          </cell>
        </row>
        <row r="1616">
          <cell r="A1616" t="str">
            <v>4210.1005</v>
          </cell>
          <cell r="D1616">
            <v>0</v>
          </cell>
        </row>
        <row r="1617">
          <cell r="A1617" t="str">
            <v>4210.1005</v>
          </cell>
          <cell r="D1617">
            <v>-308.41000000000003</v>
          </cell>
        </row>
        <row r="1618">
          <cell r="A1618" t="str">
            <v>4210.1005</v>
          </cell>
          <cell r="D1618">
            <v>0</v>
          </cell>
        </row>
        <row r="1619">
          <cell r="A1619" t="str">
            <v>4210.1005</v>
          </cell>
          <cell r="D1619">
            <v>0</v>
          </cell>
        </row>
        <row r="1620">
          <cell r="A1620" t="str">
            <v>4210.1005</v>
          </cell>
          <cell r="D1620">
            <v>0</v>
          </cell>
        </row>
        <row r="1621">
          <cell r="A1621" t="str">
            <v>4210.1005</v>
          </cell>
          <cell r="D1621">
            <v>0</v>
          </cell>
        </row>
        <row r="1622">
          <cell r="A1622" t="str">
            <v>4210.1005</v>
          </cell>
          <cell r="D1622">
            <v>0</v>
          </cell>
        </row>
        <row r="1623">
          <cell r="A1623" t="str">
            <v>4210.1005</v>
          </cell>
          <cell r="D1623">
            <v>0</v>
          </cell>
        </row>
        <row r="1624">
          <cell r="A1624" t="str">
            <v>4210.1005</v>
          </cell>
          <cell r="D1624">
            <v>0</v>
          </cell>
        </row>
        <row r="1625">
          <cell r="A1625" t="str">
            <v>4210.1005</v>
          </cell>
          <cell r="D1625">
            <v>-102.15</v>
          </cell>
        </row>
        <row r="1626">
          <cell r="A1626" t="str">
            <v>4210.1005</v>
          </cell>
          <cell r="D1626">
            <v>0</v>
          </cell>
        </row>
        <row r="1627">
          <cell r="A1627" t="str">
            <v>4210.1005</v>
          </cell>
          <cell r="D1627">
            <v>0</v>
          </cell>
        </row>
        <row r="1628">
          <cell r="A1628" t="str">
            <v>Fringe Benefits</v>
          </cell>
          <cell r="D1628">
            <v>-72291.570000000007</v>
          </cell>
        </row>
        <row r="1629">
          <cell r="A1629" t="str">
            <v>4210.Occupancy_3010</v>
          </cell>
          <cell r="D1629">
            <v>-3835.08</v>
          </cell>
        </row>
        <row r="1630">
          <cell r="A1630" t="str">
            <v xml:space="preserve">Utilities </v>
          </cell>
          <cell r="D1630">
            <v>-3835.08</v>
          </cell>
        </row>
        <row r="1631">
          <cell r="A1631" t="str">
            <v>4210.1045</v>
          </cell>
          <cell r="D1631">
            <v>-1292.44</v>
          </cell>
        </row>
        <row r="1632">
          <cell r="A1632" t="str">
            <v>4210.1045</v>
          </cell>
          <cell r="D1632">
            <v>0</v>
          </cell>
        </row>
        <row r="1633">
          <cell r="A1633" t="str">
            <v>4210.1045</v>
          </cell>
          <cell r="D1633">
            <v>-126.68</v>
          </cell>
        </row>
        <row r="1634">
          <cell r="A1634" t="str">
            <v>4210.1045</v>
          </cell>
          <cell r="D1634">
            <v>-506.89</v>
          </cell>
        </row>
        <row r="1635">
          <cell r="A1635" t="str">
            <v>4210.1045</v>
          </cell>
          <cell r="D1635">
            <v>-148.82</v>
          </cell>
        </row>
        <row r="1636">
          <cell r="A1636" t="str">
            <v>4210.1045</v>
          </cell>
          <cell r="D1636">
            <v>0</v>
          </cell>
        </row>
        <row r="1637">
          <cell r="A1637" t="str">
            <v>4210.1045</v>
          </cell>
          <cell r="D1637">
            <v>0</v>
          </cell>
        </row>
        <row r="1638">
          <cell r="A1638" t="str">
            <v>Telephone &amp; Fax</v>
          </cell>
          <cell r="D1638">
            <v>-2074.8300000000004</v>
          </cell>
        </row>
        <row r="1639">
          <cell r="A1639" t="str">
            <v>4210.GenAdmin_6040</v>
          </cell>
          <cell r="D1639">
            <v>-2371.5</v>
          </cell>
        </row>
        <row r="1640">
          <cell r="A1640" t="str">
            <v>4210.GenAdmin_6040</v>
          </cell>
          <cell r="D1640">
            <v>0</v>
          </cell>
        </row>
        <row r="1641">
          <cell r="A1641" t="str">
            <v>Misc. State &amp; Local Taxes</v>
          </cell>
          <cell r="D1641">
            <v>-2371.5</v>
          </cell>
        </row>
        <row r="1642">
          <cell r="A1642" t="str">
            <v>4210.GenAdmin_6035</v>
          </cell>
          <cell r="D1642">
            <v>0</v>
          </cell>
        </row>
        <row r="1643">
          <cell r="A1643" t="str">
            <v>4210.GenAdmin_6035</v>
          </cell>
          <cell r="D1643">
            <v>-2204.1999999999998</v>
          </cell>
        </row>
        <row r="1644">
          <cell r="A1644" t="str">
            <v>4210.GenAdmin_6035</v>
          </cell>
          <cell r="D1644">
            <v>0</v>
          </cell>
        </row>
        <row r="1645">
          <cell r="A1645" t="str">
            <v>4210.GenAdmin_6035</v>
          </cell>
          <cell r="D1645">
            <v>0</v>
          </cell>
        </row>
        <row r="1646">
          <cell r="A1646" t="str">
            <v>4210.GenAdmin_6035</v>
          </cell>
          <cell r="D1646">
            <v>0</v>
          </cell>
        </row>
        <row r="1647">
          <cell r="A1647" t="str">
            <v>4210.GenAdmin_6035</v>
          </cell>
          <cell r="D1647">
            <v>0</v>
          </cell>
        </row>
        <row r="1648">
          <cell r="A1648" t="str">
            <v>4210.GenAdmin_6035</v>
          </cell>
          <cell r="D1648">
            <v>0</v>
          </cell>
        </row>
        <row r="1649">
          <cell r="A1649" t="str">
            <v>General Insurance</v>
          </cell>
          <cell r="D1649">
            <v>-2204.1999999999998</v>
          </cell>
        </row>
        <row r="1650">
          <cell r="A1650" t="str">
            <v>4210.1055</v>
          </cell>
          <cell r="D1650">
            <v>-1078.82</v>
          </cell>
        </row>
        <row r="1651">
          <cell r="A1651" t="str">
            <v>4210.1055</v>
          </cell>
          <cell r="D1651">
            <v>0</v>
          </cell>
        </row>
        <row r="1652">
          <cell r="A1652" t="str">
            <v>4210.1055</v>
          </cell>
          <cell r="D1652">
            <v>0</v>
          </cell>
        </row>
        <row r="1653">
          <cell r="A1653" t="str">
            <v>4210.1055</v>
          </cell>
          <cell r="D1653">
            <v>-242.66</v>
          </cell>
        </row>
        <row r="1654">
          <cell r="A1654" t="str">
            <v>4210.1055</v>
          </cell>
          <cell r="D1654">
            <v>-117.33</v>
          </cell>
        </row>
        <row r="1655">
          <cell r="A1655" t="str">
            <v>4210.1055</v>
          </cell>
          <cell r="D1655">
            <v>-1824.69</v>
          </cell>
        </row>
        <row r="1656">
          <cell r="A1656" t="str">
            <v>4210.1055</v>
          </cell>
          <cell r="D1656">
            <v>0</v>
          </cell>
        </row>
        <row r="1657">
          <cell r="A1657" t="str">
            <v>4210.1055</v>
          </cell>
          <cell r="D1657">
            <v>0</v>
          </cell>
        </row>
        <row r="1658">
          <cell r="A1658" t="str">
            <v>4210.1055</v>
          </cell>
          <cell r="D1658">
            <v>0</v>
          </cell>
        </row>
        <row r="1659">
          <cell r="A1659" t="str">
            <v>4210.1055</v>
          </cell>
          <cell r="D1659">
            <v>0</v>
          </cell>
        </row>
        <row r="1660">
          <cell r="A1660" t="str">
            <v>4210.1055</v>
          </cell>
          <cell r="D1660">
            <v>-158.1</v>
          </cell>
        </row>
        <row r="1661">
          <cell r="A1661" t="str">
            <v>4210.1055</v>
          </cell>
          <cell r="D1661">
            <v>0</v>
          </cell>
        </row>
        <row r="1662">
          <cell r="A1662" t="str">
            <v>4210.1055</v>
          </cell>
          <cell r="D1662">
            <v>0</v>
          </cell>
        </row>
        <row r="1663">
          <cell r="A1663" t="str">
            <v>4210.1055</v>
          </cell>
          <cell r="D1663">
            <v>0</v>
          </cell>
        </row>
        <row r="1664">
          <cell r="A1664" t="str">
            <v>4210.1055</v>
          </cell>
          <cell r="D1664">
            <v>-735.18</v>
          </cell>
        </row>
        <row r="1665">
          <cell r="A1665" t="str">
            <v>4210.1055</v>
          </cell>
          <cell r="D1665">
            <v>-657.73</v>
          </cell>
        </row>
        <row r="1666">
          <cell r="A1666" t="str">
            <v>4210.1055</v>
          </cell>
          <cell r="D1666">
            <v>0</v>
          </cell>
        </row>
        <row r="1667">
          <cell r="A1667" t="str">
            <v>4210.1055</v>
          </cell>
          <cell r="D1667">
            <v>0</v>
          </cell>
        </row>
        <row r="1668">
          <cell r="A1668" t="str">
            <v>4210.1055</v>
          </cell>
          <cell r="D1668">
            <v>-331.73</v>
          </cell>
        </row>
        <row r="1669">
          <cell r="A1669" t="str">
            <v>4210.1055</v>
          </cell>
          <cell r="D1669">
            <v>0</v>
          </cell>
        </row>
        <row r="1670">
          <cell r="A1670" t="str">
            <v>4210.1055</v>
          </cell>
          <cell r="D1670">
            <v>-1531.11</v>
          </cell>
        </row>
        <row r="1671">
          <cell r="A1671" t="str">
            <v>4210.1055</v>
          </cell>
          <cell r="D1671">
            <v>-7993.07</v>
          </cell>
        </row>
        <row r="1672">
          <cell r="A1672" t="str">
            <v>4210.1055</v>
          </cell>
          <cell r="D1672">
            <v>-3750</v>
          </cell>
        </row>
        <row r="1673">
          <cell r="A1673" t="str">
            <v>4210.1055</v>
          </cell>
          <cell r="D1673">
            <v>0</v>
          </cell>
        </row>
        <row r="1674">
          <cell r="A1674" t="str">
            <v>4210.1055</v>
          </cell>
          <cell r="D1674">
            <v>0</v>
          </cell>
        </row>
        <row r="1675">
          <cell r="A1675" t="str">
            <v>4210.1055</v>
          </cell>
          <cell r="D1675">
            <v>0</v>
          </cell>
        </row>
        <row r="1676">
          <cell r="A1676" t="str">
            <v>4210.1055</v>
          </cell>
          <cell r="D1676">
            <v>0</v>
          </cell>
        </row>
        <row r="1677">
          <cell r="A1677" t="str">
            <v>4210.1055</v>
          </cell>
          <cell r="D1677">
            <v>0</v>
          </cell>
        </row>
        <row r="1678">
          <cell r="A1678" t="str">
            <v>4210.1055</v>
          </cell>
          <cell r="D1678">
            <v>0</v>
          </cell>
        </row>
        <row r="1679">
          <cell r="A1679" t="str">
            <v>Office Supplies</v>
          </cell>
          <cell r="D1679">
            <v>-18420.419999999998</v>
          </cell>
        </row>
        <row r="1680">
          <cell r="A1680" t="str">
            <v>4210.Occupancy_3015</v>
          </cell>
          <cell r="D1680">
            <v>-2978.28</v>
          </cell>
        </row>
        <row r="1681">
          <cell r="A1681" t="str">
            <v>4210.Occupancy_3015</v>
          </cell>
          <cell r="D1681">
            <v>0</v>
          </cell>
        </row>
        <row r="1682">
          <cell r="A1682" t="str">
            <v>4210.Occupancy_3015</v>
          </cell>
          <cell r="D1682">
            <v>0</v>
          </cell>
        </row>
        <row r="1683">
          <cell r="A1683" t="str">
            <v>4210.Occupancy_3015</v>
          </cell>
          <cell r="D1683">
            <v>0</v>
          </cell>
        </row>
        <row r="1684">
          <cell r="A1684" t="str">
            <v>4210.Occupancy_3015</v>
          </cell>
          <cell r="D1684">
            <v>0</v>
          </cell>
        </row>
        <row r="1685">
          <cell r="A1685" t="str">
            <v>4210.Occupancy_3015</v>
          </cell>
          <cell r="D1685">
            <v>0</v>
          </cell>
        </row>
        <row r="1686">
          <cell r="A1686" t="str">
            <v>4210.Occupancy_3015</v>
          </cell>
          <cell r="D1686">
            <v>0</v>
          </cell>
        </row>
        <row r="1687">
          <cell r="A1687" t="str">
            <v>4210.Occupancy_3015</v>
          </cell>
          <cell r="D1687">
            <v>0</v>
          </cell>
        </row>
        <row r="1688">
          <cell r="A1688" t="str">
            <v>4210.Occupancy_3015</v>
          </cell>
          <cell r="D1688">
            <v>0</v>
          </cell>
        </row>
        <row r="1689">
          <cell r="A1689" t="str">
            <v>4210.Occupancy_3015</v>
          </cell>
          <cell r="D1689">
            <v>0</v>
          </cell>
        </row>
        <row r="1690">
          <cell r="A1690" t="str">
            <v>Building Maintenance</v>
          </cell>
          <cell r="D1690">
            <v>-2978.28</v>
          </cell>
        </row>
        <row r="1691">
          <cell r="A1691" t="str">
            <v>4210.1025</v>
          </cell>
          <cell r="D1691">
            <v>-6124.07</v>
          </cell>
        </row>
        <row r="1692">
          <cell r="A1692" t="str">
            <v>4210.1025</v>
          </cell>
          <cell r="D1692">
            <v>0</v>
          </cell>
        </row>
        <row r="1693">
          <cell r="A1693" t="str">
            <v>4210.1025</v>
          </cell>
          <cell r="D1693">
            <v>-2668.01</v>
          </cell>
        </row>
        <row r="1694">
          <cell r="A1694" t="str">
            <v>4210.1025</v>
          </cell>
          <cell r="D1694">
            <v>-2832.04</v>
          </cell>
        </row>
        <row r="1695">
          <cell r="A1695" t="str">
            <v>4210.1025</v>
          </cell>
          <cell r="D1695">
            <v>-1905.94</v>
          </cell>
        </row>
        <row r="1696">
          <cell r="A1696" t="str">
            <v>4210.1025</v>
          </cell>
          <cell r="D1696">
            <v>0</v>
          </cell>
        </row>
        <row r="1697">
          <cell r="A1697" t="str">
            <v>4210.1025</v>
          </cell>
          <cell r="D1697">
            <v>0</v>
          </cell>
        </row>
        <row r="1698">
          <cell r="A1698" t="str">
            <v>4210.1025</v>
          </cell>
          <cell r="D1698">
            <v>0</v>
          </cell>
        </row>
        <row r="1699">
          <cell r="A1699" t="str">
            <v>4210.1025</v>
          </cell>
          <cell r="D1699">
            <v>0</v>
          </cell>
        </row>
        <row r="1700">
          <cell r="A1700" t="str">
            <v>4210.1025</v>
          </cell>
          <cell r="D1700">
            <v>0</v>
          </cell>
        </row>
        <row r="1701">
          <cell r="A1701" t="str">
            <v>4210.1025</v>
          </cell>
          <cell r="D1701">
            <v>2070.37</v>
          </cell>
        </row>
        <row r="1702">
          <cell r="A1702" t="str">
            <v>4210.1025</v>
          </cell>
          <cell r="D1702">
            <v>0</v>
          </cell>
        </row>
        <row r="1703">
          <cell r="A1703" t="str">
            <v>4210.1025</v>
          </cell>
          <cell r="D1703">
            <v>-777.18</v>
          </cell>
        </row>
        <row r="1704">
          <cell r="A1704" t="str">
            <v>4210.1025</v>
          </cell>
          <cell r="D1704">
            <v>-1055.52</v>
          </cell>
        </row>
        <row r="1705">
          <cell r="A1705" t="str">
            <v>4210.1025</v>
          </cell>
          <cell r="D1705">
            <v>-68</v>
          </cell>
        </row>
        <row r="1706">
          <cell r="A1706" t="str">
            <v>4210.1025</v>
          </cell>
          <cell r="D1706">
            <v>-4511.18</v>
          </cell>
        </row>
        <row r="1707">
          <cell r="A1707" t="str">
            <v>4210.1025</v>
          </cell>
          <cell r="D1707">
            <v>0</v>
          </cell>
        </row>
        <row r="1708">
          <cell r="A1708" t="str">
            <v>4210.1025</v>
          </cell>
          <cell r="D1708">
            <v>-513.98</v>
          </cell>
        </row>
        <row r="1709">
          <cell r="A1709" t="str">
            <v>4210.1025</v>
          </cell>
          <cell r="D1709">
            <v>-1510.82</v>
          </cell>
        </row>
        <row r="1710">
          <cell r="A1710" t="str">
            <v>4210.1025</v>
          </cell>
          <cell r="D1710">
            <v>-18.8</v>
          </cell>
        </row>
        <row r="1711">
          <cell r="A1711" t="str">
            <v>4210.1025</v>
          </cell>
          <cell r="D1711">
            <v>-986.95</v>
          </cell>
        </row>
        <row r="1712">
          <cell r="A1712" t="str">
            <v>4210.1025</v>
          </cell>
          <cell r="D1712">
            <v>0</v>
          </cell>
        </row>
        <row r="1713">
          <cell r="A1713" t="str">
            <v>4210.1025</v>
          </cell>
          <cell r="D1713">
            <v>-247.24</v>
          </cell>
        </row>
        <row r="1714">
          <cell r="A1714" t="str">
            <v>4210.1025</v>
          </cell>
          <cell r="D1714">
            <v>-638.84</v>
          </cell>
        </row>
        <row r="1715">
          <cell r="A1715" t="str">
            <v>4210.1025</v>
          </cell>
          <cell r="D1715">
            <v>-15.75</v>
          </cell>
        </row>
        <row r="1716">
          <cell r="A1716" t="str">
            <v>4210.1025</v>
          </cell>
          <cell r="D1716">
            <v>-338.03</v>
          </cell>
        </row>
        <row r="1717">
          <cell r="A1717" t="str">
            <v>4210.1025</v>
          </cell>
          <cell r="D1717">
            <v>-1229.57</v>
          </cell>
        </row>
        <row r="1718">
          <cell r="A1718" t="str">
            <v>4210.1025</v>
          </cell>
          <cell r="D1718">
            <v>0</v>
          </cell>
        </row>
        <row r="1719">
          <cell r="A1719" t="str">
            <v>4210.1025</v>
          </cell>
          <cell r="D1719">
            <v>-623.20000000000005</v>
          </cell>
        </row>
        <row r="1720">
          <cell r="A1720" t="str">
            <v>4210.1025</v>
          </cell>
          <cell r="D1720">
            <v>-1381.94</v>
          </cell>
        </row>
        <row r="1721">
          <cell r="A1721" t="str">
            <v>4210.1025</v>
          </cell>
          <cell r="D1721">
            <v>-75.790000000000006</v>
          </cell>
        </row>
        <row r="1722">
          <cell r="A1722" t="str">
            <v>4210.1025</v>
          </cell>
          <cell r="D1722">
            <v>0</v>
          </cell>
        </row>
        <row r="1723">
          <cell r="A1723" t="str">
            <v>Travel Costs</v>
          </cell>
          <cell r="D1723">
            <v>-25452.48</v>
          </cell>
        </row>
        <row r="1724">
          <cell r="A1724" t="str">
            <v>4210.1035</v>
          </cell>
          <cell r="D1724">
            <v>0</v>
          </cell>
        </row>
        <row r="1725">
          <cell r="A1725" t="str">
            <v>4210.1035</v>
          </cell>
          <cell r="D1725">
            <v>-3826.06</v>
          </cell>
        </row>
        <row r="1726">
          <cell r="A1726" t="str">
            <v>4210.1035</v>
          </cell>
          <cell r="D1726">
            <v>0</v>
          </cell>
        </row>
        <row r="1727">
          <cell r="A1727" t="str">
            <v>4210.1035</v>
          </cell>
          <cell r="D1727">
            <v>0</v>
          </cell>
        </row>
        <row r="1728">
          <cell r="A1728" t="str">
            <v>4210.1035</v>
          </cell>
          <cell r="D1728">
            <v>0</v>
          </cell>
        </row>
        <row r="1729">
          <cell r="A1729" t="str">
            <v>4210.1035</v>
          </cell>
          <cell r="D1729">
            <v>0</v>
          </cell>
        </row>
        <row r="1730">
          <cell r="A1730" t="str">
            <v>4210.1035</v>
          </cell>
          <cell r="D1730">
            <v>0</v>
          </cell>
        </row>
        <row r="1731">
          <cell r="A1731" t="str">
            <v>4210.1035</v>
          </cell>
          <cell r="D1731">
            <v>-19385.66</v>
          </cell>
        </row>
        <row r="1732">
          <cell r="A1732" t="str">
            <v>4210.1035</v>
          </cell>
          <cell r="D1732">
            <v>0</v>
          </cell>
        </row>
        <row r="1733">
          <cell r="A1733" t="str">
            <v>4210.1035</v>
          </cell>
          <cell r="D1733">
            <v>0</v>
          </cell>
        </row>
        <row r="1734">
          <cell r="A1734" t="str">
            <v>4210.1035</v>
          </cell>
          <cell r="D1734">
            <v>0</v>
          </cell>
        </row>
        <row r="1735">
          <cell r="A1735" t="str">
            <v>4210.1035</v>
          </cell>
          <cell r="D1735">
            <v>0</v>
          </cell>
        </row>
        <row r="1736">
          <cell r="A1736" t="str">
            <v>Depreciation</v>
          </cell>
          <cell r="D1736">
            <v>-23211.72</v>
          </cell>
        </row>
        <row r="1737">
          <cell r="A1737" t="str">
            <v>4210.Personnel_1025</v>
          </cell>
          <cell r="D1737">
            <v>-1050.3399999999999</v>
          </cell>
        </row>
        <row r="1738">
          <cell r="A1738" t="str">
            <v>4210.Personnel_1025</v>
          </cell>
          <cell r="D1738">
            <v>0</v>
          </cell>
        </row>
        <row r="1739">
          <cell r="A1739" t="str">
            <v>4210.Personnel_1025</v>
          </cell>
          <cell r="D1739">
            <v>0</v>
          </cell>
        </row>
        <row r="1740">
          <cell r="A1740" t="str">
            <v>4210.Personnel_1025</v>
          </cell>
          <cell r="D1740">
            <v>-288</v>
          </cell>
        </row>
        <row r="1741">
          <cell r="A1741" t="str">
            <v>4210.Personnel_1025</v>
          </cell>
          <cell r="D1741">
            <v>-3892</v>
          </cell>
        </row>
        <row r="1742">
          <cell r="A1742" t="str">
            <v>4210.Personnel_1025</v>
          </cell>
          <cell r="D1742">
            <v>0</v>
          </cell>
        </row>
        <row r="1743">
          <cell r="A1743" t="str">
            <v>4210.Personnel_1025</v>
          </cell>
          <cell r="D1743">
            <v>-4250</v>
          </cell>
        </row>
        <row r="1744">
          <cell r="A1744" t="str">
            <v>4210.Personnel_1025</v>
          </cell>
          <cell r="D1744">
            <v>-2810.23</v>
          </cell>
        </row>
        <row r="1745">
          <cell r="A1745" t="str">
            <v>4210.Personnel_1025</v>
          </cell>
          <cell r="D1745">
            <v>10833.32</v>
          </cell>
        </row>
        <row r="1746">
          <cell r="A1746" t="str">
            <v>4210.Personnel_1025</v>
          </cell>
          <cell r="D1746">
            <v>-45</v>
          </cell>
        </row>
        <row r="1747">
          <cell r="A1747" t="str">
            <v>Outside contractors</v>
          </cell>
          <cell r="D1747">
            <v>-1502.25</v>
          </cell>
        </row>
        <row r="1748">
          <cell r="A1748" t="str">
            <v>4210.Personnel_1030</v>
          </cell>
          <cell r="D1748">
            <v>-34042.94</v>
          </cell>
        </row>
        <row r="1749">
          <cell r="A1749" t="str">
            <v>Legal Fees</v>
          </cell>
          <cell r="D1749">
            <v>-34042.94</v>
          </cell>
        </row>
        <row r="1750">
          <cell r="A1750" t="str">
            <v>4210.Personnel_1035</v>
          </cell>
          <cell r="D1750">
            <v>-34000</v>
          </cell>
        </row>
        <row r="1751">
          <cell r="A1751" t="str">
            <v>4210.Personnel_1035</v>
          </cell>
          <cell r="D1751">
            <v>-2761.05</v>
          </cell>
        </row>
        <row r="1752">
          <cell r="A1752" t="str">
            <v>Audit Fees</v>
          </cell>
          <cell r="D1752">
            <v>-36761.050000000003</v>
          </cell>
        </row>
        <row r="1753">
          <cell r="A1753" t="str">
            <v>4210.WageLoad_2030</v>
          </cell>
          <cell r="D1753">
            <v>0</v>
          </cell>
        </row>
        <row r="1754">
          <cell r="A1754" t="str">
            <v>4210.WageLoad_2030</v>
          </cell>
          <cell r="D1754">
            <v>0</v>
          </cell>
        </row>
        <row r="1755">
          <cell r="A1755" t="str">
            <v>4210.WageLoad_2030</v>
          </cell>
          <cell r="D1755">
            <v>-294.99</v>
          </cell>
        </row>
        <row r="1756">
          <cell r="A1756" t="str">
            <v>Relocation &amp; Recruiting Exp.</v>
          </cell>
          <cell r="D1756">
            <v>-294.99</v>
          </cell>
        </row>
        <row r="1757">
          <cell r="A1757" t="str">
            <v>4210.GenAdmin_6050</v>
          </cell>
          <cell r="D1757">
            <v>-7099.78</v>
          </cell>
        </row>
        <row r="1758">
          <cell r="A1758" t="str">
            <v>Bad Debt Expense</v>
          </cell>
          <cell r="D1758">
            <v>-7099.78</v>
          </cell>
        </row>
        <row r="1759">
          <cell r="A1759" t="str">
            <v>4210.Occupancy_3045</v>
          </cell>
          <cell r="D1759">
            <v>-1577.9</v>
          </cell>
        </row>
        <row r="1760">
          <cell r="A1760" t="str">
            <v>4210.Occupancy_3045</v>
          </cell>
          <cell r="D1760">
            <v>0</v>
          </cell>
        </row>
        <row r="1761">
          <cell r="A1761" t="str">
            <v>4210.Occupancy_3045</v>
          </cell>
          <cell r="D1761">
            <v>0</v>
          </cell>
        </row>
        <row r="1762">
          <cell r="A1762" t="str">
            <v>4210.Occupancy_3045</v>
          </cell>
          <cell r="D1762">
            <v>0</v>
          </cell>
        </row>
        <row r="1763">
          <cell r="A1763" t="str">
            <v>4210.Occupancy_3045</v>
          </cell>
          <cell r="D1763">
            <v>0</v>
          </cell>
        </row>
        <row r="1764">
          <cell r="A1764" t="str">
            <v>4210.Occupancy_3045</v>
          </cell>
          <cell r="D1764">
            <v>-1130.7</v>
          </cell>
        </row>
        <row r="1765">
          <cell r="A1765" t="str">
            <v>Facilities Expense</v>
          </cell>
          <cell r="D1765">
            <v>-2708.6000000000004</v>
          </cell>
        </row>
        <row r="1766">
          <cell r="A1766" t="str">
            <v>4210.Other.Other</v>
          </cell>
          <cell r="D1766">
            <v>-7627.6</v>
          </cell>
        </row>
        <row r="1767">
          <cell r="A1767" t="str">
            <v>4210.Other.Other</v>
          </cell>
          <cell r="D1767">
            <v>0</v>
          </cell>
        </row>
        <row r="1768">
          <cell r="A1768" t="str">
            <v>4210.Other.Other</v>
          </cell>
          <cell r="D1768">
            <v>0</v>
          </cell>
        </row>
        <row r="1769">
          <cell r="A1769" t="str">
            <v>4210.Other.Other</v>
          </cell>
          <cell r="D1769">
            <v>-29.28</v>
          </cell>
        </row>
        <row r="1770">
          <cell r="A1770" t="str">
            <v>4210.Other.Other</v>
          </cell>
          <cell r="D1770">
            <v>0</v>
          </cell>
        </row>
        <row r="1771">
          <cell r="A1771" t="str">
            <v>4210.Other.Other</v>
          </cell>
          <cell r="D1771">
            <v>0</v>
          </cell>
        </row>
        <row r="1772">
          <cell r="A1772" t="str">
            <v>4210.Other.Other</v>
          </cell>
          <cell r="D1772">
            <v>0</v>
          </cell>
        </row>
        <row r="1773">
          <cell r="A1773" t="str">
            <v>4210.Other.Other</v>
          </cell>
          <cell r="D1773">
            <v>0</v>
          </cell>
        </row>
        <row r="1774">
          <cell r="A1774" t="str">
            <v>4210.Other.Other</v>
          </cell>
          <cell r="D1774">
            <v>-878.58</v>
          </cell>
        </row>
        <row r="1775">
          <cell r="A1775" t="str">
            <v>4210.Other.Other</v>
          </cell>
          <cell r="D1775">
            <v>0</v>
          </cell>
        </row>
        <row r="1776">
          <cell r="A1776" t="str">
            <v>4210.Other.Other</v>
          </cell>
          <cell r="D1776">
            <v>-4337.3500000000004</v>
          </cell>
        </row>
        <row r="1777">
          <cell r="A1777" t="str">
            <v>4210.Other.Other</v>
          </cell>
          <cell r="D1777">
            <v>0</v>
          </cell>
        </row>
        <row r="1778">
          <cell r="A1778" t="str">
            <v>4210.Other.Other</v>
          </cell>
          <cell r="D1778">
            <v>-25</v>
          </cell>
        </row>
        <row r="1779">
          <cell r="A1779" t="str">
            <v>4210.Other.Other</v>
          </cell>
          <cell r="D1779">
            <v>-453.28</v>
          </cell>
        </row>
        <row r="1780">
          <cell r="A1780" t="str">
            <v>4210.Other.Other</v>
          </cell>
          <cell r="D1780">
            <v>-63.36</v>
          </cell>
        </row>
        <row r="1781">
          <cell r="A1781" t="str">
            <v>4210.Other.Other</v>
          </cell>
          <cell r="D1781">
            <v>-1031.1199999999999</v>
          </cell>
        </row>
        <row r="1782">
          <cell r="A1782" t="str">
            <v>4210.Other.Other</v>
          </cell>
          <cell r="D1782">
            <v>0</v>
          </cell>
        </row>
        <row r="1783">
          <cell r="A1783" t="str">
            <v>4210.Other.Other</v>
          </cell>
          <cell r="D1783">
            <v>0</v>
          </cell>
        </row>
        <row r="1784">
          <cell r="A1784" t="str">
            <v>4210.Other.Other</v>
          </cell>
          <cell r="D1784">
            <v>-1323.67</v>
          </cell>
        </row>
        <row r="1785">
          <cell r="A1785" t="str">
            <v>4210.Other.Other</v>
          </cell>
          <cell r="D1785">
            <v>0</v>
          </cell>
        </row>
        <row r="1786">
          <cell r="A1786" t="str">
            <v>4210.Other.Other</v>
          </cell>
          <cell r="D1786">
            <v>0</v>
          </cell>
        </row>
        <row r="1787">
          <cell r="A1787" t="str">
            <v>4210.Other.Other</v>
          </cell>
          <cell r="D1787">
            <v>0</v>
          </cell>
        </row>
        <row r="1788">
          <cell r="A1788" t="str">
            <v>4210.Other.Other</v>
          </cell>
          <cell r="D1788">
            <v>0</v>
          </cell>
        </row>
        <row r="1789">
          <cell r="A1789" t="str">
            <v>Other</v>
          </cell>
          <cell r="D1789">
            <v>-15769.240000000003</v>
          </cell>
        </row>
        <row r="1790">
          <cell r="A1790" t="str">
            <v>G&amp;A EXPENSES</v>
          </cell>
          <cell r="D1790">
            <v>-574099.39</v>
          </cell>
        </row>
        <row r="1792">
          <cell r="A1792" t="str">
            <v>4230</v>
          </cell>
          <cell r="D1792">
            <v>-29122.65</v>
          </cell>
        </row>
        <row r="1793">
          <cell r="A1793" t="str">
            <v>4235</v>
          </cell>
          <cell r="D1793">
            <v>11238.94</v>
          </cell>
        </row>
        <row r="1794">
          <cell r="A1794" t="str">
            <v>4240</v>
          </cell>
          <cell r="D1794">
            <v>-273838</v>
          </cell>
        </row>
        <row r="1795">
          <cell r="A1795" t="str">
            <v>4245</v>
          </cell>
          <cell r="D1795">
            <v>0</v>
          </cell>
        </row>
        <row r="1796">
          <cell r="A1796" t="str">
            <v>4250</v>
          </cell>
          <cell r="D1796">
            <v>0</v>
          </cell>
        </row>
        <row r="1797">
          <cell r="A1797" t="str">
            <v>4250</v>
          </cell>
          <cell r="D1797">
            <v>0</v>
          </cell>
        </row>
        <row r="1798">
          <cell r="A1798" t="str">
            <v>4255</v>
          </cell>
          <cell r="D1798">
            <v>0</v>
          </cell>
        </row>
        <row r="1799">
          <cell r="A1799" t="str">
            <v>4250</v>
          </cell>
          <cell r="D1799">
            <v>310.98</v>
          </cell>
        </row>
        <row r="1800">
          <cell r="A1800" t="str">
            <v>4275</v>
          </cell>
          <cell r="D1800">
            <v>0</v>
          </cell>
        </row>
        <row r="1801">
          <cell r="A1801" t="str">
            <v>4280</v>
          </cell>
          <cell r="D1801">
            <v>0</v>
          </cell>
        </row>
        <row r="1802">
          <cell r="A1802" t="str">
            <v>4280</v>
          </cell>
          <cell r="D1802">
            <v>-11666.38</v>
          </cell>
        </row>
        <row r="1803">
          <cell r="A1803" t="str">
            <v>4280</v>
          </cell>
          <cell r="D1803">
            <v>0</v>
          </cell>
        </row>
        <row r="1804">
          <cell r="A1804" t="str">
            <v>4280</v>
          </cell>
          <cell r="D1804">
            <v>0</v>
          </cell>
        </row>
        <row r="1805">
          <cell r="A1805" t="str">
            <v>Division Other Income (Expenses)</v>
          </cell>
          <cell r="D1805">
            <v>-303077.11000000004</v>
          </cell>
        </row>
        <row r="1807">
          <cell r="A1807" t="str">
            <v>4400</v>
          </cell>
          <cell r="D1807">
            <v>0</v>
          </cell>
        </row>
        <row r="1808">
          <cell r="A1808" t="str">
            <v>INT_ELIM</v>
          </cell>
          <cell r="D1808">
            <v>150051.96</v>
          </cell>
        </row>
        <row r="1809">
          <cell r="A1809" t="str">
            <v>INT_ELIM</v>
          </cell>
          <cell r="D1809">
            <v>-375521.03</v>
          </cell>
        </row>
        <row r="1810">
          <cell r="A1810" t="str">
            <v>4515</v>
          </cell>
          <cell r="D1810">
            <v>-9530.4599999999991</v>
          </cell>
        </row>
        <row r="1811">
          <cell r="A1811" t="str">
            <v>4525</v>
          </cell>
          <cell r="D1811">
            <v>59785.37</v>
          </cell>
        </row>
        <row r="1812">
          <cell r="A1812" t="str">
            <v>4525</v>
          </cell>
          <cell r="D1812">
            <v>0</v>
          </cell>
        </row>
        <row r="1813">
          <cell r="A1813" t="str">
            <v>4530</v>
          </cell>
          <cell r="D1813">
            <v>0</v>
          </cell>
        </row>
        <row r="1814">
          <cell r="A1814" t="str">
            <v>Corporate Income (Expense)</v>
          </cell>
          <cell r="D1814">
            <v>-175214.16000000003</v>
          </cell>
        </row>
        <row r="1815">
          <cell r="A1815">
            <v>4620</v>
          </cell>
          <cell r="D1815">
            <v>0</v>
          </cell>
        </row>
        <row r="1816">
          <cell r="A1816" t="str">
            <v>Foreign Income Taxes</v>
          </cell>
          <cell r="D1816">
            <v>0</v>
          </cell>
        </row>
        <row r="1818">
          <cell r="A1818" t="str">
            <v>INCOME (LOSS) BEFORE TAXES &amp; EXTRAORDINARY ITEM</v>
          </cell>
          <cell r="D1818">
            <v>423887.39999999868</v>
          </cell>
        </row>
      </sheetData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dant FRP"/>
      <sheetName val="Balances JGL-KGL"/>
      <sheetName val="Visual Import"/>
      <sheetName val="070526 Kadant FRP Preparation"/>
    </sheetNames>
    <sheetDataSet>
      <sheetData sheetId="0"/>
      <sheetData sheetId="1" refreshError="1">
        <row r="5">
          <cell r="A5">
            <v>1010</v>
          </cell>
          <cell r="D5">
            <v>189934.67</v>
          </cell>
        </row>
        <row r="6">
          <cell r="A6">
            <v>1010</v>
          </cell>
          <cell r="D6">
            <v>0</v>
          </cell>
        </row>
        <row r="7">
          <cell r="A7">
            <v>1010</v>
          </cell>
          <cell r="D7">
            <v>0</v>
          </cell>
        </row>
        <row r="8">
          <cell r="A8">
            <v>1010</v>
          </cell>
          <cell r="D8">
            <v>20839.060000000001</v>
          </cell>
        </row>
        <row r="9">
          <cell r="A9">
            <v>1010</v>
          </cell>
          <cell r="D9">
            <v>0</v>
          </cell>
        </row>
        <row r="10">
          <cell r="A10">
            <v>1010</v>
          </cell>
          <cell r="D10">
            <v>0</v>
          </cell>
        </row>
        <row r="11">
          <cell r="A11">
            <v>1010</v>
          </cell>
          <cell r="D11">
            <v>0</v>
          </cell>
        </row>
        <row r="12">
          <cell r="A12">
            <v>1010</v>
          </cell>
          <cell r="D12">
            <v>0</v>
          </cell>
        </row>
        <row r="13">
          <cell r="A13">
            <v>1010</v>
          </cell>
          <cell r="D13">
            <v>0</v>
          </cell>
        </row>
        <row r="14">
          <cell r="A14">
            <v>1010</v>
          </cell>
          <cell r="D14">
            <v>0</v>
          </cell>
        </row>
        <row r="15">
          <cell r="A15">
            <v>1010</v>
          </cell>
          <cell r="D15">
            <v>1821.04</v>
          </cell>
        </row>
        <row r="16">
          <cell r="A16">
            <v>1010</v>
          </cell>
          <cell r="D16">
            <v>10628</v>
          </cell>
        </row>
        <row r="17">
          <cell r="A17">
            <v>1010</v>
          </cell>
          <cell r="D17">
            <v>0</v>
          </cell>
        </row>
        <row r="18">
          <cell r="A18">
            <v>1010</v>
          </cell>
          <cell r="D18">
            <v>0</v>
          </cell>
        </row>
        <row r="19">
          <cell r="A19">
            <v>1010</v>
          </cell>
          <cell r="D19">
            <v>0</v>
          </cell>
        </row>
        <row r="20">
          <cell r="A20">
            <v>1010</v>
          </cell>
          <cell r="D20">
            <v>0</v>
          </cell>
        </row>
        <row r="21">
          <cell r="A21">
            <v>1010</v>
          </cell>
          <cell r="D21">
            <v>0</v>
          </cell>
        </row>
        <row r="22">
          <cell r="A22">
            <v>1010</v>
          </cell>
          <cell r="D22">
            <v>0</v>
          </cell>
        </row>
        <row r="23">
          <cell r="A23">
            <v>1010</v>
          </cell>
          <cell r="D23">
            <v>0</v>
          </cell>
        </row>
        <row r="24">
          <cell r="A24">
            <v>1010</v>
          </cell>
          <cell r="D24">
            <v>148.02000000000001</v>
          </cell>
        </row>
        <row r="25">
          <cell r="A25">
            <v>1010</v>
          </cell>
          <cell r="D25">
            <v>6892.85</v>
          </cell>
        </row>
        <row r="26">
          <cell r="A26">
            <v>1010</v>
          </cell>
          <cell r="D26">
            <v>374.47</v>
          </cell>
        </row>
        <row r="27">
          <cell r="A27">
            <v>1010</v>
          </cell>
          <cell r="D27">
            <v>7.19</v>
          </cell>
        </row>
        <row r="28">
          <cell r="A28">
            <v>1010</v>
          </cell>
          <cell r="D28">
            <v>0</v>
          </cell>
        </row>
        <row r="29">
          <cell r="A29">
            <v>1010</v>
          </cell>
          <cell r="D29">
            <v>10.9</v>
          </cell>
        </row>
        <row r="30">
          <cell r="A30">
            <v>1010</v>
          </cell>
          <cell r="D30">
            <v>63.83</v>
          </cell>
        </row>
        <row r="31">
          <cell r="A31">
            <v>1010</v>
          </cell>
          <cell r="D31">
            <v>9.1999999999999993</v>
          </cell>
        </row>
        <row r="32">
          <cell r="A32">
            <v>1010</v>
          </cell>
          <cell r="D32">
            <v>54.24</v>
          </cell>
        </row>
        <row r="33">
          <cell r="A33">
            <v>1010</v>
          </cell>
          <cell r="D33">
            <v>69.25</v>
          </cell>
        </row>
        <row r="34">
          <cell r="A34">
            <v>1010</v>
          </cell>
          <cell r="D34">
            <v>33.17</v>
          </cell>
        </row>
        <row r="35">
          <cell r="A35">
            <v>1010</v>
          </cell>
          <cell r="D35">
            <v>-5315.71</v>
          </cell>
        </row>
        <row r="36">
          <cell r="A36">
            <v>1010</v>
          </cell>
          <cell r="D36">
            <v>0</v>
          </cell>
        </row>
        <row r="37">
          <cell r="A37">
            <v>1010</v>
          </cell>
          <cell r="D37">
            <v>0</v>
          </cell>
        </row>
        <row r="39">
          <cell r="A39" t="str">
            <v>1020</v>
          </cell>
          <cell r="D39">
            <v>5358152.1100000003</v>
          </cell>
        </row>
        <row r="40">
          <cell r="A40" t="str">
            <v>Cash</v>
          </cell>
          <cell r="D40">
            <v>5583722.29</v>
          </cell>
        </row>
        <row r="41">
          <cell r="A41">
            <v>1050</v>
          </cell>
          <cell r="D41">
            <v>0</v>
          </cell>
        </row>
        <row r="42">
          <cell r="A42" t="str">
            <v>Short-term Available-for-sale Investments</v>
          </cell>
          <cell r="D42">
            <v>0</v>
          </cell>
        </row>
        <row r="43">
          <cell r="A43">
            <v>1100</v>
          </cell>
          <cell r="D43">
            <v>0</v>
          </cell>
        </row>
        <row r="44">
          <cell r="A44">
            <v>1100</v>
          </cell>
          <cell r="D44">
            <v>691069.43</v>
          </cell>
        </row>
        <row r="45">
          <cell r="A45">
            <v>1100</v>
          </cell>
          <cell r="D45">
            <v>0</v>
          </cell>
        </row>
        <row r="46">
          <cell r="A46">
            <v>1100</v>
          </cell>
          <cell r="D46">
            <v>0</v>
          </cell>
        </row>
        <row r="47">
          <cell r="A47" t="str">
            <v>Accounts Receivable</v>
          </cell>
          <cell r="D47">
            <v>691069.43</v>
          </cell>
        </row>
        <row r="48">
          <cell r="A48" t="str">
            <v>IC_OTHER</v>
          </cell>
          <cell r="D48">
            <v>24807.25</v>
          </cell>
        </row>
        <row r="49">
          <cell r="A49" t="str">
            <v>IC_OTHER</v>
          </cell>
          <cell r="D49">
            <v>0</v>
          </cell>
        </row>
        <row r="50">
          <cell r="A50" t="str">
            <v>IC_OTHER</v>
          </cell>
          <cell r="D50">
            <v>162478.78</v>
          </cell>
        </row>
        <row r="51">
          <cell r="A51" t="str">
            <v>IC_OTHER</v>
          </cell>
          <cell r="D51">
            <v>0</v>
          </cell>
        </row>
        <row r="52">
          <cell r="A52" t="str">
            <v>IC_OTHER</v>
          </cell>
          <cell r="D52">
            <v>48274.92</v>
          </cell>
        </row>
        <row r="53">
          <cell r="A53" t="str">
            <v>IC_OTHER</v>
          </cell>
          <cell r="D53">
            <v>-18753.11</v>
          </cell>
        </row>
        <row r="54">
          <cell r="A54" t="str">
            <v>IC_OTHER</v>
          </cell>
          <cell r="D54">
            <v>340338.75</v>
          </cell>
        </row>
        <row r="55">
          <cell r="A55" t="str">
            <v>IC_OTHER</v>
          </cell>
          <cell r="D55">
            <v>57287.64</v>
          </cell>
        </row>
        <row r="56">
          <cell r="A56" t="str">
            <v>IC_OTHER</v>
          </cell>
          <cell r="D56">
            <v>-145</v>
          </cell>
        </row>
        <row r="57">
          <cell r="A57" t="str">
            <v>IC_OTHER</v>
          </cell>
          <cell r="D57">
            <v>152024.47</v>
          </cell>
        </row>
        <row r="58">
          <cell r="A58" t="str">
            <v>IC_OTHER</v>
          </cell>
          <cell r="D58">
            <v>398.43</v>
          </cell>
        </row>
        <row r="59">
          <cell r="A59" t="str">
            <v>IC_OTHER</v>
          </cell>
          <cell r="D59">
            <v>21308.1</v>
          </cell>
        </row>
        <row r="60">
          <cell r="A60" t="str">
            <v>IC_OTHER</v>
          </cell>
          <cell r="D60">
            <v>1218.75</v>
          </cell>
        </row>
        <row r="61">
          <cell r="A61" t="str">
            <v>IC_OTHER</v>
          </cell>
          <cell r="D61">
            <v>0</v>
          </cell>
        </row>
        <row r="62">
          <cell r="A62" t="str">
            <v>IC_OTHER</v>
          </cell>
          <cell r="D62">
            <v>-1359718</v>
          </cell>
        </row>
        <row r="63">
          <cell r="A63" t="str">
            <v>IC_OTHER</v>
          </cell>
          <cell r="D63">
            <v>0</v>
          </cell>
        </row>
        <row r="64">
          <cell r="A64" t="str">
            <v>IC_OTHER</v>
          </cell>
          <cell r="D64">
            <v>0</v>
          </cell>
        </row>
        <row r="65">
          <cell r="A65" t="str">
            <v>IC_OTHER</v>
          </cell>
          <cell r="D65">
            <v>-15844.51</v>
          </cell>
        </row>
        <row r="66">
          <cell r="A66" t="str">
            <v>IC_OTHER</v>
          </cell>
          <cell r="D66">
            <v>-17675.88</v>
          </cell>
        </row>
        <row r="67">
          <cell r="A67" t="str">
            <v>IC_OTHER</v>
          </cell>
          <cell r="D67">
            <v>66227.740000000005</v>
          </cell>
        </row>
        <row r="68">
          <cell r="A68" t="str">
            <v>IC_OTHER</v>
          </cell>
          <cell r="D68">
            <v>0</v>
          </cell>
        </row>
        <row r="69">
          <cell r="A69" t="str">
            <v>IC_OTHER</v>
          </cell>
          <cell r="D69">
            <v>0</v>
          </cell>
        </row>
        <row r="70">
          <cell r="A70" t="str">
            <v>IC_OTHER</v>
          </cell>
          <cell r="D70">
            <v>160000.57</v>
          </cell>
        </row>
        <row r="71">
          <cell r="A71" t="str">
            <v>IC_OTHER</v>
          </cell>
          <cell r="D71">
            <v>0</v>
          </cell>
        </row>
        <row r="72">
          <cell r="A72" t="str">
            <v>IC_OTHER</v>
          </cell>
          <cell r="D72">
            <v>0</v>
          </cell>
        </row>
        <row r="73">
          <cell r="A73" t="str">
            <v>IC_OTHER</v>
          </cell>
          <cell r="D73">
            <v>-962241.76</v>
          </cell>
        </row>
        <row r="74">
          <cell r="A74" t="str">
            <v>IC_OTHER</v>
          </cell>
          <cell r="D74">
            <v>0</v>
          </cell>
        </row>
        <row r="75">
          <cell r="A75" t="str">
            <v>IC_OTHER</v>
          </cell>
          <cell r="D75">
            <v>0</v>
          </cell>
        </row>
        <row r="76">
          <cell r="A76" t="str">
            <v>IC_OTHER</v>
          </cell>
          <cell r="D76">
            <v>-816672.65</v>
          </cell>
        </row>
        <row r="77">
          <cell r="A77" t="str">
            <v>IC_OTHER</v>
          </cell>
          <cell r="D77">
            <v>1493698.17</v>
          </cell>
        </row>
        <row r="78">
          <cell r="A78" t="str">
            <v>IC_OTHER</v>
          </cell>
          <cell r="D78">
            <v>-17668.91</v>
          </cell>
        </row>
        <row r="79">
          <cell r="A79" t="str">
            <v>IC_OTHER</v>
          </cell>
          <cell r="D79">
            <v>0</v>
          </cell>
        </row>
        <row r="80">
          <cell r="A80" t="str">
            <v>IC_OTHER</v>
          </cell>
          <cell r="D80">
            <v>0</v>
          </cell>
        </row>
        <row r="81">
          <cell r="A81" t="str">
            <v>IC_OTHER</v>
          </cell>
          <cell r="D81">
            <v>-26876.83</v>
          </cell>
        </row>
        <row r="82">
          <cell r="A82" t="str">
            <v>IC_OTHER</v>
          </cell>
          <cell r="D82">
            <v>-7674.62</v>
          </cell>
        </row>
        <row r="83">
          <cell r="A83" t="str">
            <v>IC_OTHER</v>
          </cell>
          <cell r="D83">
            <v>-3870.7</v>
          </cell>
        </row>
        <row r="84">
          <cell r="A84" t="str">
            <v>IC_OTHER</v>
          </cell>
          <cell r="D84">
            <v>0</v>
          </cell>
        </row>
        <row r="85">
          <cell r="A85" t="str">
            <v>IC_OTHER</v>
          </cell>
          <cell r="D85">
            <v>-21120</v>
          </cell>
        </row>
        <row r="86">
          <cell r="A86" t="str">
            <v>IC_OTHER</v>
          </cell>
          <cell r="D86">
            <v>-30000</v>
          </cell>
        </row>
        <row r="87">
          <cell r="A87" t="str">
            <v>IC_OTHER</v>
          </cell>
          <cell r="D87">
            <v>-34144.19</v>
          </cell>
        </row>
        <row r="88">
          <cell r="A88" t="str">
            <v>IC_OTHER</v>
          </cell>
          <cell r="D88">
            <v>-6509.6</v>
          </cell>
        </row>
        <row r="89">
          <cell r="A89" t="str">
            <v>IC_OTHER</v>
          </cell>
          <cell r="D89">
            <v>0</v>
          </cell>
        </row>
        <row r="90">
          <cell r="A90" t="str">
            <v>IC_OTHER</v>
          </cell>
          <cell r="D90">
            <v>0</v>
          </cell>
        </row>
        <row r="91">
          <cell r="A91" t="str">
            <v>IC_OTHER</v>
          </cell>
          <cell r="D91">
            <v>-233225.55</v>
          </cell>
        </row>
        <row r="92">
          <cell r="A92" t="str">
            <v>IC_OTHER</v>
          </cell>
          <cell r="D92">
            <v>0</v>
          </cell>
        </row>
        <row r="93">
          <cell r="A93" t="str">
            <v>IC_OTHER</v>
          </cell>
          <cell r="D93">
            <v>-82263</v>
          </cell>
        </row>
        <row r="94">
          <cell r="A94" t="str">
            <v>IC_OTHER</v>
          </cell>
          <cell r="D94">
            <v>0</v>
          </cell>
        </row>
        <row r="95">
          <cell r="A95" t="str">
            <v>Current Account + Royalty Payable</v>
          </cell>
          <cell r="D95">
            <v>-1126340.7399999998</v>
          </cell>
        </row>
        <row r="96">
          <cell r="A96">
            <v>1130</v>
          </cell>
          <cell r="D96">
            <v>0</v>
          </cell>
        </row>
        <row r="97">
          <cell r="A97">
            <v>1130</v>
          </cell>
          <cell r="D97">
            <v>0</v>
          </cell>
        </row>
        <row r="98">
          <cell r="A98">
            <v>1130</v>
          </cell>
          <cell r="D98">
            <v>-646.5</v>
          </cell>
        </row>
        <row r="99">
          <cell r="A99">
            <v>1130</v>
          </cell>
          <cell r="D99">
            <v>0</v>
          </cell>
        </row>
        <row r="100">
          <cell r="A100">
            <v>1130</v>
          </cell>
          <cell r="D100">
            <v>0</v>
          </cell>
        </row>
        <row r="101">
          <cell r="A101">
            <v>1130</v>
          </cell>
          <cell r="D101">
            <v>0</v>
          </cell>
        </row>
        <row r="102">
          <cell r="A102">
            <v>1130</v>
          </cell>
          <cell r="D102">
            <v>0</v>
          </cell>
        </row>
        <row r="103">
          <cell r="A103">
            <v>1130</v>
          </cell>
          <cell r="D103">
            <v>0</v>
          </cell>
        </row>
        <row r="104">
          <cell r="A104">
            <v>1130</v>
          </cell>
          <cell r="D104">
            <v>0</v>
          </cell>
        </row>
        <row r="105">
          <cell r="A105">
            <v>1130</v>
          </cell>
          <cell r="D105">
            <v>133948.79</v>
          </cell>
        </row>
        <row r="106">
          <cell r="A106">
            <v>1130</v>
          </cell>
          <cell r="D106">
            <v>0</v>
          </cell>
        </row>
        <row r="107">
          <cell r="A107">
            <v>1130</v>
          </cell>
          <cell r="D107">
            <v>1000</v>
          </cell>
        </row>
        <row r="108">
          <cell r="A108">
            <v>1130</v>
          </cell>
          <cell r="D108">
            <v>0</v>
          </cell>
        </row>
        <row r="109">
          <cell r="A109" t="str">
            <v>Notes &amp; Loans to Employees</v>
          </cell>
          <cell r="D109">
            <v>134302.29</v>
          </cell>
        </row>
        <row r="110">
          <cell r="A110">
            <v>1140</v>
          </cell>
          <cell r="D110">
            <v>0</v>
          </cell>
        </row>
        <row r="111">
          <cell r="A111">
            <v>1140</v>
          </cell>
          <cell r="D111">
            <v>0</v>
          </cell>
        </row>
        <row r="112">
          <cell r="A112">
            <v>1140</v>
          </cell>
          <cell r="D112">
            <v>3320.12</v>
          </cell>
        </row>
        <row r="113">
          <cell r="A113">
            <v>1140</v>
          </cell>
          <cell r="D113">
            <v>4333.32</v>
          </cell>
        </row>
        <row r="114">
          <cell r="A114">
            <v>1140</v>
          </cell>
          <cell r="D114">
            <v>24500</v>
          </cell>
        </row>
        <row r="115">
          <cell r="A115">
            <v>1140</v>
          </cell>
          <cell r="D115">
            <v>16100</v>
          </cell>
        </row>
        <row r="116">
          <cell r="A116" t="str">
            <v>Other Accounts Receivable</v>
          </cell>
          <cell r="D116">
            <v>7653.44</v>
          </cell>
        </row>
        <row r="117">
          <cell r="A117">
            <v>1145</v>
          </cell>
          <cell r="D117">
            <v>-29686</v>
          </cell>
        </row>
        <row r="118">
          <cell r="A118" t="str">
            <v>Other Accounts Receivable</v>
          </cell>
          <cell r="D118">
            <v>48253.440000000002</v>
          </cell>
        </row>
        <row r="119">
          <cell r="A119">
            <v>1150</v>
          </cell>
          <cell r="D119">
            <v>-40413.15</v>
          </cell>
        </row>
        <row r="120">
          <cell r="A120" t="str">
            <v>Reserve for Doubtful Accounts</v>
          </cell>
          <cell r="D120">
            <v>-40413.15</v>
          </cell>
        </row>
        <row r="121">
          <cell r="A121">
            <v>1200</v>
          </cell>
          <cell r="D121">
            <v>16496.29</v>
          </cell>
        </row>
        <row r="122">
          <cell r="A122" t="str">
            <v>Unbilled Contract Costs &amp; Fees</v>
          </cell>
          <cell r="D122">
            <v>16496.29</v>
          </cell>
        </row>
        <row r="123">
          <cell r="A123">
            <v>1300</v>
          </cell>
          <cell r="D123">
            <v>5979.06</v>
          </cell>
        </row>
        <row r="124">
          <cell r="A124">
            <v>1300</v>
          </cell>
          <cell r="D124">
            <v>0</v>
          </cell>
        </row>
        <row r="125">
          <cell r="A125">
            <v>1300</v>
          </cell>
          <cell r="D125">
            <v>19138.849999999999</v>
          </cell>
        </row>
        <row r="126">
          <cell r="A126">
            <v>1300</v>
          </cell>
          <cell r="D126">
            <v>8507.7199999999993</v>
          </cell>
        </row>
        <row r="127">
          <cell r="A127">
            <v>1300</v>
          </cell>
          <cell r="D127">
            <v>27865.279999999999</v>
          </cell>
        </row>
        <row r="128">
          <cell r="A128">
            <v>1300</v>
          </cell>
          <cell r="D128">
            <v>0</v>
          </cell>
        </row>
        <row r="129">
          <cell r="A129">
            <v>1300</v>
          </cell>
          <cell r="D129">
            <v>193617.5</v>
          </cell>
        </row>
        <row r="130">
          <cell r="A130">
            <v>1300</v>
          </cell>
          <cell r="D130">
            <v>1202670.03</v>
          </cell>
        </row>
        <row r="131">
          <cell r="A131">
            <v>1300</v>
          </cell>
          <cell r="D131">
            <v>304.41000000000003</v>
          </cell>
        </row>
        <row r="132">
          <cell r="A132">
            <v>1300</v>
          </cell>
          <cell r="D132">
            <v>1691.56</v>
          </cell>
        </row>
        <row r="133">
          <cell r="A133">
            <v>1300</v>
          </cell>
          <cell r="D133">
            <v>275.33999999999997</v>
          </cell>
        </row>
        <row r="134">
          <cell r="A134">
            <v>1300</v>
          </cell>
          <cell r="D134">
            <v>0</v>
          </cell>
        </row>
        <row r="135">
          <cell r="A135">
            <v>1300</v>
          </cell>
          <cell r="D135">
            <v>0</v>
          </cell>
        </row>
        <row r="136">
          <cell r="A136">
            <v>1300</v>
          </cell>
          <cell r="D136">
            <v>0</v>
          </cell>
        </row>
        <row r="137">
          <cell r="A137">
            <v>1300</v>
          </cell>
          <cell r="D137">
            <v>0</v>
          </cell>
        </row>
        <row r="138">
          <cell r="A138">
            <v>1300</v>
          </cell>
          <cell r="D138">
            <v>0</v>
          </cell>
        </row>
        <row r="139">
          <cell r="A139">
            <v>1300</v>
          </cell>
          <cell r="D139">
            <v>0</v>
          </cell>
        </row>
        <row r="140">
          <cell r="A140">
            <v>1300</v>
          </cell>
          <cell r="D140">
            <v>6453.14</v>
          </cell>
        </row>
        <row r="141">
          <cell r="A141">
            <v>1300</v>
          </cell>
          <cell r="D141">
            <v>0</v>
          </cell>
        </row>
        <row r="142">
          <cell r="A142">
            <v>1300</v>
          </cell>
          <cell r="D142">
            <v>0</v>
          </cell>
        </row>
        <row r="143">
          <cell r="A143">
            <v>1300</v>
          </cell>
          <cell r="D143">
            <v>82.68</v>
          </cell>
        </row>
        <row r="144">
          <cell r="A144">
            <v>1300</v>
          </cell>
          <cell r="D144">
            <v>0</v>
          </cell>
        </row>
        <row r="145">
          <cell r="A145">
            <v>1300</v>
          </cell>
          <cell r="D145">
            <v>11916.06</v>
          </cell>
        </row>
        <row r="146">
          <cell r="A146">
            <v>1300</v>
          </cell>
          <cell r="D146">
            <v>2031.58</v>
          </cell>
        </row>
        <row r="147">
          <cell r="A147">
            <v>1300</v>
          </cell>
          <cell r="D147">
            <v>0</v>
          </cell>
        </row>
        <row r="148">
          <cell r="A148">
            <v>1300</v>
          </cell>
          <cell r="D148">
            <v>636.61</v>
          </cell>
        </row>
        <row r="149">
          <cell r="A149">
            <v>1300</v>
          </cell>
          <cell r="D149">
            <v>969.07</v>
          </cell>
        </row>
        <row r="150">
          <cell r="A150">
            <v>1300</v>
          </cell>
          <cell r="D150">
            <v>299.37</v>
          </cell>
        </row>
        <row r="151">
          <cell r="A151">
            <v>1300</v>
          </cell>
          <cell r="D151">
            <v>52</v>
          </cell>
        </row>
        <row r="152">
          <cell r="A152">
            <v>1300</v>
          </cell>
          <cell r="D152">
            <v>0</v>
          </cell>
        </row>
        <row r="153">
          <cell r="A153">
            <v>1300</v>
          </cell>
          <cell r="D153">
            <v>0</v>
          </cell>
        </row>
        <row r="154">
          <cell r="A154">
            <v>1300</v>
          </cell>
          <cell r="D154">
            <v>0</v>
          </cell>
        </row>
        <row r="155">
          <cell r="A155">
            <v>1300</v>
          </cell>
          <cell r="D155">
            <v>1687.38</v>
          </cell>
        </row>
        <row r="156">
          <cell r="A156">
            <v>1300</v>
          </cell>
          <cell r="D156">
            <v>3783.11</v>
          </cell>
        </row>
        <row r="157">
          <cell r="A157">
            <v>1300</v>
          </cell>
          <cell r="D157">
            <v>973.35</v>
          </cell>
        </row>
        <row r="158">
          <cell r="A158">
            <v>1300</v>
          </cell>
          <cell r="D158">
            <v>0</v>
          </cell>
        </row>
        <row r="159">
          <cell r="A159">
            <v>1300</v>
          </cell>
          <cell r="D159">
            <v>0</v>
          </cell>
        </row>
        <row r="160">
          <cell r="A160">
            <v>1300</v>
          </cell>
          <cell r="D160">
            <v>74189.34</v>
          </cell>
        </row>
        <row r="161">
          <cell r="A161">
            <v>1300</v>
          </cell>
          <cell r="D161">
            <v>680.49</v>
          </cell>
        </row>
        <row r="162">
          <cell r="A162">
            <v>1300</v>
          </cell>
          <cell r="D162">
            <v>0</v>
          </cell>
        </row>
        <row r="163">
          <cell r="A163">
            <v>1300</v>
          </cell>
          <cell r="D163">
            <v>0</v>
          </cell>
        </row>
        <row r="164">
          <cell r="A164">
            <v>1300</v>
          </cell>
          <cell r="D164">
            <v>0</v>
          </cell>
        </row>
        <row r="165">
          <cell r="A165">
            <v>1300</v>
          </cell>
          <cell r="D165">
            <v>0</v>
          </cell>
        </row>
        <row r="166">
          <cell r="A166">
            <v>1300</v>
          </cell>
          <cell r="D166">
            <v>29000.36</v>
          </cell>
        </row>
        <row r="167">
          <cell r="A167">
            <v>1300</v>
          </cell>
          <cell r="D167">
            <v>0</v>
          </cell>
        </row>
        <row r="168">
          <cell r="A168">
            <v>1300</v>
          </cell>
          <cell r="D168">
            <v>0</v>
          </cell>
        </row>
        <row r="169">
          <cell r="A169">
            <v>1300</v>
          </cell>
          <cell r="D169">
            <v>132570.5</v>
          </cell>
        </row>
        <row r="170">
          <cell r="A170">
            <v>1300</v>
          </cell>
          <cell r="D170">
            <v>-39454.07</v>
          </cell>
        </row>
        <row r="171">
          <cell r="A171" t="str">
            <v>Inventory - RM &amp; FG, Gross</v>
          </cell>
          <cell r="D171">
            <v>1685920.7200000004</v>
          </cell>
        </row>
        <row r="172">
          <cell r="A172">
            <v>1310</v>
          </cell>
          <cell r="D172">
            <v>0</v>
          </cell>
        </row>
        <row r="173">
          <cell r="A173">
            <v>1310</v>
          </cell>
          <cell r="D173">
            <v>0</v>
          </cell>
        </row>
        <row r="174">
          <cell r="A174">
            <v>1310</v>
          </cell>
          <cell r="D174">
            <v>8655.7999999999993</v>
          </cell>
        </row>
        <row r="175">
          <cell r="A175">
            <v>1310</v>
          </cell>
          <cell r="D175">
            <v>0</v>
          </cell>
        </row>
        <row r="176">
          <cell r="A176">
            <v>1310</v>
          </cell>
          <cell r="D176">
            <v>10290.25</v>
          </cell>
        </row>
        <row r="177">
          <cell r="A177">
            <v>1310</v>
          </cell>
          <cell r="D177">
            <v>0</v>
          </cell>
        </row>
        <row r="178">
          <cell r="A178">
            <v>1310</v>
          </cell>
          <cell r="D178">
            <v>0</v>
          </cell>
        </row>
        <row r="179">
          <cell r="A179">
            <v>1310</v>
          </cell>
          <cell r="D179">
            <v>0</v>
          </cell>
        </row>
        <row r="180">
          <cell r="A180">
            <v>1310</v>
          </cell>
          <cell r="D180">
            <v>15557.83</v>
          </cell>
        </row>
        <row r="181">
          <cell r="A181">
            <v>1310</v>
          </cell>
          <cell r="D181">
            <v>0</v>
          </cell>
        </row>
        <row r="182">
          <cell r="A182">
            <v>1310</v>
          </cell>
          <cell r="D182">
            <v>0</v>
          </cell>
        </row>
        <row r="183">
          <cell r="A183">
            <v>1310</v>
          </cell>
          <cell r="D183">
            <v>35.31</v>
          </cell>
        </row>
        <row r="184">
          <cell r="A184">
            <v>1310</v>
          </cell>
          <cell r="D184">
            <v>0</v>
          </cell>
        </row>
        <row r="185">
          <cell r="A185">
            <v>1310</v>
          </cell>
          <cell r="D185">
            <v>3962.1</v>
          </cell>
        </row>
        <row r="186">
          <cell r="A186">
            <v>1310</v>
          </cell>
          <cell r="D186">
            <v>0</v>
          </cell>
        </row>
        <row r="187">
          <cell r="A187">
            <v>1310</v>
          </cell>
          <cell r="D187">
            <v>941.11</v>
          </cell>
        </row>
        <row r="188">
          <cell r="A188">
            <v>1310</v>
          </cell>
          <cell r="D188">
            <v>0</v>
          </cell>
        </row>
        <row r="189">
          <cell r="A189">
            <v>1310</v>
          </cell>
          <cell r="D189">
            <v>0</v>
          </cell>
        </row>
        <row r="190">
          <cell r="A190">
            <v>1310</v>
          </cell>
          <cell r="D190">
            <v>0</v>
          </cell>
        </row>
        <row r="191">
          <cell r="A191">
            <v>1310</v>
          </cell>
          <cell r="D191">
            <v>2351.14</v>
          </cell>
        </row>
        <row r="192">
          <cell r="A192">
            <v>1310</v>
          </cell>
          <cell r="D192">
            <v>1257.21</v>
          </cell>
        </row>
        <row r="193">
          <cell r="A193">
            <v>1310</v>
          </cell>
          <cell r="D193">
            <v>36604.410000000003</v>
          </cell>
        </row>
        <row r="194">
          <cell r="A194">
            <v>1310</v>
          </cell>
          <cell r="D194">
            <v>0</v>
          </cell>
        </row>
        <row r="195">
          <cell r="A195">
            <v>1310</v>
          </cell>
          <cell r="D195">
            <v>0</v>
          </cell>
        </row>
        <row r="196">
          <cell r="A196">
            <v>1310</v>
          </cell>
          <cell r="D196">
            <v>1012.8</v>
          </cell>
        </row>
        <row r="197">
          <cell r="A197">
            <v>1310</v>
          </cell>
          <cell r="D197">
            <v>7755.45</v>
          </cell>
        </row>
        <row r="198">
          <cell r="A198">
            <v>1310</v>
          </cell>
          <cell r="D198">
            <v>373.65</v>
          </cell>
        </row>
        <row r="199">
          <cell r="A199">
            <v>1310</v>
          </cell>
          <cell r="D199">
            <v>0</v>
          </cell>
        </row>
        <row r="200">
          <cell r="A200">
            <v>1310</v>
          </cell>
          <cell r="D200">
            <v>674.84</v>
          </cell>
        </row>
        <row r="201">
          <cell r="A201">
            <v>1310</v>
          </cell>
          <cell r="D201">
            <v>0</v>
          </cell>
        </row>
        <row r="202">
          <cell r="A202">
            <v>1310</v>
          </cell>
          <cell r="D202">
            <v>0</v>
          </cell>
        </row>
        <row r="203">
          <cell r="A203">
            <v>1310</v>
          </cell>
          <cell r="D203">
            <v>0</v>
          </cell>
        </row>
        <row r="204">
          <cell r="A204">
            <v>1310</v>
          </cell>
          <cell r="D204">
            <v>285.82</v>
          </cell>
        </row>
        <row r="205">
          <cell r="A205">
            <v>1310</v>
          </cell>
          <cell r="D205">
            <v>24672.92</v>
          </cell>
        </row>
        <row r="206">
          <cell r="A206">
            <v>1310</v>
          </cell>
          <cell r="D206">
            <v>0</v>
          </cell>
        </row>
        <row r="207">
          <cell r="A207">
            <v>1310</v>
          </cell>
          <cell r="D207">
            <v>0</v>
          </cell>
        </row>
        <row r="208">
          <cell r="A208">
            <v>1310</v>
          </cell>
          <cell r="D208">
            <v>37923.870000000003</v>
          </cell>
        </row>
        <row r="209">
          <cell r="A209">
            <v>1310</v>
          </cell>
          <cell r="D209">
            <v>0</v>
          </cell>
        </row>
        <row r="210">
          <cell r="A210">
            <v>1310</v>
          </cell>
          <cell r="D210">
            <v>0</v>
          </cell>
        </row>
        <row r="211">
          <cell r="A211">
            <v>1310</v>
          </cell>
          <cell r="D211">
            <v>1560.64</v>
          </cell>
        </row>
        <row r="212">
          <cell r="A212">
            <v>1310</v>
          </cell>
          <cell r="D212">
            <v>0</v>
          </cell>
        </row>
        <row r="213">
          <cell r="A213">
            <v>1310</v>
          </cell>
          <cell r="D213">
            <v>0</v>
          </cell>
        </row>
        <row r="214">
          <cell r="A214">
            <v>1310</v>
          </cell>
          <cell r="D214">
            <v>0</v>
          </cell>
        </row>
        <row r="215">
          <cell r="A215">
            <v>1310</v>
          </cell>
          <cell r="D215">
            <v>0</v>
          </cell>
        </row>
        <row r="216">
          <cell r="A216">
            <v>1310</v>
          </cell>
          <cell r="D216">
            <v>0</v>
          </cell>
        </row>
        <row r="217">
          <cell r="A217">
            <v>1310</v>
          </cell>
          <cell r="D217">
            <v>0</v>
          </cell>
        </row>
        <row r="218">
          <cell r="A218">
            <v>1310</v>
          </cell>
          <cell r="D218">
            <v>0</v>
          </cell>
        </row>
        <row r="219">
          <cell r="A219">
            <v>1310</v>
          </cell>
          <cell r="D219">
            <v>0</v>
          </cell>
        </row>
        <row r="220">
          <cell r="A220">
            <v>1310</v>
          </cell>
          <cell r="D220">
            <v>0</v>
          </cell>
        </row>
        <row r="221">
          <cell r="A221">
            <v>1310</v>
          </cell>
          <cell r="D221">
            <v>-845.64</v>
          </cell>
        </row>
        <row r="222">
          <cell r="A222">
            <v>1310</v>
          </cell>
          <cell r="D222">
            <v>0</v>
          </cell>
        </row>
        <row r="223">
          <cell r="A223">
            <v>1310</v>
          </cell>
          <cell r="D223">
            <v>474.11</v>
          </cell>
        </row>
        <row r="224">
          <cell r="A224">
            <v>1310</v>
          </cell>
          <cell r="D224">
            <v>0</v>
          </cell>
        </row>
        <row r="225">
          <cell r="A225">
            <v>1310</v>
          </cell>
          <cell r="D225">
            <v>0</v>
          </cell>
        </row>
        <row r="226">
          <cell r="A226">
            <v>1310</v>
          </cell>
          <cell r="D226">
            <v>0</v>
          </cell>
        </row>
        <row r="227">
          <cell r="A227">
            <v>1310</v>
          </cell>
          <cell r="D227">
            <v>-1522.28</v>
          </cell>
        </row>
        <row r="228">
          <cell r="A228">
            <v>1310</v>
          </cell>
          <cell r="D228">
            <v>0</v>
          </cell>
        </row>
        <row r="229">
          <cell r="A229">
            <v>1310</v>
          </cell>
          <cell r="D229">
            <v>0</v>
          </cell>
        </row>
        <row r="230">
          <cell r="A230">
            <v>1310</v>
          </cell>
          <cell r="D230">
            <v>-15.15</v>
          </cell>
        </row>
        <row r="231">
          <cell r="A231">
            <v>1310</v>
          </cell>
          <cell r="D231">
            <v>0</v>
          </cell>
        </row>
        <row r="232">
          <cell r="A232">
            <v>1310</v>
          </cell>
          <cell r="D232">
            <v>0</v>
          </cell>
        </row>
        <row r="233">
          <cell r="A233">
            <v>1310</v>
          </cell>
          <cell r="D233">
            <v>0</v>
          </cell>
        </row>
        <row r="234">
          <cell r="A234">
            <v>1310</v>
          </cell>
          <cell r="D234">
            <v>-865.24</v>
          </cell>
        </row>
        <row r="235">
          <cell r="A235">
            <v>1310</v>
          </cell>
          <cell r="D235">
            <v>0</v>
          </cell>
        </row>
        <row r="236">
          <cell r="A236">
            <v>1310</v>
          </cell>
          <cell r="D236">
            <v>132.58000000000001</v>
          </cell>
        </row>
        <row r="237">
          <cell r="A237">
            <v>1310</v>
          </cell>
          <cell r="D237">
            <v>0</v>
          </cell>
        </row>
        <row r="238">
          <cell r="A238">
            <v>1310</v>
          </cell>
          <cell r="D238">
            <v>0</v>
          </cell>
        </row>
        <row r="239">
          <cell r="A239">
            <v>1310</v>
          </cell>
          <cell r="D239">
            <v>0</v>
          </cell>
        </row>
        <row r="240">
          <cell r="A240">
            <v>1310</v>
          </cell>
          <cell r="D240">
            <v>482.86</v>
          </cell>
        </row>
        <row r="241">
          <cell r="A241">
            <v>1310</v>
          </cell>
          <cell r="D241">
            <v>258.99</v>
          </cell>
        </row>
        <row r="242">
          <cell r="A242">
            <v>1310</v>
          </cell>
          <cell r="D242">
            <v>-836.79</v>
          </cell>
        </row>
        <row r="243">
          <cell r="A243">
            <v>1310</v>
          </cell>
          <cell r="D243">
            <v>0</v>
          </cell>
        </row>
        <row r="244">
          <cell r="A244">
            <v>1310</v>
          </cell>
          <cell r="D244">
            <v>0</v>
          </cell>
        </row>
        <row r="245">
          <cell r="A245">
            <v>1310</v>
          </cell>
          <cell r="D245">
            <v>63.49</v>
          </cell>
        </row>
        <row r="246">
          <cell r="A246">
            <v>1310</v>
          </cell>
          <cell r="D246">
            <v>-481.8</v>
          </cell>
        </row>
        <row r="247">
          <cell r="A247">
            <v>1310</v>
          </cell>
          <cell r="D247">
            <v>83.03</v>
          </cell>
        </row>
        <row r="248">
          <cell r="A248">
            <v>1310</v>
          </cell>
          <cell r="D248">
            <v>0</v>
          </cell>
        </row>
        <row r="249">
          <cell r="A249">
            <v>1310</v>
          </cell>
          <cell r="D249">
            <v>-163.28</v>
          </cell>
        </row>
        <row r="250">
          <cell r="A250">
            <v>1310</v>
          </cell>
          <cell r="D250">
            <v>0</v>
          </cell>
        </row>
        <row r="251">
          <cell r="A251">
            <v>1310</v>
          </cell>
          <cell r="D251">
            <v>0</v>
          </cell>
        </row>
        <row r="252">
          <cell r="A252">
            <v>1310</v>
          </cell>
          <cell r="D252">
            <v>0</v>
          </cell>
        </row>
        <row r="253">
          <cell r="A253">
            <v>1310</v>
          </cell>
          <cell r="D253">
            <v>-114.64</v>
          </cell>
        </row>
        <row r="254">
          <cell r="A254">
            <v>1310</v>
          </cell>
          <cell r="D254">
            <v>258.13</v>
          </cell>
        </row>
        <row r="255">
          <cell r="A255">
            <v>1310</v>
          </cell>
          <cell r="D255">
            <v>0</v>
          </cell>
        </row>
        <row r="256">
          <cell r="A256">
            <v>1310</v>
          </cell>
          <cell r="D256">
            <v>0</v>
          </cell>
        </row>
        <row r="257">
          <cell r="A257">
            <v>1310</v>
          </cell>
          <cell r="D257">
            <v>534.23</v>
          </cell>
        </row>
        <row r="258">
          <cell r="A258">
            <v>1310</v>
          </cell>
          <cell r="D258">
            <v>0</v>
          </cell>
        </row>
        <row r="259">
          <cell r="A259">
            <v>1310</v>
          </cell>
          <cell r="D259">
            <v>0</v>
          </cell>
        </row>
        <row r="260">
          <cell r="A260">
            <v>1310</v>
          </cell>
          <cell r="D260">
            <v>21.25</v>
          </cell>
        </row>
        <row r="261">
          <cell r="A261">
            <v>1310</v>
          </cell>
          <cell r="D261">
            <v>0</v>
          </cell>
        </row>
        <row r="262">
          <cell r="A262">
            <v>1310</v>
          </cell>
          <cell r="D262">
            <v>0</v>
          </cell>
        </row>
        <row r="263">
          <cell r="A263">
            <v>1310</v>
          </cell>
          <cell r="D263">
            <v>0</v>
          </cell>
        </row>
        <row r="264">
          <cell r="A264">
            <v>1310</v>
          </cell>
          <cell r="D264">
            <v>0</v>
          </cell>
        </row>
        <row r="265">
          <cell r="A265">
            <v>1310</v>
          </cell>
          <cell r="D265">
            <v>0</v>
          </cell>
        </row>
        <row r="266">
          <cell r="A266">
            <v>1310</v>
          </cell>
          <cell r="D266">
            <v>0</v>
          </cell>
        </row>
        <row r="267">
          <cell r="A267">
            <v>1310</v>
          </cell>
          <cell r="D267">
            <v>-2989.83</v>
          </cell>
        </row>
        <row r="268">
          <cell r="A268">
            <v>1310</v>
          </cell>
          <cell r="D268">
            <v>0</v>
          </cell>
        </row>
        <row r="269">
          <cell r="A269">
            <v>1310</v>
          </cell>
          <cell r="D269">
            <v>1541.48</v>
          </cell>
        </row>
        <row r="270">
          <cell r="A270">
            <v>1310</v>
          </cell>
          <cell r="D270">
            <v>0</v>
          </cell>
        </row>
        <row r="271">
          <cell r="A271">
            <v>1310</v>
          </cell>
          <cell r="D271">
            <v>0</v>
          </cell>
        </row>
        <row r="272">
          <cell r="A272">
            <v>1310</v>
          </cell>
          <cell r="D272">
            <v>0</v>
          </cell>
        </row>
        <row r="273">
          <cell r="A273">
            <v>1310</v>
          </cell>
          <cell r="D273">
            <v>-5809.31</v>
          </cell>
        </row>
        <row r="274">
          <cell r="A274">
            <v>1310</v>
          </cell>
          <cell r="D274">
            <v>0</v>
          </cell>
        </row>
        <row r="275">
          <cell r="A275">
            <v>1310</v>
          </cell>
          <cell r="D275">
            <v>0</v>
          </cell>
        </row>
        <row r="276">
          <cell r="A276">
            <v>1310</v>
          </cell>
          <cell r="D276">
            <v>-20.16</v>
          </cell>
        </row>
        <row r="277">
          <cell r="A277">
            <v>1310</v>
          </cell>
          <cell r="D277">
            <v>0</v>
          </cell>
        </row>
        <row r="278">
          <cell r="A278">
            <v>1310</v>
          </cell>
          <cell r="D278">
            <v>0</v>
          </cell>
        </row>
        <row r="279">
          <cell r="A279">
            <v>1310</v>
          </cell>
          <cell r="D279">
            <v>0</v>
          </cell>
        </row>
        <row r="280">
          <cell r="A280">
            <v>1310</v>
          </cell>
          <cell r="D280">
            <v>-3096.86</v>
          </cell>
        </row>
        <row r="281">
          <cell r="A281">
            <v>1310</v>
          </cell>
          <cell r="D281">
            <v>0</v>
          </cell>
        </row>
        <row r="282">
          <cell r="A282">
            <v>1310</v>
          </cell>
          <cell r="D282">
            <v>280.48</v>
          </cell>
        </row>
        <row r="283">
          <cell r="A283">
            <v>1310</v>
          </cell>
          <cell r="D283">
            <v>0</v>
          </cell>
        </row>
        <row r="284">
          <cell r="A284">
            <v>1310</v>
          </cell>
          <cell r="D284">
            <v>0</v>
          </cell>
        </row>
        <row r="285">
          <cell r="A285">
            <v>1310</v>
          </cell>
          <cell r="D285">
            <v>0</v>
          </cell>
        </row>
        <row r="286">
          <cell r="A286">
            <v>1310</v>
          </cell>
          <cell r="D286">
            <v>1088.51</v>
          </cell>
        </row>
        <row r="287">
          <cell r="A287">
            <v>1310</v>
          </cell>
          <cell r="D287">
            <v>1209.44</v>
          </cell>
        </row>
        <row r="288">
          <cell r="A288">
            <v>1310</v>
          </cell>
          <cell r="D288">
            <v>-2443.75</v>
          </cell>
        </row>
        <row r="289">
          <cell r="A289">
            <v>1310</v>
          </cell>
          <cell r="D289">
            <v>0</v>
          </cell>
        </row>
        <row r="290">
          <cell r="A290">
            <v>1310</v>
          </cell>
          <cell r="D290">
            <v>0</v>
          </cell>
        </row>
        <row r="291">
          <cell r="A291">
            <v>1310</v>
          </cell>
          <cell r="D291">
            <v>217.01</v>
          </cell>
        </row>
        <row r="292">
          <cell r="A292">
            <v>1310</v>
          </cell>
          <cell r="D292">
            <v>-2587.39</v>
          </cell>
        </row>
        <row r="293">
          <cell r="A293">
            <v>1310</v>
          </cell>
          <cell r="D293">
            <v>221.7</v>
          </cell>
        </row>
        <row r="294">
          <cell r="A294">
            <v>1310</v>
          </cell>
          <cell r="D294">
            <v>0</v>
          </cell>
        </row>
        <row r="295">
          <cell r="A295">
            <v>1310</v>
          </cell>
          <cell r="D295">
            <v>-448.99</v>
          </cell>
        </row>
        <row r="296">
          <cell r="A296">
            <v>1310</v>
          </cell>
          <cell r="D296">
            <v>0</v>
          </cell>
        </row>
        <row r="297">
          <cell r="A297">
            <v>1310</v>
          </cell>
          <cell r="D297">
            <v>0</v>
          </cell>
        </row>
        <row r="298">
          <cell r="A298">
            <v>1310</v>
          </cell>
          <cell r="D298">
            <v>0</v>
          </cell>
        </row>
        <row r="299">
          <cell r="A299">
            <v>1310</v>
          </cell>
          <cell r="D299">
            <v>-151.22999999999999</v>
          </cell>
        </row>
        <row r="300">
          <cell r="A300">
            <v>1310</v>
          </cell>
          <cell r="D300">
            <v>-558.24</v>
          </cell>
        </row>
        <row r="301">
          <cell r="A301">
            <v>1310</v>
          </cell>
          <cell r="D301">
            <v>0</v>
          </cell>
        </row>
        <row r="302">
          <cell r="A302">
            <v>1310</v>
          </cell>
          <cell r="D302">
            <v>0</v>
          </cell>
        </row>
        <row r="303">
          <cell r="A303">
            <v>1310</v>
          </cell>
          <cell r="D303">
            <v>697.61</v>
          </cell>
        </row>
        <row r="304">
          <cell r="A304">
            <v>1310</v>
          </cell>
          <cell r="D304">
            <v>0</v>
          </cell>
        </row>
        <row r="305">
          <cell r="A305">
            <v>1310</v>
          </cell>
          <cell r="D305">
            <v>0</v>
          </cell>
        </row>
        <row r="306">
          <cell r="A306">
            <v>1310</v>
          </cell>
          <cell r="D306">
            <v>60.79</v>
          </cell>
        </row>
        <row r="307">
          <cell r="A307">
            <v>1310</v>
          </cell>
          <cell r="D307">
            <v>0</v>
          </cell>
        </row>
        <row r="308">
          <cell r="A308">
            <v>1310</v>
          </cell>
          <cell r="D308">
            <v>0</v>
          </cell>
        </row>
        <row r="309">
          <cell r="A309">
            <v>1310</v>
          </cell>
          <cell r="D309">
            <v>0</v>
          </cell>
        </row>
        <row r="310">
          <cell r="A310">
            <v>1310</v>
          </cell>
          <cell r="D310">
            <v>0</v>
          </cell>
        </row>
        <row r="311">
          <cell r="A311">
            <v>1310</v>
          </cell>
          <cell r="D311">
            <v>0</v>
          </cell>
        </row>
        <row r="312">
          <cell r="A312">
            <v>1310</v>
          </cell>
          <cell r="D312">
            <v>0</v>
          </cell>
        </row>
        <row r="313">
          <cell r="A313">
            <v>1310</v>
          </cell>
          <cell r="D313">
            <v>0</v>
          </cell>
        </row>
        <row r="314">
          <cell r="A314">
            <v>1310</v>
          </cell>
          <cell r="D314">
            <v>8141.07</v>
          </cell>
        </row>
        <row r="315">
          <cell r="A315">
            <v>1310</v>
          </cell>
          <cell r="D315">
            <v>0</v>
          </cell>
        </row>
        <row r="316">
          <cell r="A316">
            <v>1310</v>
          </cell>
          <cell r="D316">
            <v>-2774.67</v>
          </cell>
        </row>
        <row r="317">
          <cell r="A317">
            <v>1310</v>
          </cell>
          <cell r="D317">
            <v>0</v>
          </cell>
        </row>
        <row r="318">
          <cell r="A318">
            <v>1310</v>
          </cell>
          <cell r="D318">
            <v>0</v>
          </cell>
        </row>
        <row r="319">
          <cell r="A319">
            <v>1310</v>
          </cell>
          <cell r="D319">
            <v>0</v>
          </cell>
        </row>
        <row r="320">
          <cell r="A320">
            <v>1310</v>
          </cell>
          <cell r="D320">
            <v>314.77</v>
          </cell>
        </row>
        <row r="321">
          <cell r="A321">
            <v>1310</v>
          </cell>
          <cell r="D321">
            <v>0</v>
          </cell>
        </row>
        <row r="322">
          <cell r="A322">
            <v>1310</v>
          </cell>
          <cell r="D322">
            <v>0</v>
          </cell>
        </row>
        <row r="323">
          <cell r="A323">
            <v>1310</v>
          </cell>
          <cell r="D323">
            <v>0</v>
          </cell>
        </row>
        <row r="324">
          <cell r="A324">
            <v>1310</v>
          </cell>
          <cell r="D324">
            <v>0</v>
          </cell>
        </row>
        <row r="325">
          <cell r="A325">
            <v>1310</v>
          </cell>
          <cell r="D325">
            <v>0</v>
          </cell>
        </row>
        <row r="326">
          <cell r="A326">
            <v>1310</v>
          </cell>
          <cell r="D326">
            <v>0</v>
          </cell>
        </row>
        <row r="327">
          <cell r="A327">
            <v>1310</v>
          </cell>
          <cell r="D327">
            <v>0</v>
          </cell>
        </row>
        <row r="328">
          <cell r="A328">
            <v>1310</v>
          </cell>
          <cell r="D328">
            <v>0</v>
          </cell>
        </row>
        <row r="329">
          <cell r="A329">
            <v>1310</v>
          </cell>
          <cell r="D329">
            <v>309.18</v>
          </cell>
        </row>
        <row r="330">
          <cell r="A330">
            <v>1310</v>
          </cell>
          <cell r="D330">
            <v>0</v>
          </cell>
        </row>
        <row r="331">
          <cell r="A331">
            <v>1310</v>
          </cell>
          <cell r="D331">
            <v>0</v>
          </cell>
        </row>
        <row r="332">
          <cell r="A332">
            <v>1310</v>
          </cell>
          <cell r="D332">
            <v>0</v>
          </cell>
        </row>
        <row r="333">
          <cell r="A333">
            <v>1310</v>
          </cell>
          <cell r="D333">
            <v>19.8</v>
          </cell>
        </row>
        <row r="334">
          <cell r="A334">
            <v>1310</v>
          </cell>
          <cell r="D334">
            <v>24.5</v>
          </cell>
        </row>
        <row r="335">
          <cell r="A335">
            <v>1310</v>
          </cell>
          <cell r="D335">
            <v>-798.08</v>
          </cell>
        </row>
        <row r="336">
          <cell r="A336">
            <v>1310</v>
          </cell>
          <cell r="D336">
            <v>0</v>
          </cell>
        </row>
        <row r="337">
          <cell r="A337">
            <v>1310</v>
          </cell>
          <cell r="D337">
            <v>0</v>
          </cell>
        </row>
        <row r="338">
          <cell r="A338">
            <v>1310</v>
          </cell>
          <cell r="D338">
            <v>0</v>
          </cell>
        </row>
        <row r="339">
          <cell r="A339">
            <v>1310</v>
          </cell>
          <cell r="D339">
            <v>-100.07</v>
          </cell>
        </row>
        <row r="340">
          <cell r="A340">
            <v>1310</v>
          </cell>
          <cell r="D340">
            <v>44.8</v>
          </cell>
        </row>
        <row r="341">
          <cell r="A341">
            <v>1310</v>
          </cell>
          <cell r="D341">
            <v>0</v>
          </cell>
        </row>
        <row r="342">
          <cell r="A342">
            <v>1310</v>
          </cell>
          <cell r="D342">
            <v>-62.57</v>
          </cell>
        </row>
        <row r="343">
          <cell r="A343">
            <v>1310</v>
          </cell>
          <cell r="D343">
            <v>0</v>
          </cell>
        </row>
        <row r="344">
          <cell r="A344">
            <v>1310</v>
          </cell>
          <cell r="D344">
            <v>0</v>
          </cell>
        </row>
        <row r="345">
          <cell r="A345">
            <v>1310</v>
          </cell>
          <cell r="D345">
            <v>0</v>
          </cell>
        </row>
        <row r="346">
          <cell r="A346">
            <v>1310</v>
          </cell>
          <cell r="D346">
            <v>-19.95</v>
          </cell>
        </row>
        <row r="347">
          <cell r="A347">
            <v>1310</v>
          </cell>
          <cell r="D347">
            <v>-766.61</v>
          </cell>
        </row>
        <row r="348">
          <cell r="A348">
            <v>1310</v>
          </cell>
          <cell r="D348">
            <v>0</v>
          </cell>
        </row>
        <row r="349">
          <cell r="A349">
            <v>1310</v>
          </cell>
          <cell r="D349">
            <v>0</v>
          </cell>
        </row>
        <row r="350">
          <cell r="A350">
            <v>1310</v>
          </cell>
          <cell r="D350">
            <v>-448.02</v>
          </cell>
        </row>
        <row r="351">
          <cell r="A351">
            <v>1310</v>
          </cell>
          <cell r="D351">
            <v>0</v>
          </cell>
        </row>
        <row r="352">
          <cell r="A352">
            <v>1310</v>
          </cell>
          <cell r="D352">
            <v>0</v>
          </cell>
        </row>
        <row r="353">
          <cell r="A353">
            <v>1310</v>
          </cell>
          <cell r="D353">
            <v>202.02</v>
          </cell>
        </row>
        <row r="354">
          <cell r="A354">
            <v>1310</v>
          </cell>
          <cell r="D354">
            <v>0</v>
          </cell>
        </row>
        <row r="355">
          <cell r="A355">
            <v>1310</v>
          </cell>
          <cell r="D355">
            <v>0</v>
          </cell>
        </row>
        <row r="356">
          <cell r="A356">
            <v>1310</v>
          </cell>
          <cell r="D356">
            <v>0</v>
          </cell>
        </row>
        <row r="357">
          <cell r="A357">
            <v>1310</v>
          </cell>
          <cell r="D357">
            <v>0</v>
          </cell>
        </row>
        <row r="358">
          <cell r="A358">
            <v>1310</v>
          </cell>
          <cell r="D358">
            <v>0</v>
          </cell>
        </row>
        <row r="359">
          <cell r="A359">
            <v>1310</v>
          </cell>
          <cell r="D359">
            <v>0</v>
          </cell>
        </row>
        <row r="360">
          <cell r="A360" t="str">
            <v>Inventory - Work-in-process, Gross</v>
          </cell>
          <cell r="D360">
            <v>142676.43</v>
          </cell>
        </row>
        <row r="361">
          <cell r="A361">
            <v>1325</v>
          </cell>
          <cell r="D361">
            <v>-532221</v>
          </cell>
        </row>
        <row r="362">
          <cell r="A362" t="str">
            <v>Inventory Reserve</v>
          </cell>
          <cell r="D362">
            <v>-532221</v>
          </cell>
        </row>
        <row r="363">
          <cell r="A363">
            <v>1405</v>
          </cell>
          <cell r="D363">
            <v>0</v>
          </cell>
        </row>
        <row r="364">
          <cell r="A364">
            <v>1405</v>
          </cell>
          <cell r="D364">
            <v>52.87</v>
          </cell>
        </row>
        <row r="365">
          <cell r="A365">
            <v>1405</v>
          </cell>
          <cell r="D365">
            <v>164236.96</v>
          </cell>
        </row>
        <row r="366">
          <cell r="A366">
            <v>1405</v>
          </cell>
          <cell r="D366">
            <v>8089.29</v>
          </cell>
        </row>
        <row r="367">
          <cell r="A367">
            <v>1405</v>
          </cell>
          <cell r="D367">
            <v>0</v>
          </cell>
        </row>
        <row r="368">
          <cell r="A368">
            <v>1405</v>
          </cell>
          <cell r="D368">
            <v>0</v>
          </cell>
        </row>
        <row r="369">
          <cell r="A369">
            <v>1405</v>
          </cell>
          <cell r="D369">
            <v>0</v>
          </cell>
        </row>
        <row r="370">
          <cell r="A370">
            <v>1405</v>
          </cell>
          <cell r="D370">
            <v>0</v>
          </cell>
        </row>
        <row r="371">
          <cell r="A371">
            <v>1405</v>
          </cell>
          <cell r="D371">
            <v>-60789.29</v>
          </cell>
        </row>
        <row r="372">
          <cell r="A372">
            <v>1405</v>
          </cell>
          <cell r="D372">
            <v>0</v>
          </cell>
        </row>
        <row r="373">
          <cell r="A373">
            <v>1405</v>
          </cell>
          <cell r="D373">
            <v>-62513</v>
          </cell>
        </row>
        <row r="374">
          <cell r="A374" t="str">
            <v>VAT Receivable</v>
          </cell>
          <cell r="D374">
            <v>49076.829999999987</v>
          </cell>
        </row>
        <row r="375">
          <cell r="A375">
            <v>1410</v>
          </cell>
          <cell r="D375">
            <v>888.47</v>
          </cell>
        </row>
        <row r="376">
          <cell r="A376">
            <v>1410</v>
          </cell>
          <cell r="D376">
            <v>0</v>
          </cell>
        </row>
        <row r="377">
          <cell r="A377">
            <v>1410</v>
          </cell>
          <cell r="D377">
            <v>0</v>
          </cell>
        </row>
        <row r="378">
          <cell r="A378">
            <v>1410</v>
          </cell>
          <cell r="D378">
            <v>0</v>
          </cell>
        </row>
        <row r="379">
          <cell r="A379">
            <v>1410</v>
          </cell>
          <cell r="D379">
            <v>0</v>
          </cell>
        </row>
        <row r="380">
          <cell r="A380" t="str">
            <v>Prepaid Insurance</v>
          </cell>
          <cell r="D380">
            <v>888.47</v>
          </cell>
        </row>
        <row r="381">
          <cell r="A381">
            <v>1420</v>
          </cell>
          <cell r="D381">
            <v>0</v>
          </cell>
        </row>
        <row r="382">
          <cell r="A382" t="str">
            <v>Prepaid Salary Advances</v>
          </cell>
          <cell r="D382">
            <v>0</v>
          </cell>
        </row>
        <row r="383">
          <cell r="A383">
            <v>1430</v>
          </cell>
          <cell r="D383">
            <v>0</v>
          </cell>
        </row>
        <row r="384">
          <cell r="A384">
            <v>1430</v>
          </cell>
          <cell r="D384">
            <v>0</v>
          </cell>
        </row>
        <row r="385">
          <cell r="A385">
            <v>1430</v>
          </cell>
          <cell r="D385">
            <v>19817.07</v>
          </cell>
        </row>
        <row r="386">
          <cell r="A386">
            <v>1430</v>
          </cell>
          <cell r="D386">
            <v>0</v>
          </cell>
        </row>
        <row r="387">
          <cell r="A387" t="str">
            <v>Other Prepaid Expenses</v>
          </cell>
          <cell r="D387">
            <v>19817.07</v>
          </cell>
        </row>
        <row r="388">
          <cell r="A388">
            <v>1435</v>
          </cell>
          <cell r="D388">
            <v>0</v>
          </cell>
        </row>
        <row r="389">
          <cell r="A389" t="str">
            <v>Current Notes Receivable</v>
          </cell>
          <cell r="D389">
            <v>0</v>
          </cell>
        </row>
        <row r="390">
          <cell r="A390">
            <v>1500</v>
          </cell>
          <cell r="D390">
            <v>451714.38</v>
          </cell>
        </row>
        <row r="391">
          <cell r="A391">
            <v>1510</v>
          </cell>
          <cell r="D391">
            <v>1618652.07</v>
          </cell>
        </row>
        <row r="392">
          <cell r="A392">
            <v>1510</v>
          </cell>
          <cell r="D392">
            <v>0</v>
          </cell>
        </row>
        <row r="393">
          <cell r="A393">
            <v>1510</v>
          </cell>
          <cell r="D393">
            <v>197925.39</v>
          </cell>
        </row>
        <row r="394">
          <cell r="A394">
            <v>1520</v>
          </cell>
          <cell r="D394">
            <v>1593602.31</v>
          </cell>
        </row>
        <row r="395">
          <cell r="A395">
            <v>1520</v>
          </cell>
          <cell r="D395">
            <v>0</v>
          </cell>
        </row>
        <row r="396">
          <cell r="A396">
            <v>1520</v>
          </cell>
          <cell r="D396">
            <v>802884.23</v>
          </cell>
        </row>
        <row r="397">
          <cell r="A397">
            <v>1520</v>
          </cell>
          <cell r="D397">
            <v>512938.59</v>
          </cell>
        </row>
        <row r="398">
          <cell r="A398">
            <v>1520</v>
          </cell>
          <cell r="D398">
            <v>505209.05</v>
          </cell>
        </row>
        <row r="399">
          <cell r="A399">
            <v>1520</v>
          </cell>
          <cell r="D399">
            <v>631545.46</v>
          </cell>
        </row>
        <row r="400">
          <cell r="A400">
            <v>1520</v>
          </cell>
          <cell r="D400">
            <v>95284.56</v>
          </cell>
        </row>
        <row r="401">
          <cell r="A401" t="str">
            <v>PPE at Cost</v>
          </cell>
          <cell r="D401">
            <v>6409756.04</v>
          </cell>
        </row>
        <row r="402">
          <cell r="A402">
            <v>1560</v>
          </cell>
          <cell r="D402">
            <v>-1082626.04</v>
          </cell>
        </row>
        <row r="403">
          <cell r="A403">
            <v>1560</v>
          </cell>
          <cell r="D403">
            <v>0</v>
          </cell>
        </row>
        <row r="404">
          <cell r="A404">
            <v>1560</v>
          </cell>
          <cell r="D404">
            <v>-126470.38</v>
          </cell>
        </row>
        <row r="405">
          <cell r="A405">
            <v>1570</v>
          </cell>
          <cell r="D405">
            <v>0</v>
          </cell>
        </row>
        <row r="406">
          <cell r="A406">
            <v>1570</v>
          </cell>
          <cell r="D406">
            <v>-1423390.22</v>
          </cell>
        </row>
        <row r="407">
          <cell r="A407">
            <v>1570</v>
          </cell>
          <cell r="D407">
            <v>0</v>
          </cell>
        </row>
        <row r="408">
          <cell r="A408">
            <v>1570</v>
          </cell>
          <cell r="D408">
            <v>-771370.16</v>
          </cell>
        </row>
        <row r="409">
          <cell r="A409">
            <v>1570</v>
          </cell>
          <cell r="D409">
            <v>-500307.19</v>
          </cell>
        </row>
        <row r="410">
          <cell r="A410">
            <v>1570</v>
          </cell>
          <cell r="D410">
            <v>-440869.79</v>
          </cell>
        </row>
        <row r="411">
          <cell r="A411">
            <v>1570</v>
          </cell>
          <cell r="D411">
            <v>-510301.84</v>
          </cell>
        </row>
        <row r="412">
          <cell r="A412">
            <v>1570</v>
          </cell>
          <cell r="D412">
            <v>-69553.69</v>
          </cell>
        </row>
        <row r="413">
          <cell r="A413" t="str">
            <v>Accumulated Depreciation</v>
          </cell>
          <cell r="D413">
            <v>-4924889.3099999996</v>
          </cell>
        </row>
        <row r="414">
          <cell r="A414">
            <v>1610</v>
          </cell>
          <cell r="D414">
            <v>0</v>
          </cell>
        </row>
        <row r="415">
          <cell r="A415" t="str">
            <v>Long-term Deferred Tax Assets</v>
          </cell>
          <cell r="D415">
            <v>0</v>
          </cell>
        </row>
        <row r="416">
          <cell r="A416">
            <v>1650</v>
          </cell>
          <cell r="D416">
            <v>0</v>
          </cell>
        </row>
        <row r="417">
          <cell r="A417" t="str">
            <v>Other Investments</v>
          </cell>
          <cell r="D417">
            <v>0</v>
          </cell>
        </row>
        <row r="418">
          <cell r="A418">
            <v>1660</v>
          </cell>
          <cell r="D418">
            <v>0</v>
          </cell>
        </row>
        <row r="419">
          <cell r="A419" t="str">
            <v>Notes Receivable</v>
          </cell>
          <cell r="D419">
            <v>0</v>
          </cell>
        </row>
        <row r="420">
          <cell r="A420">
            <v>1690</v>
          </cell>
          <cell r="D420">
            <v>1235.29</v>
          </cell>
        </row>
        <row r="421">
          <cell r="A421">
            <v>1690</v>
          </cell>
          <cell r="D421">
            <v>0</v>
          </cell>
        </row>
        <row r="422">
          <cell r="A422">
            <v>1690</v>
          </cell>
          <cell r="D422">
            <v>0</v>
          </cell>
        </row>
        <row r="423">
          <cell r="A423">
            <v>1690</v>
          </cell>
          <cell r="D423">
            <v>0</v>
          </cell>
        </row>
        <row r="424">
          <cell r="A424">
            <v>1690</v>
          </cell>
          <cell r="D424">
            <v>0</v>
          </cell>
        </row>
        <row r="425">
          <cell r="A425" t="str">
            <v>Deferred Charges and Other</v>
          </cell>
          <cell r="D425">
            <v>1235.29</v>
          </cell>
        </row>
        <row r="426">
          <cell r="A426">
            <v>1700</v>
          </cell>
          <cell r="D426">
            <v>0</v>
          </cell>
        </row>
        <row r="427">
          <cell r="A427">
            <v>1700</v>
          </cell>
          <cell r="D427">
            <v>0</v>
          </cell>
        </row>
        <row r="428">
          <cell r="A428" t="str">
            <v>Intangible Assets Acquired</v>
          </cell>
          <cell r="D428">
            <v>0</v>
          </cell>
        </row>
        <row r="429">
          <cell r="A429">
            <v>1710</v>
          </cell>
          <cell r="D429">
            <v>0</v>
          </cell>
        </row>
        <row r="430">
          <cell r="A430">
            <v>1710</v>
          </cell>
          <cell r="D430">
            <v>981147.25</v>
          </cell>
        </row>
        <row r="431">
          <cell r="A431">
            <v>1710</v>
          </cell>
          <cell r="D431">
            <v>-141753.76999999999</v>
          </cell>
        </row>
        <row r="432">
          <cell r="A432">
            <v>1710</v>
          </cell>
          <cell r="D432">
            <v>35492.629999999997</v>
          </cell>
        </row>
        <row r="433">
          <cell r="A433">
            <v>1710</v>
          </cell>
          <cell r="D433">
            <v>0</v>
          </cell>
        </row>
        <row r="434">
          <cell r="A434">
            <v>1710</v>
          </cell>
          <cell r="D434">
            <v>0</v>
          </cell>
        </row>
        <row r="435">
          <cell r="A435">
            <v>1710</v>
          </cell>
          <cell r="D435">
            <v>14103.03</v>
          </cell>
        </row>
        <row r="436">
          <cell r="A436">
            <v>1710</v>
          </cell>
          <cell r="D436">
            <v>-927349.79</v>
          </cell>
        </row>
        <row r="437">
          <cell r="A437">
            <v>1710</v>
          </cell>
          <cell r="D437">
            <v>0</v>
          </cell>
        </row>
        <row r="438">
          <cell r="A438">
            <v>1710</v>
          </cell>
          <cell r="D438">
            <v>16809.07</v>
          </cell>
        </row>
        <row r="439">
          <cell r="A439">
            <v>1710</v>
          </cell>
          <cell r="D439">
            <v>641514.06000000006</v>
          </cell>
        </row>
        <row r="440">
          <cell r="A440">
            <v>1710</v>
          </cell>
          <cell r="D440">
            <v>1775447</v>
          </cell>
        </row>
        <row r="441">
          <cell r="A441">
            <v>1710</v>
          </cell>
          <cell r="D441">
            <v>-225441</v>
          </cell>
        </row>
        <row r="442">
          <cell r="A442">
            <v>1710</v>
          </cell>
          <cell r="D442">
            <v>0</v>
          </cell>
        </row>
        <row r="443">
          <cell r="A443">
            <v>1710</v>
          </cell>
          <cell r="D443">
            <v>550438</v>
          </cell>
        </row>
        <row r="444">
          <cell r="A444">
            <v>1710</v>
          </cell>
          <cell r="D444">
            <v>17708</v>
          </cell>
        </row>
        <row r="445">
          <cell r="A445" t="str">
            <v>Investment in Sub</v>
          </cell>
          <cell r="D445">
            <v>2738114.48</v>
          </cell>
        </row>
        <row r="446">
          <cell r="A446">
            <v>1720</v>
          </cell>
          <cell r="D446">
            <v>419293.53</v>
          </cell>
        </row>
        <row r="447">
          <cell r="A447">
            <v>1720</v>
          </cell>
          <cell r="D447">
            <v>0</v>
          </cell>
        </row>
        <row r="448">
          <cell r="A448">
            <v>1720</v>
          </cell>
          <cell r="D448">
            <v>0</v>
          </cell>
        </row>
        <row r="449">
          <cell r="A449" t="str">
            <v>Goodwill</v>
          </cell>
          <cell r="D449">
            <v>419293.53</v>
          </cell>
        </row>
        <row r="451">
          <cell r="A451" t="str">
            <v>ASSETS</v>
          </cell>
          <cell r="D451">
            <v>11287072.399999997</v>
          </cell>
        </row>
        <row r="453">
          <cell r="A453">
            <v>2020</v>
          </cell>
          <cell r="D453">
            <v>0</v>
          </cell>
        </row>
        <row r="454">
          <cell r="A454">
            <v>2020</v>
          </cell>
          <cell r="D454">
            <v>0</v>
          </cell>
        </row>
        <row r="455">
          <cell r="A455" t="str">
            <v>Current Mat. - Long-term Obligations</v>
          </cell>
          <cell r="D455">
            <v>0</v>
          </cell>
        </row>
        <row r="456">
          <cell r="A456">
            <v>2040</v>
          </cell>
          <cell r="D456">
            <v>154280.73000000001</v>
          </cell>
        </row>
        <row r="457">
          <cell r="A457" t="str">
            <v>Current Mat. - Intercompany Debt</v>
          </cell>
          <cell r="D457">
            <v>154280.73000000001</v>
          </cell>
        </row>
        <row r="458">
          <cell r="A458">
            <v>2100</v>
          </cell>
          <cell r="D458">
            <v>0</v>
          </cell>
        </row>
        <row r="459">
          <cell r="A459">
            <v>2100</v>
          </cell>
          <cell r="D459">
            <v>0</v>
          </cell>
        </row>
        <row r="460">
          <cell r="A460">
            <v>2100</v>
          </cell>
          <cell r="D460">
            <v>0</v>
          </cell>
        </row>
        <row r="461">
          <cell r="A461">
            <v>2100</v>
          </cell>
          <cell r="D461">
            <v>272352.01</v>
          </cell>
        </row>
        <row r="462">
          <cell r="A462">
            <v>2100</v>
          </cell>
          <cell r="D462">
            <v>0</v>
          </cell>
        </row>
        <row r="463">
          <cell r="A463">
            <v>2100</v>
          </cell>
          <cell r="D463">
            <v>-47593.54</v>
          </cell>
        </row>
        <row r="464">
          <cell r="A464">
            <v>2100</v>
          </cell>
          <cell r="D464">
            <v>117550.98</v>
          </cell>
        </row>
        <row r="465">
          <cell r="A465">
            <v>2100</v>
          </cell>
          <cell r="D465">
            <v>-4258.1499999999996</v>
          </cell>
        </row>
        <row r="466">
          <cell r="A466" t="str">
            <v>Accts. Payable - Trade</v>
          </cell>
          <cell r="D466">
            <v>338051.3</v>
          </cell>
        </row>
        <row r="467">
          <cell r="A467">
            <v>2200</v>
          </cell>
          <cell r="D467">
            <v>0</v>
          </cell>
        </row>
        <row r="468">
          <cell r="A468">
            <v>2200</v>
          </cell>
          <cell r="D468">
            <v>75340.91</v>
          </cell>
        </row>
        <row r="469">
          <cell r="A469">
            <v>2200</v>
          </cell>
          <cell r="D469">
            <v>-42580.23</v>
          </cell>
        </row>
        <row r="470">
          <cell r="A470">
            <v>2200</v>
          </cell>
          <cell r="D470">
            <v>-25.07</v>
          </cell>
        </row>
        <row r="471">
          <cell r="A471">
            <v>2200</v>
          </cell>
          <cell r="D471">
            <v>0</v>
          </cell>
        </row>
        <row r="472">
          <cell r="A472">
            <v>2200</v>
          </cell>
          <cell r="D472">
            <v>0</v>
          </cell>
        </row>
        <row r="473">
          <cell r="A473">
            <v>2200</v>
          </cell>
          <cell r="D473">
            <v>0</v>
          </cell>
        </row>
        <row r="474">
          <cell r="A474">
            <v>2200</v>
          </cell>
          <cell r="D474">
            <v>-1173.6600000000001</v>
          </cell>
        </row>
        <row r="475">
          <cell r="A475">
            <v>2200</v>
          </cell>
          <cell r="D475">
            <v>-2418.85</v>
          </cell>
        </row>
        <row r="476">
          <cell r="A476">
            <v>2200</v>
          </cell>
          <cell r="D476">
            <v>0</v>
          </cell>
        </row>
        <row r="477">
          <cell r="A477">
            <v>2200</v>
          </cell>
          <cell r="D477">
            <v>-15259.38</v>
          </cell>
        </row>
        <row r="478">
          <cell r="A478">
            <v>2200</v>
          </cell>
          <cell r="D478">
            <v>0</v>
          </cell>
        </row>
        <row r="479">
          <cell r="A479">
            <v>2200</v>
          </cell>
          <cell r="D479">
            <v>0</v>
          </cell>
        </row>
        <row r="480">
          <cell r="A480" t="str">
            <v>Accrued P/R &amp; Employee Benefits</v>
          </cell>
          <cell r="D480">
            <v>13883.720000000003</v>
          </cell>
        </row>
        <row r="481">
          <cell r="A481">
            <v>2210</v>
          </cell>
          <cell r="D481">
            <v>0</v>
          </cell>
        </row>
        <row r="482">
          <cell r="A482">
            <v>2210</v>
          </cell>
          <cell r="D482">
            <v>173493.64</v>
          </cell>
        </row>
        <row r="483">
          <cell r="A483" t="str">
            <v>Accrued Vacation</v>
          </cell>
          <cell r="D483">
            <v>173493.64</v>
          </cell>
        </row>
        <row r="484">
          <cell r="A484">
            <v>2220</v>
          </cell>
          <cell r="D484">
            <v>0</v>
          </cell>
        </row>
        <row r="485">
          <cell r="A485">
            <v>2220</v>
          </cell>
          <cell r="D485">
            <v>0</v>
          </cell>
        </row>
        <row r="486">
          <cell r="A486">
            <v>2220</v>
          </cell>
          <cell r="D486">
            <v>95480.13</v>
          </cell>
        </row>
        <row r="487">
          <cell r="A487" t="str">
            <v>Accrued Bonus</v>
          </cell>
          <cell r="D487">
            <v>95480.13</v>
          </cell>
        </row>
        <row r="488">
          <cell r="A488">
            <v>2240</v>
          </cell>
          <cell r="D488">
            <v>0</v>
          </cell>
        </row>
        <row r="489">
          <cell r="A489" t="str">
            <v>Accrued Med &amp; Dental Ins. - Non-Corp. Plans</v>
          </cell>
          <cell r="D489">
            <v>0</v>
          </cell>
        </row>
        <row r="490">
          <cell r="A490">
            <v>2260</v>
          </cell>
          <cell r="D490">
            <v>107490.77</v>
          </cell>
        </row>
        <row r="491">
          <cell r="A491">
            <v>2260</v>
          </cell>
          <cell r="D491">
            <v>0</v>
          </cell>
        </row>
        <row r="492">
          <cell r="A492" t="str">
            <v>Accrued Payroll Taxes</v>
          </cell>
          <cell r="D492">
            <v>107490.77</v>
          </cell>
        </row>
        <row r="493">
          <cell r="A493">
            <v>2310</v>
          </cell>
          <cell r="D493">
            <v>-628649</v>
          </cell>
        </row>
        <row r="494">
          <cell r="A494" t="str">
            <v>Accrued Foreign Income Taxes</v>
          </cell>
          <cell r="D494">
            <v>-628649</v>
          </cell>
        </row>
        <row r="495">
          <cell r="A495">
            <v>2410</v>
          </cell>
          <cell r="D495">
            <v>0</v>
          </cell>
        </row>
        <row r="496">
          <cell r="A496" t="str">
            <v>Deferred Revenue</v>
          </cell>
          <cell r="D496">
            <v>0</v>
          </cell>
        </row>
        <row r="497">
          <cell r="A497">
            <v>2420</v>
          </cell>
          <cell r="D497">
            <v>-25000</v>
          </cell>
        </row>
        <row r="498">
          <cell r="A498" t="str">
            <v>Billings in Excess of Cost &amp; Fees</v>
          </cell>
          <cell r="D498">
            <v>-25000</v>
          </cell>
        </row>
        <row r="499">
          <cell r="A499">
            <v>2425</v>
          </cell>
          <cell r="D499">
            <v>8500</v>
          </cell>
        </row>
        <row r="500">
          <cell r="A500" t="str">
            <v>Accrued Interest</v>
          </cell>
          <cell r="D500">
            <v>8500</v>
          </cell>
        </row>
        <row r="501">
          <cell r="A501">
            <v>2430</v>
          </cell>
          <cell r="D501">
            <v>-17953.57</v>
          </cell>
        </row>
        <row r="502">
          <cell r="A502">
            <v>2430</v>
          </cell>
          <cell r="D502">
            <v>2066.75</v>
          </cell>
        </row>
        <row r="503">
          <cell r="A503" t="str">
            <v>Accrued Commissions</v>
          </cell>
          <cell r="D503">
            <v>-15886.82</v>
          </cell>
        </row>
        <row r="504">
          <cell r="A504">
            <v>2402</v>
          </cell>
          <cell r="D504">
            <v>0</v>
          </cell>
        </row>
        <row r="505">
          <cell r="A505" t="str">
            <v>Restructuring Reserves</v>
          </cell>
          <cell r="D505">
            <v>0</v>
          </cell>
        </row>
        <row r="506">
          <cell r="A506">
            <v>2405</v>
          </cell>
          <cell r="D506">
            <v>0</v>
          </cell>
        </row>
        <row r="507">
          <cell r="A507" t="str">
            <v>Accrued Installation &amp; Warranty Costs</v>
          </cell>
          <cell r="D507">
            <v>0</v>
          </cell>
        </row>
        <row r="508">
          <cell r="A508">
            <v>2435</v>
          </cell>
        </row>
        <row r="509">
          <cell r="A509" t="str">
            <v>Unrealised IC Profit</v>
          </cell>
          <cell r="D509">
            <v>0</v>
          </cell>
        </row>
        <row r="510">
          <cell r="A510">
            <v>2445</v>
          </cell>
          <cell r="D510">
            <v>63112.04</v>
          </cell>
        </row>
        <row r="511">
          <cell r="A511" t="str">
            <v>Accrued Audit Expense</v>
          </cell>
          <cell r="D511">
            <v>63112.04</v>
          </cell>
        </row>
        <row r="512">
          <cell r="A512">
            <v>2535</v>
          </cell>
          <cell r="D512">
            <v>0</v>
          </cell>
        </row>
        <row r="513">
          <cell r="A513">
            <v>2535</v>
          </cell>
          <cell r="D513">
            <v>16778.7</v>
          </cell>
        </row>
        <row r="514">
          <cell r="A514">
            <v>2535</v>
          </cell>
          <cell r="D514">
            <v>0</v>
          </cell>
        </row>
        <row r="515">
          <cell r="A515" t="str">
            <v>Other Accrued Expenses</v>
          </cell>
          <cell r="D515">
            <v>16778.7</v>
          </cell>
        </row>
        <row r="516">
          <cell r="A516">
            <v>2720</v>
          </cell>
          <cell r="D516">
            <v>0</v>
          </cell>
        </row>
        <row r="517">
          <cell r="A517" t="str">
            <v>Capital Lease Obligation</v>
          </cell>
          <cell r="D517">
            <v>0</v>
          </cell>
        </row>
        <row r="518">
          <cell r="A518">
            <v>2730</v>
          </cell>
          <cell r="D518">
            <v>0</v>
          </cell>
        </row>
        <row r="519">
          <cell r="A519" t="str">
            <v>LT Notes Payable</v>
          </cell>
          <cell r="D519">
            <v>0</v>
          </cell>
        </row>
        <row r="520">
          <cell r="A520">
            <v>3100</v>
          </cell>
          <cell r="D520">
            <v>58981</v>
          </cell>
        </row>
        <row r="521">
          <cell r="A521">
            <v>3100</v>
          </cell>
          <cell r="D521">
            <v>31759</v>
          </cell>
        </row>
        <row r="522">
          <cell r="A522" t="str">
            <v>Common Stock</v>
          </cell>
          <cell r="D522">
            <v>90740</v>
          </cell>
        </row>
        <row r="523">
          <cell r="A523">
            <v>3200</v>
          </cell>
          <cell r="D523">
            <v>10.43</v>
          </cell>
        </row>
        <row r="524">
          <cell r="A524">
            <v>3200</v>
          </cell>
          <cell r="D524">
            <v>1800000</v>
          </cell>
        </row>
        <row r="525">
          <cell r="A525" t="str">
            <v>Capital in Excess of Par Value</v>
          </cell>
          <cell r="D525">
            <v>1800010.43</v>
          </cell>
        </row>
        <row r="526">
          <cell r="A526" t="str">
            <v>RE_BB_CFWD</v>
          </cell>
          <cell r="D526">
            <v>9220704.4100000001</v>
          </cell>
        </row>
        <row r="527">
          <cell r="A527" t="str">
            <v>3310</v>
          </cell>
          <cell r="D527">
            <v>-340000</v>
          </cell>
        </row>
        <row r="528">
          <cell r="A528" t="str">
            <v>3310</v>
          </cell>
          <cell r="D528">
            <v>0</v>
          </cell>
        </row>
        <row r="529">
          <cell r="D529">
            <v>423887.39999999868</v>
          </cell>
        </row>
        <row r="530">
          <cell r="A530" t="str">
            <v>Retained Earnings</v>
          </cell>
          <cell r="D530">
            <v>9304591.8099999987</v>
          </cell>
        </row>
        <row r="531">
          <cell r="A531">
            <v>3500</v>
          </cell>
          <cell r="D531">
            <v>-209804</v>
          </cell>
        </row>
        <row r="532">
          <cell r="A532" t="str">
            <v>Cumulative Translation Adjustment</v>
          </cell>
          <cell r="D532">
            <v>-209804</v>
          </cell>
        </row>
        <row r="534">
          <cell r="A534" t="str">
            <v>LIABILITIES+EQUITIES</v>
          </cell>
          <cell r="D534">
            <v>11287073.449999999</v>
          </cell>
        </row>
        <row r="536">
          <cell r="A536" t="str">
            <v>4000.International</v>
          </cell>
          <cell r="D536">
            <v>2074.1799999999998</v>
          </cell>
        </row>
        <row r="537">
          <cell r="A537" t="str">
            <v>4000.International</v>
          </cell>
          <cell r="D537">
            <v>0</v>
          </cell>
        </row>
        <row r="538">
          <cell r="A538" t="str">
            <v>4000.International</v>
          </cell>
          <cell r="D538">
            <v>96103.72</v>
          </cell>
        </row>
        <row r="539">
          <cell r="A539" t="str">
            <v>4000.International</v>
          </cell>
          <cell r="D539">
            <v>26692</v>
          </cell>
        </row>
        <row r="540">
          <cell r="A540" t="str">
            <v>4000.International</v>
          </cell>
          <cell r="D540">
            <v>160582.26</v>
          </cell>
        </row>
        <row r="541">
          <cell r="A541" t="str">
            <v>4000.International</v>
          </cell>
          <cell r="D541">
            <v>0</v>
          </cell>
        </row>
        <row r="542">
          <cell r="A542" t="str">
            <v>4000.International</v>
          </cell>
          <cell r="D542">
            <v>513317.95</v>
          </cell>
        </row>
        <row r="543">
          <cell r="A543" t="str">
            <v>4000.International</v>
          </cell>
          <cell r="D543">
            <v>0</v>
          </cell>
        </row>
        <row r="544">
          <cell r="A544" t="str">
            <v>4000.International</v>
          </cell>
          <cell r="D544">
            <v>1152649.72</v>
          </cell>
        </row>
        <row r="545">
          <cell r="A545" t="str">
            <v>4000.International</v>
          </cell>
          <cell r="D545">
            <v>8431.74</v>
          </cell>
        </row>
        <row r="546">
          <cell r="A546" t="str">
            <v>4000.International</v>
          </cell>
          <cell r="D546">
            <v>23296.77</v>
          </cell>
        </row>
        <row r="547">
          <cell r="A547" t="str">
            <v>4000.International</v>
          </cell>
          <cell r="D547">
            <v>1762.31</v>
          </cell>
        </row>
        <row r="548">
          <cell r="A548" t="str">
            <v>4000.International</v>
          </cell>
          <cell r="D548">
            <v>0</v>
          </cell>
        </row>
        <row r="549">
          <cell r="A549" t="str">
            <v>4000.International</v>
          </cell>
          <cell r="D549">
            <v>255</v>
          </cell>
        </row>
        <row r="550">
          <cell r="A550" t="str">
            <v>4000.International</v>
          </cell>
          <cell r="D550">
            <v>0</v>
          </cell>
        </row>
        <row r="551">
          <cell r="A551" t="str">
            <v>4000.International</v>
          </cell>
          <cell r="D551">
            <v>97591.69</v>
          </cell>
        </row>
        <row r="552">
          <cell r="A552" t="str">
            <v>4000.International</v>
          </cell>
          <cell r="D552">
            <v>5394.92</v>
          </cell>
        </row>
        <row r="553">
          <cell r="A553" t="str">
            <v>4000.International</v>
          </cell>
          <cell r="D553">
            <v>143821.94</v>
          </cell>
        </row>
        <row r="554">
          <cell r="A554" t="str">
            <v>4000.International</v>
          </cell>
          <cell r="D554">
            <v>21901.71</v>
          </cell>
        </row>
        <row r="555">
          <cell r="A555" t="str">
            <v>4000.International</v>
          </cell>
          <cell r="D555">
            <v>0</v>
          </cell>
        </row>
        <row r="556">
          <cell r="A556" t="str">
            <v>4000.International</v>
          </cell>
          <cell r="D556">
            <v>2758.48</v>
          </cell>
        </row>
        <row r="557">
          <cell r="A557" t="str">
            <v>4000.International</v>
          </cell>
          <cell r="D557">
            <v>216013.84</v>
          </cell>
        </row>
        <row r="558">
          <cell r="A558" t="str">
            <v>4000.International</v>
          </cell>
          <cell r="D558">
            <v>145777.76999999999</v>
          </cell>
        </row>
        <row r="559">
          <cell r="A559" t="str">
            <v>4000.International</v>
          </cell>
          <cell r="D559">
            <v>388955.55</v>
          </cell>
        </row>
        <row r="560">
          <cell r="A560" t="str">
            <v>4000.International</v>
          </cell>
          <cell r="D560">
            <v>39633.46</v>
          </cell>
        </row>
        <row r="561">
          <cell r="A561" t="str">
            <v>4000.International</v>
          </cell>
          <cell r="D561">
            <v>3766.46</v>
          </cell>
        </row>
        <row r="562">
          <cell r="A562" t="str">
            <v>4000.International</v>
          </cell>
          <cell r="D562">
            <v>81543.09</v>
          </cell>
        </row>
        <row r="563">
          <cell r="A563" t="str">
            <v>4000.International</v>
          </cell>
          <cell r="D563">
            <v>344053.66</v>
          </cell>
        </row>
        <row r="564">
          <cell r="A564" t="str">
            <v>4000.International</v>
          </cell>
          <cell r="D564">
            <v>147609.07</v>
          </cell>
        </row>
        <row r="565">
          <cell r="A565" t="str">
            <v>4000.International</v>
          </cell>
          <cell r="D565">
            <v>2790.3</v>
          </cell>
        </row>
        <row r="566">
          <cell r="A566" t="str">
            <v>4000.International</v>
          </cell>
          <cell r="D566">
            <v>0</v>
          </cell>
        </row>
        <row r="567">
          <cell r="A567" t="str">
            <v>4000.International</v>
          </cell>
          <cell r="D567">
            <v>32863.39</v>
          </cell>
        </row>
        <row r="568">
          <cell r="A568" t="str">
            <v>4000.International</v>
          </cell>
          <cell r="D568">
            <v>0</v>
          </cell>
        </row>
        <row r="569">
          <cell r="A569" t="str">
            <v>4000.International</v>
          </cell>
          <cell r="D569">
            <v>9484.25</v>
          </cell>
        </row>
        <row r="570">
          <cell r="A570" t="str">
            <v>4000.International</v>
          </cell>
          <cell r="D570">
            <v>11754.42</v>
          </cell>
        </row>
        <row r="571">
          <cell r="A571" t="str">
            <v>4000.International</v>
          </cell>
          <cell r="D571">
            <v>211614.71</v>
          </cell>
        </row>
        <row r="572">
          <cell r="A572" t="str">
            <v>4000.International</v>
          </cell>
          <cell r="D572">
            <v>391841</v>
          </cell>
        </row>
        <row r="573">
          <cell r="A573" t="str">
            <v>4000.International</v>
          </cell>
          <cell r="D573">
            <v>0</v>
          </cell>
        </row>
        <row r="574">
          <cell r="A574" t="str">
            <v>4000.International</v>
          </cell>
          <cell r="D574">
            <v>238005.35</v>
          </cell>
        </row>
        <row r="575">
          <cell r="A575" t="str">
            <v>4000.International</v>
          </cell>
          <cell r="D575">
            <v>3249.48</v>
          </cell>
        </row>
        <row r="576">
          <cell r="A576" t="str">
            <v>4000.International</v>
          </cell>
          <cell r="D576">
            <v>0</v>
          </cell>
        </row>
        <row r="577">
          <cell r="A577" t="str">
            <v>4000.International</v>
          </cell>
          <cell r="D577">
            <v>57152.73</v>
          </cell>
        </row>
        <row r="578">
          <cell r="A578" t="str">
            <v>4000.International</v>
          </cell>
          <cell r="D578">
            <v>0</v>
          </cell>
        </row>
        <row r="579">
          <cell r="A579" t="str">
            <v>4000.International</v>
          </cell>
          <cell r="D579">
            <v>-74884.600000000006</v>
          </cell>
        </row>
        <row r="580">
          <cell r="A580" t="str">
            <v>4000.International</v>
          </cell>
          <cell r="D580">
            <v>655.12</v>
          </cell>
        </row>
        <row r="581">
          <cell r="A581" t="str">
            <v>4000.International</v>
          </cell>
          <cell r="D581">
            <v>189.1</v>
          </cell>
        </row>
        <row r="582">
          <cell r="A582" t="str">
            <v>Gross Sales</v>
          </cell>
          <cell r="D582">
            <v>4508702.54</v>
          </cell>
        </row>
        <row r="583">
          <cell r="A583" t="str">
            <v>4000.International</v>
          </cell>
          <cell r="D583">
            <v>0</v>
          </cell>
        </row>
        <row r="584">
          <cell r="A584" t="str">
            <v>4000.International</v>
          </cell>
          <cell r="D584">
            <v>0</v>
          </cell>
        </row>
        <row r="585">
          <cell r="A585" t="str">
            <v>4000.International</v>
          </cell>
          <cell r="D585">
            <v>646.88</v>
          </cell>
        </row>
        <row r="586">
          <cell r="A586" t="str">
            <v>4000.International</v>
          </cell>
          <cell r="D586">
            <v>0</v>
          </cell>
        </row>
        <row r="587">
          <cell r="A587" t="str">
            <v>4000.International</v>
          </cell>
          <cell r="D587">
            <v>-312311</v>
          </cell>
        </row>
        <row r="588">
          <cell r="A588" t="str">
            <v>4000.International</v>
          </cell>
          <cell r="D588">
            <v>65848.02</v>
          </cell>
        </row>
        <row r="589">
          <cell r="A589" t="str">
            <v>4000.International</v>
          </cell>
          <cell r="D589">
            <v>288.58</v>
          </cell>
        </row>
        <row r="590">
          <cell r="A590" t="str">
            <v>4000.International</v>
          </cell>
          <cell r="D590">
            <v>0</v>
          </cell>
        </row>
        <row r="591">
          <cell r="A591" t="str">
            <v>4000.International</v>
          </cell>
          <cell r="D591">
            <v>0</v>
          </cell>
        </row>
        <row r="592">
          <cell r="A592" t="str">
            <v>4000.International</v>
          </cell>
          <cell r="D592">
            <v>-604.67999999999995</v>
          </cell>
        </row>
        <row r="593">
          <cell r="A593" t="str">
            <v>Net Sales</v>
          </cell>
          <cell r="D593">
            <v>4262570.34</v>
          </cell>
        </row>
        <row r="595">
          <cell r="A595" t="str">
            <v>4100.Other</v>
          </cell>
          <cell r="D595">
            <v>0</v>
          </cell>
        </row>
        <row r="596">
          <cell r="A596" t="str">
            <v>4100.Other</v>
          </cell>
          <cell r="D596">
            <v>0</v>
          </cell>
        </row>
        <row r="597">
          <cell r="A597" t="str">
            <v>4100.Other</v>
          </cell>
          <cell r="D597">
            <v>-21952.42</v>
          </cell>
        </row>
        <row r="598">
          <cell r="A598" t="str">
            <v>4100.Other</v>
          </cell>
          <cell r="D598">
            <v>-15673.62</v>
          </cell>
        </row>
        <row r="599">
          <cell r="A599" t="str">
            <v>4100.Other</v>
          </cell>
          <cell r="D599">
            <v>-71422.39</v>
          </cell>
        </row>
        <row r="600">
          <cell r="A600" t="str">
            <v>4100.Other</v>
          </cell>
          <cell r="D600">
            <v>0</v>
          </cell>
        </row>
        <row r="601">
          <cell r="A601" t="str">
            <v>4100.Other</v>
          </cell>
          <cell r="D601">
            <v>-129891.87</v>
          </cell>
        </row>
        <row r="602">
          <cell r="A602" t="str">
            <v>4100.Other</v>
          </cell>
          <cell r="D602">
            <v>0</v>
          </cell>
        </row>
        <row r="603">
          <cell r="A603" t="str">
            <v>4100.Other</v>
          </cell>
          <cell r="D603">
            <v>-235460.33</v>
          </cell>
        </row>
        <row r="604">
          <cell r="A604" t="str">
            <v>4100.Other</v>
          </cell>
          <cell r="D604">
            <v>-3901.8</v>
          </cell>
        </row>
        <row r="605">
          <cell r="A605" t="str">
            <v>4100.Other</v>
          </cell>
          <cell r="D605">
            <v>-7638.3</v>
          </cell>
        </row>
        <row r="606">
          <cell r="A606" t="str">
            <v>4100.Other</v>
          </cell>
          <cell r="D606">
            <v>-632.78</v>
          </cell>
        </row>
        <row r="607">
          <cell r="A607" t="str">
            <v>4100.Other</v>
          </cell>
          <cell r="D607">
            <v>0</v>
          </cell>
        </row>
        <row r="608">
          <cell r="A608" t="str">
            <v>4100.Other</v>
          </cell>
          <cell r="D608">
            <v>-177.97</v>
          </cell>
        </row>
        <row r="609">
          <cell r="A609" t="str">
            <v>4100.Other</v>
          </cell>
          <cell r="D609">
            <v>0</v>
          </cell>
        </row>
        <row r="610">
          <cell r="A610" t="str">
            <v>4100.Other</v>
          </cell>
          <cell r="D610">
            <v>-47174.69</v>
          </cell>
        </row>
        <row r="611">
          <cell r="A611" t="str">
            <v>4100.Other</v>
          </cell>
          <cell r="D611">
            <v>-1301.27</v>
          </cell>
        </row>
        <row r="612">
          <cell r="A612" t="str">
            <v>4100.Other</v>
          </cell>
          <cell r="D612">
            <v>-33987.72</v>
          </cell>
        </row>
        <row r="613">
          <cell r="A613" t="str">
            <v>4100.Other</v>
          </cell>
          <cell r="D613">
            <v>-13833.15</v>
          </cell>
        </row>
        <row r="614">
          <cell r="A614" t="str">
            <v>4100.Other</v>
          </cell>
          <cell r="D614">
            <v>0</v>
          </cell>
        </row>
        <row r="615">
          <cell r="A615" t="str">
            <v>4100.Other</v>
          </cell>
          <cell r="D615">
            <v>-545.47</v>
          </cell>
        </row>
        <row r="616">
          <cell r="A616" t="str">
            <v>4100.Other</v>
          </cell>
          <cell r="D616">
            <v>-45263.14</v>
          </cell>
        </row>
        <row r="617">
          <cell r="A617" t="str">
            <v>4100.Other</v>
          </cell>
          <cell r="D617">
            <v>-26943.78</v>
          </cell>
        </row>
        <row r="618">
          <cell r="A618" t="str">
            <v>4100.Other</v>
          </cell>
          <cell r="D618">
            <v>-183223.15</v>
          </cell>
        </row>
        <row r="619">
          <cell r="A619" t="str">
            <v>4100.Other</v>
          </cell>
          <cell r="D619">
            <v>-24999.64</v>
          </cell>
        </row>
        <row r="620">
          <cell r="A620" t="str">
            <v>4100.Other</v>
          </cell>
          <cell r="D620">
            <v>-2569.8000000000002</v>
          </cell>
        </row>
        <row r="621">
          <cell r="A621" t="str">
            <v>4100.Other</v>
          </cell>
          <cell r="D621">
            <v>-12781.73</v>
          </cell>
        </row>
        <row r="622">
          <cell r="A622" t="str">
            <v>4100.Other</v>
          </cell>
          <cell r="D622">
            <v>-78077.86</v>
          </cell>
        </row>
        <row r="623">
          <cell r="A623" t="str">
            <v>4100.Other</v>
          </cell>
          <cell r="D623">
            <v>-23927.11</v>
          </cell>
        </row>
        <row r="624">
          <cell r="A624" t="str">
            <v>4100.Other</v>
          </cell>
          <cell r="D624">
            <v>-963.48</v>
          </cell>
        </row>
        <row r="625">
          <cell r="A625" t="str">
            <v>4100.Other</v>
          </cell>
          <cell r="D625">
            <v>0</v>
          </cell>
        </row>
        <row r="626">
          <cell r="A626" t="str">
            <v>4100.Other</v>
          </cell>
          <cell r="D626">
            <v>0</v>
          </cell>
        </row>
        <row r="627">
          <cell r="A627" t="str">
            <v>4100.Other</v>
          </cell>
          <cell r="D627">
            <v>0</v>
          </cell>
        </row>
        <row r="628">
          <cell r="A628" t="str">
            <v>4100.Other</v>
          </cell>
          <cell r="D628">
            <v>-4742.37</v>
          </cell>
        </row>
        <row r="629">
          <cell r="A629" t="str">
            <v>4100.Other</v>
          </cell>
          <cell r="D629">
            <v>-1786.4</v>
          </cell>
        </row>
        <row r="630">
          <cell r="A630" t="str">
            <v>4100.Other</v>
          </cell>
          <cell r="D630">
            <v>-74696.77</v>
          </cell>
        </row>
        <row r="631">
          <cell r="A631" t="str">
            <v>4100.Other</v>
          </cell>
          <cell r="D631">
            <v>0</v>
          </cell>
        </row>
        <row r="632">
          <cell r="A632" t="str">
            <v>4100.Other</v>
          </cell>
          <cell r="D632">
            <v>0</v>
          </cell>
        </row>
        <row r="633">
          <cell r="A633" t="str">
            <v>4100.Other</v>
          </cell>
          <cell r="D633">
            <v>-135834.51</v>
          </cell>
        </row>
        <row r="634">
          <cell r="A634" t="str">
            <v>4100.Other</v>
          </cell>
          <cell r="D634">
            <v>-1144.58</v>
          </cell>
        </row>
        <row r="635">
          <cell r="A635" t="str">
            <v>4100.Other</v>
          </cell>
          <cell r="D635">
            <v>0</v>
          </cell>
        </row>
        <row r="636">
          <cell r="A636" t="str">
            <v>4100.Other</v>
          </cell>
          <cell r="D636" t="str">
            <v xml:space="preserve">           </v>
          </cell>
        </row>
        <row r="637">
          <cell r="A637" t="str">
            <v>4100.Other</v>
          </cell>
          <cell r="D637">
            <v>0</v>
          </cell>
        </row>
        <row r="638">
          <cell r="A638" t="str">
            <v>4100.Other</v>
          </cell>
          <cell r="D638">
            <v>23976.799999999999</v>
          </cell>
        </row>
        <row r="639">
          <cell r="A639" t="str">
            <v>4100.Other</v>
          </cell>
          <cell r="D639">
            <v>-317.79000000000002</v>
          </cell>
        </row>
        <row r="640">
          <cell r="A640" t="str">
            <v>4100.Other</v>
          </cell>
          <cell r="D640">
            <v>-6354.64</v>
          </cell>
        </row>
        <row r="641">
          <cell r="A641" t="str">
            <v>4100.Other</v>
          </cell>
          <cell r="D641">
            <v>0</v>
          </cell>
        </row>
        <row r="642">
          <cell r="A642" t="str">
            <v>Total Direct Materials</v>
          </cell>
          <cell r="D642">
            <v>-1183243.73</v>
          </cell>
        </row>
        <row r="643">
          <cell r="A643" t="str">
            <v>4100.Other</v>
          </cell>
          <cell r="D643">
            <v>0</v>
          </cell>
        </row>
        <row r="644">
          <cell r="A644" t="str">
            <v>4100.Other</v>
          </cell>
          <cell r="D644">
            <v>0</v>
          </cell>
        </row>
        <row r="645">
          <cell r="A645" t="str">
            <v>4100.Other</v>
          </cell>
          <cell r="D645">
            <v>-29646.560000000001</v>
          </cell>
        </row>
        <row r="646">
          <cell r="A646" t="str">
            <v>4100.Other</v>
          </cell>
          <cell r="D646">
            <v>0</v>
          </cell>
        </row>
        <row r="647">
          <cell r="A647" t="str">
            <v>4100.Other</v>
          </cell>
          <cell r="D647">
            <v>-4537.32</v>
          </cell>
        </row>
        <row r="648">
          <cell r="A648" t="str">
            <v>4100.Other</v>
          </cell>
          <cell r="D648">
            <v>0</v>
          </cell>
        </row>
        <row r="649">
          <cell r="A649" t="str">
            <v>4100.Other</v>
          </cell>
          <cell r="D649">
            <v>-172.94</v>
          </cell>
        </row>
        <row r="650">
          <cell r="A650" t="str">
            <v>4100.Other</v>
          </cell>
          <cell r="D650">
            <v>0</v>
          </cell>
        </row>
        <row r="651">
          <cell r="A651" t="str">
            <v>4100.Other</v>
          </cell>
          <cell r="D651">
            <v>-57555.360000000001</v>
          </cell>
        </row>
        <row r="652">
          <cell r="A652" t="str">
            <v>4100.Other</v>
          </cell>
          <cell r="D652">
            <v>0</v>
          </cell>
        </row>
        <row r="653">
          <cell r="A653" t="str">
            <v>4100.Other</v>
          </cell>
          <cell r="D653">
            <v>-180.18</v>
          </cell>
        </row>
        <row r="654">
          <cell r="A654" t="str">
            <v>4100.Other</v>
          </cell>
          <cell r="D654">
            <v>-48.55</v>
          </cell>
        </row>
        <row r="655">
          <cell r="A655" t="str">
            <v>4100.Other</v>
          </cell>
          <cell r="D655">
            <v>0</v>
          </cell>
        </row>
        <row r="656">
          <cell r="A656" t="str">
            <v>4100.Other</v>
          </cell>
          <cell r="D656">
            <v>0</v>
          </cell>
        </row>
        <row r="657">
          <cell r="A657" t="str">
            <v>4100.Other</v>
          </cell>
          <cell r="D657">
            <v>0</v>
          </cell>
        </row>
        <row r="658">
          <cell r="A658" t="str">
            <v>4100.Other</v>
          </cell>
          <cell r="D658">
            <v>-12542.78</v>
          </cell>
        </row>
        <row r="659">
          <cell r="A659" t="str">
            <v>4100.Other</v>
          </cell>
          <cell r="D659">
            <v>-1069.95</v>
          </cell>
        </row>
        <row r="660">
          <cell r="A660" t="str">
            <v>4100.Other</v>
          </cell>
          <cell r="D660">
            <v>-28051.88</v>
          </cell>
        </row>
        <row r="661">
          <cell r="A661" t="str">
            <v>4100.Other</v>
          </cell>
          <cell r="D661">
            <v>0</v>
          </cell>
        </row>
        <row r="662">
          <cell r="A662" t="str">
            <v>4100.Other</v>
          </cell>
          <cell r="D662">
            <v>0</v>
          </cell>
        </row>
        <row r="663">
          <cell r="A663" t="str">
            <v>4100.Other</v>
          </cell>
          <cell r="D663">
            <v>-586.94000000000005</v>
          </cell>
        </row>
        <row r="664">
          <cell r="A664" t="str">
            <v>4100.Other</v>
          </cell>
          <cell r="D664">
            <v>-15883.52</v>
          </cell>
        </row>
        <row r="665">
          <cell r="A665" t="str">
            <v>4100.Other</v>
          </cell>
          <cell r="D665">
            <v>-19962.439999999999</v>
          </cell>
        </row>
        <row r="666">
          <cell r="A666" t="str">
            <v>4100.Other</v>
          </cell>
          <cell r="D666">
            <v>-21249.22</v>
          </cell>
        </row>
        <row r="667">
          <cell r="A667" t="str">
            <v>4100.Other</v>
          </cell>
          <cell r="D667">
            <v>-161.33000000000001</v>
          </cell>
        </row>
        <row r="668">
          <cell r="A668" t="str">
            <v>4100.Other</v>
          </cell>
          <cell r="D668">
            <v>0</v>
          </cell>
        </row>
        <row r="669">
          <cell r="A669" t="str">
            <v>4100.Other</v>
          </cell>
          <cell r="D669">
            <v>-10165.709999999999</v>
          </cell>
        </row>
        <row r="670">
          <cell r="A670" t="str">
            <v>4100.Other</v>
          </cell>
          <cell r="D670">
            <v>-41019.629999999997</v>
          </cell>
        </row>
        <row r="671">
          <cell r="A671" t="str">
            <v>4100.Other</v>
          </cell>
          <cell r="D671">
            <v>-25047.63</v>
          </cell>
        </row>
        <row r="672">
          <cell r="A672" t="str">
            <v>4100.Other</v>
          </cell>
          <cell r="D672">
            <v>0</v>
          </cell>
        </row>
        <row r="673">
          <cell r="A673" t="str">
            <v>4100.Other</v>
          </cell>
          <cell r="D673">
            <v>0</v>
          </cell>
        </row>
        <row r="674">
          <cell r="A674" t="str">
            <v>4100.Other</v>
          </cell>
          <cell r="D674">
            <v>0</v>
          </cell>
        </row>
        <row r="675">
          <cell r="A675" t="str">
            <v>4100.Other</v>
          </cell>
          <cell r="D675">
            <v>0</v>
          </cell>
        </row>
        <row r="676">
          <cell r="A676" t="str">
            <v>4100.Other</v>
          </cell>
          <cell r="D676">
            <v>-5184.45</v>
          </cell>
        </row>
        <row r="677">
          <cell r="A677" t="str">
            <v>4100.Other</v>
          </cell>
          <cell r="D677">
            <v>-1332.61</v>
          </cell>
        </row>
        <row r="678">
          <cell r="A678" t="str">
            <v>4100.Other</v>
          </cell>
          <cell r="D678">
            <v>-22371.119999999999</v>
          </cell>
        </row>
        <row r="679">
          <cell r="A679" t="str">
            <v>4100.Other</v>
          </cell>
          <cell r="D679">
            <v>0</v>
          </cell>
        </row>
        <row r="680">
          <cell r="A680" t="str">
            <v>4100.Other</v>
          </cell>
          <cell r="D680">
            <v>0</v>
          </cell>
        </row>
        <row r="681">
          <cell r="A681" t="str">
            <v>4100.Other</v>
          </cell>
          <cell r="D681">
            <v>-3492.8</v>
          </cell>
        </row>
        <row r="682">
          <cell r="A682" t="str">
            <v>4100.Other</v>
          </cell>
          <cell r="D682">
            <v>0</v>
          </cell>
        </row>
        <row r="683">
          <cell r="A683" t="str">
            <v>4100.Other</v>
          </cell>
          <cell r="D683">
            <v>0</v>
          </cell>
        </row>
        <row r="684">
          <cell r="A684" t="str">
            <v>4100.Other</v>
          </cell>
          <cell r="D684">
            <v>0</v>
          </cell>
        </row>
        <row r="685">
          <cell r="A685" t="str">
            <v>4100.Other</v>
          </cell>
          <cell r="D685">
            <v>0</v>
          </cell>
        </row>
        <row r="686">
          <cell r="A686" t="str">
            <v>4100.Other</v>
          </cell>
          <cell r="D686">
            <v>0</v>
          </cell>
        </row>
        <row r="687">
          <cell r="A687" t="str">
            <v>4100.Other</v>
          </cell>
          <cell r="D687">
            <v>0</v>
          </cell>
        </row>
        <row r="688">
          <cell r="A688" t="str">
            <v>4100.Other</v>
          </cell>
          <cell r="D688">
            <v>0</v>
          </cell>
        </row>
        <row r="689">
          <cell r="A689" t="str">
            <v>4100.Other</v>
          </cell>
          <cell r="D689">
            <v>0</v>
          </cell>
        </row>
        <row r="690">
          <cell r="A690" t="str">
            <v>Total Direct Burden</v>
          </cell>
          <cell r="D690">
            <v>-300262.91999999993</v>
          </cell>
        </row>
        <row r="691">
          <cell r="A691" t="str">
            <v>4100.Other</v>
          </cell>
          <cell r="D691">
            <v>0</v>
          </cell>
        </row>
        <row r="692">
          <cell r="A692" t="str">
            <v>4100.Other</v>
          </cell>
          <cell r="D692">
            <v>0</v>
          </cell>
        </row>
        <row r="693">
          <cell r="A693" t="str">
            <v>4100.Other</v>
          </cell>
          <cell r="D693">
            <v>-7075.44</v>
          </cell>
        </row>
        <row r="694">
          <cell r="A694" t="str">
            <v>4100.Other</v>
          </cell>
          <cell r="D694">
            <v>0</v>
          </cell>
        </row>
        <row r="695">
          <cell r="A695" t="str">
            <v>4100.Other</v>
          </cell>
          <cell r="D695">
            <v>-1638.61</v>
          </cell>
        </row>
        <row r="696">
          <cell r="A696" t="str">
            <v>4100.Other</v>
          </cell>
          <cell r="D696">
            <v>0</v>
          </cell>
        </row>
        <row r="697">
          <cell r="A697" t="str">
            <v>4100.Other</v>
          </cell>
          <cell r="D697">
            <v>-1623.28</v>
          </cell>
        </row>
        <row r="698">
          <cell r="A698" t="str">
            <v>4100.Other</v>
          </cell>
          <cell r="D698">
            <v>0</v>
          </cell>
        </row>
        <row r="699">
          <cell r="A699" t="str">
            <v>4100.Other</v>
          </cell>
          <cell r="D699">
            <v>-14358.17</v>
          </cell>
        </row>
        <row r="700">
          <cell r="A700" t="str">
            <v>4100.Other</v>
          </cell>
          <cell r="D700">
            <v>0</v>
          </cell>
        </row>
        <row r="701">
          <cell r="A701" t="str">
            <v>4100.Other</v>
          </cell>
          <cell r="D701">
            <v>0</v>
          </cell>
        </row>
        <row r="702">
          <cell r="A702" t="str">
            <v>4100.Other</v>
          </cell>
          <cell r="D702">
            <v>0</v>
          </cell>
        </row>
        <row r="703">
          <cell r="A703" t="str">
            <v>4100.Other</v>
          </cell>
          <cell r="D703">
            <v>0</v>
          </cell>
        </row>
        <row r="704">
          <cell r="A704" t="str">
            <v>4100.Other</v>
          </cell>
          <cell r="D704">
            <v>0</v>
          </cell>
        </row>
        <row r="705">
          <cell r="A705" t="str">
            <v>4100.Other</v>
          </cell>
          <cell r="D705">
            <v>0</v>
          </cell>
        </row>
        <row r="706">
          <cell r="A706" t="str">
            <v>4100.Other</v>
          </cell>
          <cell r="D706">
            <v>-1996.18</v>
          </cell>
        </row>
        <row r="707">
          <cell r="A707" t="str">
            <v>4100.Other</v>
          </cell>
          <cell r="D707">
            <v>-154.97</v>
          </cell>
        </row>
        <row r="708">
          <cell r="A708" t="str">
            <v>4100.Other</v>
          </cell>
          <cell r="D708">
            <v>-7048.01</v>
          </cell>
        </row>
        <row r="709">
          <cell r="A709" t="str">
            <v>4100.Other</v>
          </cell>
          <cell r="D709">
            <v>0</v>
          </cell>
        </row>
        <row r="710">
          <cell r="A710" t="str">
            <v>4100.Other</v>
          </cell>
          <cell r="D710">
            <v>0</v>
          </cell>
        </row>
        <row r="711">
          <cell r="A711" t="str">
            <v>4100.Other</v>
          </cell>
          <cell r="D711">
            <v>-274.22000000000003</v>
          </cell>
        </row>
        <row r="712">
          <cell r="A712" t="str">
            <v>4100.Other</v>
          </cell>
          <cell r="D712">
            <v>-995.13</v>
          </cell>
        </row>
        <row r="713">
          <cell r="A713" t="str">
            <v>4100.Other</v>
          </cell>
          <cell r="D713">
            <v>-4390.95</v>
          </cell>
        </row>
        <row r="714">
          <cell r="A714" t="str">
            <v>4100.Other</v>
          </cell>
          <cell r="D714">
            <v>-4781.3</v>
          </cell>
        </row>
        <row r="715">
          <cell r="A715" t="str">
            <v>4100.Other</v>
          </cell>
          <cell r="D715">
            <v>0</v>
          </cell>
        </row>
        <row r="716">
          <cell r="A716" t="str">
            <v>4100.Other</v>
          </cell>
          <cell r="D716">
            <v>0</v>
          </cell>
        </row>
        <row r="717">
          <cell r="A717" t="str">
            <v>4100.Other</v>
          </cell>
          <cell r="D717">
            <v>-450.14</v>
          </cell>
        </row>
        <row r="718">
          <cell r="A718" t="str">
            <v>4100.Other</v>
          </cell>
          <cell r="D718">
            <v>-268.67</v>
          </cell>
        </row>
        <row r="719">
          <cell r="A719" t="str">
            <v>4100.Other</v>
          </cell>
          <cell r="D719">
            <v>-2897.45</v>
          </cell>
        </row>
        <row r="720">
          <cell r="A720" t="str">
            <v>4100.Other</v>
          </cell>
          <cell r="D720">
            <v>0</v>
          </cell>
        </row>
        <row r="721">
          <cell r="A721" t="str">
            <v>4100.Other</v>
          </cell>
          <cell r="D721">
            <v>0</v>
          </cell>
        </row>
        <row r="722">
          <cell r="A722" t="str">
            <v>4100.Other</v>
          </cell>
          <cell r="D722">
            <v>6040.25</v>
          </cell>
        </row>
        <row r="723">
          <cell r="A723" t="str">
            <v>4100.Other</v>
          </cell>
          <cell r="D723">
            <v>0</v>
          </cell>
        </row>
        <row r="724">
          <cell r="A724" t="str">
            <v>4100.Other</v>
          </cell>
          <cell r="D724">
            <v>0</v>
          </cell>
        </row>
        <row r="725">
          <cell r="A725" t="str">
            <v>4100.Other</v>
          </cell>
          <cell r="D725">
            <v>-6.65</v>
          </cell>
        </row>
        <row r="726">
          <cell r="A726" t="str">
            <v>4100.Other</v>
          </cell>
          <cell r="D726">
            <v>-2399.87</v>
          </cell>
        </row>
        <row r="727">
          <cell r="A727" t="str">
            <v>4100.Other</v>
          </cell>
          <cell r="D727">
            <v>-121748.41</v>
          </cell>
        </row>
        <row r="728">
          <cell r="A728" t="str">
            <v>4100.Other</v>
          </cell>
          <cell r="D728">
            <v>0</v>
          </cell>
        </row>
        <row r="729">
          <cell r="A729" t="str">
            <v>4100.Other</v>
          </cell>
          <cell r="D729">
            <v>-113.05</v>
          </cell>
        </row>
        <row r="730">
          <cell r="A730" t="str">
            <v>4100.Other</v>
          </cell>
          <cell r="D730">
            <v>0</v>
          </cell>
        </row>
        <row r="731">
          <cell r="A731" t="str">
            <v>4100.Other</v>
          </cell>
          <cell r="D731">
            <v>0</v>
          </cell>
        </row>
        <row r="732">
          <cell r="A732" t="str">
            <v>4100.Other</v>
          </cell>
          <cell r="D732">
            <v>0</v>
          </cell>
        </row>
        <row r="733">
          <cell r="A733" t="str">
            <v>4100.Other</v>
          </cell>
          <cell r="D733">
            <v>0</v>
          </cell>
        </row>
        <row r="734">
          <cell r="A734" t="str">
            <v>4100.Other</v>
          </cell>
          <cell r="D734">
            <v>0</v>
          </cell>
        </row>
        <row r="735">
          <cell r="A735" t="str">
            <v>4100.Other</v>
          </cell>
          <cell r="D735">
            <v>0</v>
          </cell>
        </row>
        <row r="736">
          <cell r="A736" t="str">
            <v>4100.Other</v>
          </cell>
          <cell r="D736">
            <v>0</v>
          </cell>
        </row>
        <row r="737">
          <cell r="A737" t="str">
            <v>4100.Other</v>
          </cell>
          <cell r="D737">
            <v>0</v>
          </cell>
        </row>
        <row r="738">
          <cell r="A738" t="str">
            <v>Total Services</v>
          </cell>
          <cell r="D738">
            <v>-166180.25</v>
          </cell>
        </row>
        <row r="739">
          <cell r="A739" t="str">
            <v>4100.Other</v>
          </cell>
          <cell r="D739">
            <v>-19125.2</v>
          </cell>
        </row>
        <row r="740">
          <cell r="A740" t="str">
            <v>4100.Other</v>
          </cell>
          <cell r="D740">
            <v>0</v>
          </cell>
        </row>
        <row r="741">
          <cell r="A741" t="str">
            <v>4100.Other</v>
          </cell>
          <cell r="D741">
            <v>-3155.4</v>
          </cell>
        </row>
        <row r="742">
          <cell r="A742" t="str">
            <v>4100.Other</v>
          </cell>
          <cell r="D742">
            <v>0</v>
          </cell>
        </row>
        <row r="743">
          <cell r="A743" t="str">
            <v>4100.Other</v>
          </cell>
          <cell r="D743">
            <v>-2889.43</v>
          </cell>
        </row>
        <row r="744">
          <cell r="A744" t="str">
            <v>4100.Other</v>
          </cell>
          <cell r="D744">
            <v>0</v>
          </cell>
        </row>
        <row r="745">
          <cell r="A745" t="str">
            <v>4100.Other</v>
          </cell>
          <cell r="D745">
            <v>-5742.46</v>
          </cell>
        </row>
        <row r="746">
          <cell r="A746" t="str">
            <v>4100.Other</v>
          </cell>
          <cell r="D746">
            <v>0</v>
          </cell>
        </row>
        <row r="747">
          <cell r="A747" t="str">
            <v>4100.Other</v>
          </cell>
          <cell r="D747">
            <v>-9435.7099999999991</v>
          </cell>
        </row>
        <row r="748">
          <cell r="A748" t="str">
            <v>4100.Other</v>
          </cell>
          <cell r="D748">
            <v>158.16</v>
          </cell>
        </row>
        <row r="749">
          <cell r="A749" t="str">
            <v>4100.Other</v>
          </cell>
          <cell r="D749">
            <v>0</v>
          </cell>
        </row>
        <row r="750">
          <cell r="A750" t="str">
            <v>4100.Other</v>
          </cell>
          <cell r="D750">
            <v>0</v>
          </cell>
        </row>
        <row r="751">
          <cell r="A751" t="str">
            <v>4100.Other</v>
          </cell>
          <cell r="D751">
            <v>0</v>
          </cell>
        </row>
        <row r="752">
          <cell r="A752" t="str">
            <v>4100.Other</v>
          </cell>
          <cell r="D752">
            <v>0</v>
          </cell>
        </row>
        <row r="753">
          <cell r="A753" t="str">
            <v>4100.Other</v>
          </cell>
          <cell r="D753">
            <v>0</v>
          </cell>
        </row>
        <row r="754">
          <cell r="A754" t="str">
            <v>4100.Other</v>
          </cell>
          <cell r="D754">
            <v>0</v>
          </cell>
        </row>
        <row r="755">
          <cell r="A755" t="str">
            <v>4100.Other</v>
          </cell>
          <cell r="D755">
            <v>0</v>
          </cell>
        </row>
        <row r="756">
          <cell r="A756" t="str">
            <v>4100.Other</v>
          </cell>
          <cell r="D756">
            <v>3207.93</v>
          </cell>
        </row>
        <row r="757">
          <cell r="A757" t="str">
            <v>4100.Other</v>
          </cell>
          <cell r="D757">
            <v>245.8</v>
          </cell>
        </row>
        <row r="758">
          <cell r="A758" t="str">
            <v>4100.Other</v>
          </cell>
          <cell r="D758">
            <v>0</v>
          </cell>
        </row>
        <row r="759">
          <cell r="A759" t="str">
            <v>4100.Other</v>
          </cell>
          <cell r="D759">
            <v>0</v>
          </cell>
        </row>
        <row r="760">
          <cell r="A760" t="str">
            <v>4100.Other</v>
          </cell>
          <cell r="D760">
            <v>82.7</v>
          </cell>
        </row>
        <row r="761">
          <cell r="A761" t="str">
            <v>4100.Other</v>
          </cell>
          <cell r="D761">
            <v>-209.55</v>
          </cell>
        </row>
        <row r="762">
          <cell r="A762" t="str">
            <v>4100.Other</v>
          </cell>
          <cell r="D762">
            <v>0</v>
          </cell>
        </row>
        <row r="763">
          <cell r="A763" t="str">
            <v>4100.Other</v>
          </cell>
          <cell r="D763">
            <v>326.25</v>
          </cell>
        </row>
        <row r="764">
          <cell r="A764" t="str">
            <v>4100.Other</v>
          </cell>
          <cell r="D764">
            <v>0</v>
          </cell>
        </row>
        <row r="765">
          <cell r="A765" t="str">
            <v>4100.Other</v>
          </cell>
          <cell r="D765">
            <v>-345.99</v>
          </cell>
        </row>
        <row r="766">
          <cell r="A766" t="str">
            <v>4100.Other</v>
          </cell>
          <cell r="D766">
            <v>-284.14</v>
          </cell>
        </row>
        <row r="767">
          <cell r="A767" t="str">
            <v>4100.Other</v>
          </cell>
          <cell r="D767">
            <v>0</v>
          </cell>
        </row>
        <row r="768">
          <cell r="A768" t="str">
            <v>4100.Other</v>
          </cell>
          <cell r="D768">
            <v>0</v>
          </cell>
        </row>
        <row r="769">
          <cell r="A769" t="str">
            <v>4100.Other</v>
          </cell>
          <cell r="D769">
            <v>-398.86</v>
          </cell>
        </row>
        <row r="770">
          <cell r="A770" t="str">
            <v>4100.Other</v>
          </cell>
          <cell r="D770">
            <v>0</v>
          </cell>
        </row>
        <row r="771">
          <cell r="A771" t="str">
            <v>4100.Other</v>
          </cell>
          <cell r="D771">
            <v>0</v>
          </cell>
        </row>
        <row r="772">
          <cell r="A772" t="str">
            <v>4100.Other</v>
          </cell>
          <cell r="D772">
            <v>0</v>
          </cell>
        </row>
        <row r="773">
          <cell r="A773" t="str">
            <v>4100.Other</v>
          </cell>
          <cell r="D773">
            <v>0</v>
          </cell>
        </row>
        <row r="774">
          <cell r="A774" t="str">
            <v>4100.Other</v>
          </cell>
          <cell r="D774">
            <v>203.77</v>
          </cell>
        </row>
        <row r="775">
          <cell r="A775" t="str">
            <v>4100.Other</v>
          </cell>
          <cell r="D775">
            <v>0</v>
          </cell>
        </row>
        <row r="776">
          <cell r="A776" t="str">
            <v>4100.Other</v>
          </cell>
          <cell r="D776">
            <v>0</v>
          </cell>
        </row>
        <row r="777">
          <cell r="A777" t="str">
            <v>4100.Other</v>
          </cell>
          <cell r="D777">
            <v>-789.11</v>
          </cell>
        </row>
        <row r="778">
          <cell r="A778" t="str">
            <v>4100.Other</v>
          </cell>
          <cell r="D778">
            <v>0</v>
          </cell>
        </row>
        <row r="779">
          <cell r="A779" t="str">
            <v>4100.Other</v>
          </cell>
          <cell r="D779">
            <v>7805.76</v>
          </cell>
        </row>
        <row r="780">
          <cell r="A780" t="str">
            <v>4100.Other</v>
          </cell>
          <cell r="D780">
            <v>0</v>
          </cell>
        </row>
        <row r="781">
          <cell r="A781" t="str">
            <v>4100.Other</v>
          </cell>
          <cell r="D781">
            <v>0</v>
          </cell>
        </row>
        <row r="782">
          <cell r="A782" t="str">
            <v>4100.Other</v>
          </cell>
          <cell r="D782">
            <v>0</v>
          </cell>
        </row>
        <row r="783">
          <cell r="A783" t="str">
            <v>4100.Other</v>
          </cell>
          <cell r="D783">
            <v>-22869.84</v>
          </cell>
        </row>
        <row r="784">
          <cell r="A784" t="str">
            <v>4100.Other</v>
          </cell>
          <cell r="D784">
            <v>0</v>
          </cell>
        </row>
        <row r="785">
          <cell r="A785" t="str">
            <v>4100.Other</v>
          </cell>
          <cell r="D785">
            <v>0</v>
          </cell>
        </row>
        <row r="786">
          <cell r="A786" t="str">
            <v>Total Adjustment to Inventory</v>
          </cell>
          <cell r="D786">
            <v>-53215.319999999992</v>
          </cell>
        </row>
        <row r="787">
          <cell r="A787" t="str">
            <v>4100.Other</v>
          </cell>
          <cell r="D787">
            <v>0</v>
          </cell>
        </row>
        <row r="788">
          <cell r="A788" t="str">
            <v>4100.Other</v>
          </cell>
          <cell r="D788">
            <v>0</v>
          </cell>
        </row>
        <row r="789">
          <cell r="A789" t="str">
            <v>4100.Other</v>
          </cell>
          <cell r="D789">
            <v>0</v>
          </cell>
        </row>
        <row r="790">
          <cell r="A790" t="str">
            <v>4100.Other</v>
          </cell>
          <cell r="D790">
            <v>0</v>
          </cell>
        </row>
        <row r="791">
          <cell r="A791" t="str">
            <v>4100.Other</v>
          </cell>
          <cell r="D791">
            <v>0</v>
          </cell>
        </row>
        <row r="792">
          <cell r="A792" t="str">
            <v>4100.Other</v>
          </cell>
          <cell r="D792">
            <v>0</v>
          </cell>
        </row>
        <row r="793">
          <cell r="A793" t="str">
            <v>4100.Other</v>
          </cell>
          <cell r="D793">
            <v>0</v>
          </cell>
        </row>
        <row r="794">
          <cell r="A794" t="str">
            <v>4100.Other</v>
          </cell>
          <cell r="D794">
            <v>0</v>
          </cell>
        </row>
        <row r="795">
          <cell r="A795" t="str">
            <v>4100.Other</v>
          </cell>
          <cell r="D795">
            <v>0</v>
          </cell>
        </row>
        <row r="796">
          <cell r="A796" t="str">
            <v>4100.Other</v>
          </cell>
          <cell r="D796">
            <v>179.6</v>
          </cell>
        </row>
        <row r="797">
          <cell r="A797" t="str">
            <v>4100.Other</v>
          </cell>
          <cell r="D797">
            <v>0</v>
          </cell>
        </row>
        <row r="798">
          <cell r="A798" t="str">
            <v>4100.Other</v>
          </cell>
          <cell r="D798">
            <v>327.23</v>
          </cell>
        </row>
        <row r="799">
          <cell r="A799" t="str">
            <v>4100.Other</v>
          </cell>
          <cell r="D799">
            <v>0</v>
          </cell>
        </row>
        <row r="800">
          <cell r="A800" t="str">
            <v>4100.Other</v>
          </cell>
          <cell r="D800">
            <v>324.7</v>
          </cell>
        </row>
        <row r="801">
          <cell r="A801" t="str">
            <v>4100.Other</v>
          </cell>
          <cell r="D801">
            <v>0</v>
          </cell>
        </row>
        <row r="802">
          <cell r="A802" t="str">
            <v>4100.Other</v>
          </cell>
          <cell r="D802">
            <v>-2223.92</v>
          </cell>
        </row>
        <row r="803">
          <cell r="A803" t="str">
            <v>4100.Other</v>
          </cell>
          <cell r="D803">
            <v>0</v>
          </cell>
        </row>
        <row r="804">
          <cell r="A804" t="str">
            <v>4100.Other</v>
          </cell>
          <cell r="D804">
            <v>-153.78</v>
          </cell>
        </row>
        <row r="805">
          <cell r="A805" t="str">
            <v>4100.Other</v>
          </cell>
          <cell r="D805">
            <v>0.01</v>
          </cell>
        </row>
        <row r="806">
          <cell r="A806" t="str">
            <v>4100.Other</v>
          </cell>
          <cell r="D806">
            <v>0</v>
          </cell>
        </row>
        <row r="807">
          <cell r="A807" t="str">
            <v>4100.Other</v>
          </cell>
          <cell r="D807">
            <v>0</v>
          </cell>
        </row>
        <row r="808">
          <cell r="A808" t="str">
            <v>4100.Other</v>
          </cell>
          <cell r="D808">
            <v>0</v>
          </cell>
        </row>
        <row r="809">
          <cell r="A809" t="str">
            <v>4100.Other</v>
          </cell>
          <cell r="D809">
            <v>170.42</v>
          </cell>
        </row>
        <row r="810">
          <cell r="A810" t="str">
            <v>4100.Other</v>
          </cell>
          <cell r="D810">
            <v>0</v>
          </cell>
        </row>
        <row r="811">
          <cell r="A811" t="str">
            <v>4100.Other</v>
          </cell>
          <cell r="D811">
            <v>-49.33</v>
          </cell>
        </row>
        <row r="812">
          <cell r="A812" t="str">
            <v>4100.Other</v>
          </cell>
          <cell r="D812">
            <v>0</v>
          </cell>
        </row>
        <row r="813">
          <cell r="A813" t="str">
            <v>4100.Other</v>
          </cell>
          <cell r="D813">
            <v>0</v>
          </cell>
        </row>
        <row r="814">
          <cell r="A814" t="str">
            <v>4100.Other</v>
          </cell>
          <cell r="D814">
            <v>-0.01</v>
          </cell>
        </row>
        <row r="815">
          <cell r="A815" t="str">
            <v>4100.Other</v>
          </cell>
          <cell r="D815">
            <v>-162.08000000000001</v>
          </cell>
        </row>
        <row r="816">
          <cell r="A816" t="str">
            <v>4100.Other</v>
          </cell>
          <cell r="D816">
            <v>-1637.91</v>
          </cell>
        </row>
        <row r="817">
          <cell r="A817" t="str">
            <v>4100.Other</v>
          </cell>
          <cell r="D817">
            <v>-599.05999999999995</v>
          </cell>
        </row>
        <row r="818">
          <cell r="A818" t="str">
            <v>4100.Other</v>
          </cell>
          <cell r="D818">
            <v>-0.01</v>
          </cell>
        </row>
        <row r="819">
          <cell r="A819" t="str">
            <v>4100.Other</v>
          </cell>
          <cell r="D819">
            <v>-0.01</v>
          </cell>
        </row>
        <row r="820">
          <cell r="A820" t="str">
            <v>4100.Other</v>
          </cell>
          <cell r="D820">
            <v>37.340000000000003</v>
          </cell>
        </row>
        <row r="821">
          <cell r="A821" t="str">
            <v>4100.Other</v>
          </cell>
          <cell r="D821">
            <v>-601.5</v>
          </cell>
        </row>
        <row r="822">
          <cell r="A822" t="str">
            <v>4100.Other</v>
          </cell>
          <cell r="D822">
            <v>-53.66</v>
          </cell>
        </row>
        <row r="823">
          <cell r="A823" t="str">
            <v>4100.Other</v>
          </cell>
          <cell r="D823">
            <v>0</v>
          </cell>
        </row>
        <row r="824">
          <cell r="A824" t="str">
            <v>4100.Other</v>
          </cell>
          <cell r="D824">
            <v>0</v>
          </cell>
        </row>
        <row r="825">
          <cell r="A825" t="str">
            <v>4100.Other</v>
          </cell>
          <cell r="D825">
            <v>0</v>
          </cell>
        </row>
        <row r="826">
          <cell r="A826" t="str">
            <v>4100.Other</v>
          </cell>
          <cell r="D826">
            <v>0</v>
          </cell>
        </row>
        <row r="827">
          <cell r="A827" t="str">
            <v>4100.Other</v>
          </cell>
          <cell r="D827">
            <v>-0.01</v>
          </cell>
        </row>
        <row r="828">
          <cell r="A828" t="str">
            <v>4100.Other</v>
          </cell>
          <cell r="D828">
            <v>-79.430000000000007</v>
          </cell>
        </row>
        <row r="829">
          <cell r="A829" t="str">
            <v>4100.Other</v>
          </cell>
          <cell r="D829">
            <v>-134.27000000000001</v>
          </cell>
        </row>
        <row r="830">
          <cell r="A830" t="str">
            <v>4100.Other</v>
          </cell>
          <cell r="D830">
            <v>0</v>
          </cell>
        </row>
        <row r="831">
          <cell r="A831" t="str">
            <v>4100.Other</v>
          </cell>
          <cell r="D831">
            <v>0</v>
          </cell>
        </row>
        <row r="832">
          <cell r="A832" t="str">
            <v>4100.Other</v>
          </cell>
          <cell r="D832">
            <v>-7738.37</v>
          </cell>
        </row>
        <row r="833">
          <cell r="A833" t="str">
            <v>4100.Other</v>
          </cell>
          <cell r="D833">
            <v>0</v>
          </cell>
        </row>
        <row r="834">
          <cell r="A834" t="str">
            <v>4100.Other</v>
          </cell>
          <cell r="D834">
            <v>0</v>
          </cell>
        </row>
        <row r="835">
          <cell r="A835" t="str">
            <v>4100.Other</v>
          </cell>
          <cell r="D835">
            <v>-10572.59</v>
          </cell>
        </row>
        <row r="836">
          <cell r="A836" t="str">
            <v>4100.Other</v>
          </cell>
          <cell r="D836">
            <v>0</v>
          </cell>
        </row>
        <row r="837">
          <cell r="A837" t="str">
            <v>4100.Other</v>
          </cell>
          <cell r="D837">
            <v>0</v>
          </cell>
        </row>
        <row r="838">
          <cell r="A838" t="str">
            <v>4100.Other</v>
          </cell>
          <cell r="D838">
            <v>0</v>
          </cell>
        </row>
        <row r="839">
          <cell r="A839" t="str">
            <v>4100.Other</v>
          </cell>
          <cell r="D839">
            <v>0</v>
          </cell>
        </row>
        <row r="840">
          <cell r="A840" t="str">
            <v>4100.Other</v>
          </cell>
          <cell r="D840">
            <v>0</v>
          </cell>
        </row>
        <row r="841">
          <cell r="A841" t="str">
            <v>Total Variances Production Material</v>
          </cell>
          <cell r="D841">
            <v>-22966.639999999999</v>
          </cell>
        </row>
        <row r="842">
          <cell r="A842" t="str">
            <v>4100.Other</v>
          </cell>
          <cell r="D842">
            <v>0</v>
          </cell>
        </row>
        <row r="843">
          <cell r="A843" t="str">
            <v>4100.Other</v>
          </cell>
          <cell r="D843">
            <v>0</v>
          </cell>
        </row>
        <row r="844">
          <cell r="A844" t="str">
            <v>4100.Other</v>
          </cell>
          <cell r="D844">
            <v>26046.89</v>
          </cell>
        </row>
        <row r="845">
          <cell r="A845" t="str">
            <v>4100.Other</v>
          </cell>
          <cell r="D845">
            <v>0</v>
          </cell>
        </row>
        <row r="846">
          <cell r="A846" t="str">
            <v>4100.Other</v>
          </cell>
          <cell r="D846">
            <v>3895.73</v>
          </cell>
        </row>
        <row r="847">
          <cell r="A847" t="str">
            <v>4100.Other</v>
          </cell>
          <cell r="D847">
            <v>0</v>
          </cell>
        </row>
        <row r="848">
          <cell r="A848" t="str">
            <v>4100.Other</v>
          </cell>
          <cell r="D848">
            <v>633.34</v>
          </cell>
        </row>
        <row r="849">
          <cell r="A849" t="str">
            <v>4100.Other</v>
          </cell>
          <cell r="D849">
            <v>0</v>
          </cell>
        </row>
        <row r="850">
          <cell r="A850" t="str">
            <v>4100.Other</v>
          </cell>
          <cell r="D850">
            <v>180403.75</v>
          </cell>
        </row>
        <row r="851">
          <cell r="A851" t="str">
            <v>4100.Other</v>
          </cell>
          <cell r="D851">
            <v>0</v>
          </cell>
        </row>
        <row r="852">
          <cell r="A852" t="str">
            <v>4100.Other</v>
          </cell>
          <cell r="D852">
            <v>179.28</v>
          </cell>
        </row>
        <row r="853">
          <cell r="A853" t="str">
            <v>4100.Other</v>
          </cell>
          <cell r="D853">
            <v>4.68</v>
          </cell>
        </row>
        <row r="854">
          <cell r="A854" t="str">
            <v>4100.Other</v>
          </cell>
          <cell r="D854">
            <v>0</v>
          </cell>
        </row>
        <row r="855">
          <cell r="A855" t="str">
            <v>4100.Other</v>
          </cell>
          <cell r="D855">
            <v>0</v>
          </cell>
        </row>
        <row r="856">
          <cell r="A856" t="str">
            <v>4100.Other</v>
          </cell>
          <cell r="D856">
            <v>0</v>
          </cell>
        </row>
        <row r="857">
          <cell r="A857" t="str">
            <v>4100.Other</v>
          </cell>
          <cell r="D857">
            <v>-9485.64</v>
          </cell>
        </row>
        <row r="858">
          <cell r="A858" t="str">
            <v>4100.Other</v>
          </cell>
          <cell r="D858">
            <v>40.450000000000003</v>
          </cell>
        </row>
        <row r="859">
          <cell r="A859" t="str">
            <v>4100.Other</v>
          </cell>
          <cell r="D859">
            <v>1068.22</v>
          </cell>
        </row>
        <row r="860">
          <cell r="A860" t="str">
            <v>4100.Other</v>
          </cell>
          <cell r="D860">
            <v>0</v>
          </cell>
        </row>
        <row r="861">
          <cell r="A861" t="str">
            <v>4100.Other</v>
          </cell>
          <cell r="D861">
            <v>0</v>
          </cell>
        </row>
        <row r="862">
          <cell r="A862" t="str">
            <v>4100.Other</v>
          </cell>
          <cell r="D862">
            <v>-385.46</v>
          </cell>
        </row>
        <row r="863">
          <cell r="A863" t="str">
            <v>4100.Other</v>
          </cell>
          <cell r="D863">
            <v>1676.44</v>
          </cell>
        </row>
        <row r="864">
          <cell r="A864" t="str">
            <v>4100.Other</v>
          </cell>
          <cell r="D864">
            <v>2937.87</v>
          </cell>
        </row>
        <row r="865">
          <cell r="A865" t="str">
            <v>4100.Other</v>
          </cell>
          <cell r="D865">
            <v>1888.22</v>
          </cell>
        </row>
        <row r="866">
          <cell r="A866" t="str">
            <v>4100.Other</v>
          </cell>
          <cell r="D866">
            <v>135.63</v>
          </cell>
        </row>
        <row r="867">
          <cell r="A867" t="str">
            <v>4100.Other</v>
          </cell>
          <cell r="D867">
            <v>31.08</v>
          </cell>
        </row>
        <row r="868">
          <cell r="A868" t="str">
            <v>4100.Other</v>
          </cell>
          <cell r="D868">
            <v>1967.78</v>
          </cell>
        </row>
        <row r="869">
          <cell r="A869" t="str">
            <v>4100.Other</v>
          </cell>
          <cell r="D869">
            <v>10478.549999999999</v>
          </cell>
        </row>
        <row r="870">
          <cell r="A870" t="str">
            <v>4100.Other</v>
          </cell>
          <cell r="D870">
            <v>2375.16</v>
          </cell>
        </row>
        <row r="871">
          <cell r="A871" t="str">
            <v>4100.Other</v>
          </cell>
          <cell r="D871">
            <v>0</v>
          </cell>
        </row>
        <row r="872">
          <cell r="A872" t="str">
            <v>4100.Other</v>
          </cell>
          <cell r="D872">
            <v>0</v>
          </cell>
        </row>
        <row r="873">
          <cell r="A873" t="str">
            <v>4100.Other</v>
          </cell>
          <cell r="D873">
            <v>0</v>
          </cell>
        </row>
        <row r="874">
          <cell r="A874" t="str">
            <v>4100.Other</v>
          </cell>
          <cell r="D874">
            <v>0</v>
          </cell>
        </row>
        <row r="875">
          <cell r="A875" t="str">
            <v>4100.Other</v>
          </cell>
          <cell r="D875">
            <v>243.62</v>
          </cell>
        </row>
        <row r="876">
          <cell r="A876" t="str">
            <v>4100.Other</v>
          </cell>
          <cell r="D876">
            <v>26.38</v>
          </cell>
        </row>
        <row r="877">
          <cell r="A877" t="str">
            <v>4100.Other</v>
          </cell>
          <cell r="D877">
            <v>203.95</v>
          </cell>
        </row>
        <row r="878">
          <cell r="A878" t="str">
            <v>4100.Other</v>
          </cell>
          <cell r="D878">
            <v>0</v>
          </cell>
        </row>
        <row r="879">
          <cell r="A879" t="str">
            <v>4100.Other</v>
          </cell>
          <cell r="D879">
            <v>0</v>
          </cell>
        </row>
        <row r="880">
          <cell r="A880" t="str">
            <v>4100.Other</v>
          </cell>
          <cell r="D880">
            <v>-205.96</v>
          </cell>
        </row>
        <row r="881">
          <cell r="A881" t="str">
            <v>4100.Other</v>
          </cell>
          <cell r="D881">
            <v>0</v>
          </cell>
        </row>
        <row r="882">
          <cell r="A882" t="str">
            <v>4100.Other</v>
          </cell>
          <cell r="D882">
            <v>0</v>
          </cell>
        </row>
        <row r="883">
          <cell r="A883" t="str">
            <v>4100.Other</v>
          </cell>
          <cell r="D883">
            <v>-1683.57</v>
          </cell>
        </row>
        <row r="884">
          <cell r="A884" t="str">
            <v>4100.Other</v>
          </cell>
          <cell r="D884">
            <v>0</v>
          </cell>
        </row>
        <row r="885">
          <cell r="A885" t="str">
            <v>4100.Other</v>
          </cell>
          <cell r="D885">
            <v>0</v>
          </cell>
        </row>
        <row r="886">
          <cell r="A886" t="str">
            <v>4100.Other</v>
          </cell>
          <cell r="D886">
            <v>0</v>
          </cell>
        </row>
        <row r="887">
          <cell r="A887" t="str">
            <v>4100.Other</v>
          </cell>
          <cell r="D887">
            <v>0</v>
          </cell>
        </row>
        <row r="888">
          <cell r="A888" t="str">
            <v>4100.Other</v>
          </cell>
          <cell r="D888">
            <v>0</v>
          </cell>
        </row>
        <row r="889">
          <cell r="A889" t="str">
            <v>Total Variances Production Burden</v>
          </cell>
          <cell r="D889">
            <v>222476.38999999998</v>
          </cell>
        </row>
        <row r="890">
          <cell r="A890" t="str">
            <v>4100.Other</v>
          </cell>
          <cell r="D890">
            <v>0</v>
          </cell>
        </row>
        <row r="891">
          <cell r="A891" t="str">
            <v>4100.Other</v>
          </cell>
          <cell r="D891">
            <v>0</v>
          </cell>
        </row>
        <row r="892">
          <cell r="A892" t="str">
            <v>4100.Other</v>
          </cell>
          <cell r="D892">
            <v>-3949.98</v>
          </cell>
        </row>
        <row r="893">
          <cell r="A893" t="str">
            <v>4100.Other</v>
          </cell>
          <cell r="D893">
            <v>0</v>
          </cell>
        </row>
        <row r="894">
          <cell r="A894" t="str">
            <v>4100.Other</v>
          </cell>
          <cell r="D894">
            <v>76.61</v>
          </cell>
        </row>
        <row r="895">
          <cell r="A895" t="str">
            <v>4100.Other</v>
          </cell>
          <cell r="D895">
            <v>0</v>
          </cell>
        </row>
        <row r="896">
          <cell r="A896" t="str">
            <v>4100.Other</v>
          </cell>
          <cell r="D896">
            <v>450.9</v>
          </cell>
        </row>
        <row r="897">
          <cell r="A897" t="str">
            <v>4100.Other</v>
          </cell>
          <cell r="D897">
            <v>0</v>
          </cell>
        </row>
        <row r="898">
          <cell r="A898" t="str">
            <v>4100.Other</v>
          </cell>
          <cell r="D898">
            <v>12858.38</v>
          </cell>
        </row>
        <row r="899">
          <cell r="A899" t="str">
            <v>4100.Other</v>
          </cell>
          <cell r="D899">
            <v>0</v>
          </cell>
        </row>
        <row r="900">
          <cell r="A900" t="str">
            <v>4100.Other</v>
          </cell>
          <cell r="D900">
            <v>0</v>
          </cell>
        </row>
        <row r="901">
          <cell r="A901" t="str">
            <v>4100.Other</v>
          </cell>
          <cell r="D901">
            <v>0</v>
          </cell>
        </row>
        <row r="902">
          <cell r="A902" t="str">
            <v>4100.Other</v>
          </cell>
          <cell r="D902">
            <v>0</v>
          </cell>
        </row>
        <row r="903">
          <cell r="A903" t="str">
            <v>4100.Other</v>
          </cell>
          <cell r="D903">
            <v>0</v>
          </cell>
        </row>
        <row r="904">
          <cell r="A904" t="str">
            <v>4100.Other</v>
          </cell>
          <cell r="D904">
            <v>0</v>
          </cell>
        </row>
        <row r="905">
          <cell r="A905" t="str">
            <v>4100.Other</v>
          </cell>
          <cell r="D905">
            <v>0.05</v>
          </cell>
        </row>
        <row r="906">
          <cell r="A906" t="str">
            <v>4100.Other</v>
          </cell>
          <cell r="D906">
            <v>-0.02</v>
          </cell>
        </row>
        <row r="907">
          <cell r="A907" t="str">
            <v>4100.Other</v>
          </cell>
          <cell r="D907">
            <v>54.93</v>
          </cell>
        </row>
        <row r="908">
          <cell r="A908" t="str">
            <v>4100.Other</v>
          </cell>
          <cell r="D908">
            <v>0</v>
          </cell>
        </row>
        <row r="909">
          <cell r="A909" t="str">
            <v>4100.Other</v>
          </cell>
          <cell r="D909">
            <v>0</v>
          </cell>
        </row>
        <row r="910">
          <cell r="A910" t="str">
            <v>4100.Other</v>
          </cell>
          <cell r="D910">
            <v>0</v>
          </cell>
        </row>
        <row r="911">
          <cell r="A911" t="str">
            <v>4100.Other</v>
          </cell>
          <cell r="D911">
            <v>0</v>
          </cell>
        </row>
        <row r="912">
          <cell r="A912" t="str">
            <v>4100.Other</v>
          </cell>
          <cell r="D912">
            <v>-516.42999999999995</v>
          </cell>
        </row>
        <row r="913">
          <cell r="A913" t="str">
            <v>4100.Other</v>
          </cell>
          <cell r="D913">
            <v>13.5</v>
          </cell>
        </row>
        <row r="914">
          <cell r="A914" t="str">
            <v>4100.Other</v>
          </cell>
          <cell r="D914">
            <v>0</v>
          </cell>
        </row>
        <row r="915">
          <cell r="A915" t="str">
            <v>4100.Other</v>
          </cell>
          <cell r="D915">
            <v>0</v>
          </cell>
        </row>
        <row r="916">
          <cell r="A916" t="str">
            <v>4100.Other</v>
          </cell>
          <cell r="D916">
            <v>0</v>
          </cell>
        </row>
        <row r="917">
          <cell r="A917" t="str">
            <v>4100.Other</v>
          </cell>
          <cell r="D917">
            <v>5.26</v>
          </cell>
        </row>
        <row r="918">
          <cell r="A918" t="str">
            <v>4100.Other</v>
          </cell>
          <cell r="D918">
            <v>-173.4</v>
          </cell>
        </row>
        <row r="919">
          <cell r="A919" t="str">
            <v>4100.Other</v>
          </cell>
          <cell r="D919">
            <v>0</v>
          </cell>
        </row>
        <row r="920">
          <cell r="A920" t="str">
            <v>4100.Other</v>
          </cell>
          <cell r="D920">
            <v>0</v>
          </cell>
        </row>
        <row r="921">
          <cell r="A921" t="str">
            <v>4100.Other</v>
          </cell>
          <cell r="D921">
            <v>0</v>
          </cell>
        </row>
        <row r="922">
          <cell r="A922" t="str">
            <v>4100.Other</v>
          </cell>
          <cell r="D922">
            <v>0</v>
          </cell>
        </row>
        <row r="923">
          <cell r="A923" t="str">
            <v>4100.Other</v>
          </cell>
          <cell r="D923">
            <v>0</v>
          </cell>
        </row>
        <row r="924">
          <cell r="A924" t="str">
            <v>4100.Other</v>
          </cell>
          <cell r="D924">
            <v>0</v>
          </cell>
        </row>
        <row r="925">
          <cell r="A925" t="str">
            <v>4100.Other</v>
          </cell>
          <cell r="D925">
            <v>42.52</v>
          </cell>
        </row>
        <row r="926">
          <cell r="A926" t="str">
            <v>4100.Other</v>
          </cell>
          <cell r="D926">
            <v>0</v>
          </cell>
        </row>
        <row r="927">
          <cell r="A927" t="str">
            <v>4100.Other</v>
          </cell>
          <cell r="D927">
            <v>0</v>
          </cell>
        </row>
        <row r="928">
          <cell r="A928" t="str">
            <v>4100.Other</v>
          </cell>
          <cell r="D928">
            <v>20.52</v>
          </cell>
        </row>
        <row r="929">
          <cell r="A929" t="str">
            <v>4100.Other</v>
          </cell>
          <cell r="D929">
            <v>0</v>
          </cell>
        </row>
        <row r="930">
          <cell r="A930" t="str">
            <v>4100.Other</v>
          </cell>
          <cell r="D930">
            <v>0</v>
          </cell>
        </row>
        <row r="931">
          <cell r="A931" t="str">
            <v>4100.Other</v>
          </cell>
          <cell r="D931">
            <v>-1255.3599999999999</v>
          </cell>
        </row>
        <row r="932">
          <cell r="A932" t="str">
            <v>4100.Other</v>
          </cell>
          <cell r="D932">
            <v>0</v>
          </cell>
        </row>
        <row r="933">
          <cell r="A933" t="str">
            <v>4100.Other</v>
          </cell>
          <cell r="D933">
            <v>0</v>
          </cell>
        </row>
        <row r="934">
          <cell r="A934" t="str">
            <v>4100.Other</v>
          </cell>
          <cell r="D934">
            <v>0</v>
          </cell>
        </row>
        <row r="935">
          <cell r="A935" t="str">
            <v>4100.Other</v>
          </cell>
          <cell r="D935">
            <v>0</v>
          </cell>
        </row>
        <row r="936">
          <cell r="A936" t="str">
            <v>4100.Other</v>
          </cell>
          <cell r="D936">
            <v>0</v>
          </cell>
        </row>
        <row r="937">
          <cell r="A937" t="str">
            <v>Total Variances Production Services</v>
          </cell>
          <cell r="D937">
            <v>7627.4800000000005</v>
          </cell>
        </row>
        <row r="938">
          <cell r="A938" t="str">
            <v>4100.Other</v>
          </cell>
          <cell r="D938">
            <v>0</v>
          </cell>
        </row>
        <row r="939">
          <cell r="A939" t="str">
            <v>4100.Other</v>
          </cell>
          <cell r="D939">
            <v>0</v>
          </cell>
        </row>
        <row r="940">
          <cell r="A940" t="str">
            <v>4100.Other</v>
          </cell>
          <cell r="D940">
            <v>121888.14</v>
          </cell>
        </row>
        <row r="941">
          <cell r="A941" t="str">
            <v>4100.Other</v>
          </cell>
          <cell r="D941">
            <v>0</v>
          </cell>
        </row>
        <row r="942">
          <cell r="A942" t="str">
            <v>4100.Other</v>
          </cell>
          <cell r="D942">
            <v>-592.12</v>
          </cell>
        </row>
        <row r="943">
          <cell r="A943" t="str">
            <v>4100.Other</v>
          </cell>
          <cell r="D943">
            <v>0</v>
          </cell>
        </row>
        <row r="944">
          <cell r="A944" t="str">
            <v>4100.Other</v>
          </cell>
          <cell r="D944">
            <v>-894.23</v>
          </cell>
        </row>
        <row r="945">
          <cell r="A945" t="str">
            <v>4100.Other</v>
          </cell>
          <cell r="D945">
            <v>-786.06</v>
          </cell>
        </row>
        <row r="946">
          <cell r="A946" t="str">
            <v>4100.Other</v>
          </cell>
          <cell r="D946">
            <v>-323.08999999999997</v>
          </cell>
        </row>
        <row r="947">
          <cell r="A947" t="str">
            <v>4100.Other</v>
          </cell>
          <cell r="D947">
            <v>-1517.53</v>
          </cell>
        </row>
        <row r="948">
          <cell r="A948" t="str">
            <v>4100.Other</v>
          </cell>
          <cell r="D948">
            <v>-5613.09</v>
          </cell>
        </row>
        <row r="949">
          <cell r="A949" t="str">
            <v>4100.Other</v>
          </cell>
          <cell r="D949">
            <v>0</v>
          </cell>
        </row>
        <row r="950">
          <cell r="A950" t="str">
            <v>4100.Other</v>
          </cell>
          <cell r="D950">
            <v>-6138.73</v>
          </cell>
        </row>
        <row r="951">
          <cell r="A951" t="str">
            <v>4100.Other</v>
          </cell>
          <cell r="D951">
            <v>-4146.91</v>
          </cell>
        </row>
        <row r="952">
          <cell r="A952" t="str">
            <v>4100.Other</v>
          </cell>
          <cell r="D952">
            <v>-2125.33</v>
          </cell>
        </row>
        <row r="953">
          <cell r="A953" t="str">
            <v>4100.Other</v>
          </cell>
          <cell r="D953">
            <v>-5931.83</v>
          </cell>
        </row>
        <row r="954">
          <cell r="A954" t="str">
            <v>4100.Other</v>
          </cell>
          <cell r="D954">
            <v>-1791.39</v>
          </cell>
        </row>
        <row r="955">
          <cell r="A955" t="str">
            <v>4100.Other</v>
          </cell>
          <cell r="D955">
            <v>-1430.51</v>
          </cell>
        </row>
        <row r="956">
          <cell r="A956" t="str">
            <v>4100.Other</v>
          </cell>
          <cell r="D956">
            <v>-8474.34</v>
          </cell>
        </row>
        <row r="957">
          <cell r="A957" t="str">
            <v>4100.Other</v>
          </cell>
          <cell r="D957">
            <v>-25273.96</v>
          </cell>
        </row>
        <row r="958">
          <cell r="A958" t="str">
            <v>4100.Other</v>
          </cell>
          <cell r="D958">
            <v>0</v>
          </cell>
        </row>
        <row r="959">
          <cell r="A959" t="str">
            <v>4100.Other</v>
          </cell>
          <cell r="D959">
            <v>-371.03</v>
          </cell>
        </row>
        <row r="960">
          <cell r="A960" t="str">
            <v>4100.Other</v>
          </cell>
          <cell r="D960">
            <v>-20</v>
          </cell>
        </row>
        <row r="961">
          <cell r="A961" t="str">
            <v>4100.Other</v>
          </cell>
          <cell r="D961">
            <v>-205.47</v>
          </cell>
        </row>
        <row r="962">
          <cell r="A962" t="str">
            <v>4100.Other</v>
          </cell>
          <cell r="D962">
            <v>-1616.43</v>
          </cell>
        </row>
        <row r="963">
          <cell r="A963" t="str">
            <v>4100.Other</v>
          </cell>
          <cell r="D963">
            <v>0</v>
          </cell>
        </row>
        <row r="964">
          <cell r="A964" t="str">
            <v>4100.Other</v>
          </cell>
          <cell r="D964">
            <v>-128.5</v>
          </cell>
        </row>
        <row r="965">
          <cell r="A965" t="str">
            <v>4100.Other</v>
          </cell>
          <cell r="D965">
            <v>-2562</v>
          </cell>
        </row>
        <row r="966">
          <cell r="A966" t="str">
            <v>4100.Other</v>
          </cell>
          <cell r="D966">
            <v>-355.68</v>
          </cell>
        </row>
        <row r="967">
          <cell r="A967" t="str">
            <v>4100.Other</v>
          </cell>
          <cell r="D967">
            <v>0</v>
          </cell>
        </row>
        <row r="968">
          <cell r="A968" t="str">
            <v>4100.Other</v>
          </cell>
          <cell r="D968">
            <v>-506.74</v>
          </cell>
        </row>
        <row r="969">
          <cell r="A969" t="str">
            <v>4100.Other</v>
          </cell>
          <cell r="D969">
            <v>-373.4</v>
          </cell>
        </row>
        <row r="970">
          <cell r="A970" t="str">
            <v>4100.Other</v>
          </cell>
          <cell r="D970">
            <v>-5836</v>
          </cell>
        </row>
        <row r="971">
          <cell r="A971" t="str">
            <v>4100.Other</v>
          </cell>
          <cell r="D971">
            <v>-1059.5</v>
          </cell>
        </row>
        <row r="972">
          <cell r="A972" t="str">
            <v>4100.Other</v>
          </cell>
          <cell r="D972">
            <v>-533.9</v>
          </cell>
        </row>
        <row r="973">
          <cell r="A973" t="str">
            <v>4100.Other</v>
          </cell>
          <cell r="D973">
            <v>-509.7</v>
          </cell>
        </row>
        <row r="974">
          <cell r="A974" t="str">
            <v>4100.Other</v>
          </cell>
          <cell r="D974">
            <v>0</v>
          </cell>
        </row>
        <row r="975">
          <cell r="A975" t="str">
            <v>4100.Other</v>
          </cell>
          <cell r="D975">
            <v>0</v>
          </cell>
        </row>
        <row r="976">
          <cell r="A976" t="str">
            <v>4100.Other</v>
          </cell>
          <cell r="D976">
            <v>-301.33999999999997</v>
          </cell>
        </row>
        <row r="977">
          <cell r="A977" t="str">
            <v>4100.Other</v>
          </cell>
          <cell r="D977">
            <v>-2009.71</v>
          </cell>
        </row>
        <row r="978">
          <cell r="A978" t="str">
            <v>4100.Other</v>
          </cell>
          <cell r="D978">
            <v>388.56</v>
          </cell>
        </row>
        <row r="979">
          <cell r="A979" t="str">
            <v>Miscellaneous</v>
          </cell>
          <cell r="D979">
            <v>40848.180000000029</v>
          </cell>
        </row>
        <row r="980">
          <cell r="A980" t="str">
            <v>MATERIALS</v>
          </cell>
          <cell r="D980">
            <v>-1454916.8099999998</v>
          </cell>
        </row>
        <row r="981">
          <cell r="A981" t="str">
            <v>4110</v>
          </cell>
          <cell r="D981">
            <v>0</v>
          </cell>
        </row>
        <row r="982">
          <cell r="A982" t="str">
            <v>4110</v>
          </cell>
          <cell r="D982">
            <v>0</v>
          </cell>
        </row>
        <row r="983">
          <cell r="A983" t="str">
            <v>4110</v>
          </cell>
          <cell r="D983">
            <v>-8832.14</v>
          </cell>
        </row>
        <row r="984">
          <cell r="A984" t="str">
            <v>4110</v>
          </cell>
          <cell r="D984">
            <v>0</v>
          </cell>
        </row>
        <row r="985">
          <cell r="A985" t="str">
            <v>4110</v>
          </cell>
          <cell r="D985">
            <v>-1669.88</v>
          </cell>
        </row>
        <row r="986">
          <cell r="A986" t="str">
            <v>4110</v>
          </cell>
          <cell r="D986">
            <v>0</v>
          </cell>
        </row>
        <row r="987">
          <cell r="A987" t="str">
            <v>4110</v>
          </cell>
          <cell r="D987">
            <v>-211.94</v>
          </cell>
        </row>
        <row r="988">
          <cell r="A988" t="str">
            <v>4110</v>
          </cell>
          <cell r="D988">
            <v>0</v>
          </cell>
        </row>
        <row r="989">
          <cell r="A989" t="str">
            <v>4110</v>
          </cell>
          <cell r="D989">
            <v>-24029.68</v>
          </cell>
        </row>
        <row r="990">
          <cell r="A990" t="str">
            <v>4110</v>
          </cell>
          <cell r="D990">
            <v>0</v>
          </cell>
        </row>
        <row r="991">
          <cell r="A991" t="str">
            <v>4110</v>
          </cell>
          <cell r="D991">
            <v>-175.6</v>
          </cell>
        </row>
        <row r="992">
          <cell r="A992" t="str">
            <v>4110</v>
          </cell>
          <cell r="D992">
            <v>-38.18</v>
          </cell>
        </row>
        <row r="993">
          <cell r="A993" t="str">
            <v>4110</v>
          </cell>
          <cell r="D993">
            <v>0</v>
          </cell>
        </row>
        <row r="994">
          <cell r="A994" t="str">
            <v>4110</v>
          </cell>
          <cell r="D994">
            <v>0</v>
          </cell>
        </row>
        <row r="995">
          <cell r="A995" t="str">
            <v>4110</v>
          </cell>
          <cell r="D995">
            <v>0</v>
          </cell>
        </row>
        <row r="996">
          <cell r="A996" t="str">
            <v>4110</v>
          </cell>
          <cell r="D996">
            <v>-7109.51</v>
          </cell>
        </row>
        <row r="997">
          <cell r="A997" t="str">
            <v>4110</v>
          </cell>
          <cell r="D997">
            <v>-369.64</v>
          </cell>
        </row>
        <row r="998">
          <cell r="A998" t="str">
            <v>4110</v>
          </cell>
          <cell r="D998">
            <v>-10114.219999999999</v>
          </cell>
        </row>
        <row r="999">
          <cell r="A999" t="str">
            <v>4110</v>
          </cell>
          <cell r="D999">
            <v>0</v>
          </cell>
        </row>
        <row r="1000">
          <cell r="A1000" t="str">
            <v>4110</v>
          </cell>
          <cell r="D1000">
            <v>0</v>
          </cell>
        </row>
        <row r="1001">
          <cell r="A1001" t="str">
            <v>4110</v>
          </cell>
          <cell r="D1001">
            <v>-175.69</v>
          </cell>
        </row>
        <row r="1002">
          <cell r="A1002" t="str">
            <v>4110</v>
          </cell>
          <cell r="D1002">
            <v>-9442.0300000000007</v>
          </cell>
        </row>
        <row r="1003">
          <cell r="A1003" t="str">
            <v>4110</v>
          </cell>
          <cell r="D1003">
            <v>-10263.709999999999</v>
          </cell>
        </row>
        <row r="1004">
          <cell r="A1004" t="str">
            <v>4110</v>
          </cell>
          <cell r="D1004">
            <v>-9025.16</v>
          </cell>
        </row>
        <row r="1005">
          <cell r="A1005" t="str">
            <v>4110</v>
          </cell>
          <cell r="D1005">
            <v>-128.09</v>
          </cell>
        </row>
        <row r="1006">
          <cell r="A1006" t="str">
            <v>4110</v>
          </cell>
          <cell r="D1006">
            <v>0</v>
          </cell>
        </row>
        <row r="1007">
          <cell r="A1007" t="str">
            <v>4110</v>
          </cell>
          <cell r="D1007">
            <v>-5260.01</v>
          </cell>
        </row>
        <row r="1008">
          <cell r="A1008" t="str">
            <v>4110</v>
          </cell>
          <cell r="D1008">
            <v>-24372.65</v>
          </cell>
        </row>
        <row r="1009">
          <cell r="A1009" t="str">
            <v>4110</v>
          </cell>
          <cell r="D1009">
            <v>-9155.36</v>
          </cell>
        </row>
        <row r="1010">
          <cell r="A1010" t="str">
            <v>4110</v>
          </cell>
          <cell r="D1010">
            <v>0</v>
          </cell>
        </row>
        <row r="1011">
          <cell r="A1011" t="str">
            <v>4110</v>
          </cell>
          <cell r="D1011">
            <v>0</v>
          </cell>
        </row>
        <row r="1012">
          <cell r="A1012" t="str">
            <v>4110</v>
          </cell>
          <cell r="D1012">
            <v>0</v>
          </cell>
        </row>
        <row r="1013">
          <cell r="A1013" t="str">
            <v>4110</v>
          </cell>
          <cell r="D1013">
            <v>0</v>
          </cell>
        </row>
        <row r="1014">
          <cell r="A1014" t="str">
            <v>4110</v>
          </cell>
          <cell r="D1014">
            <v>-1637.47</v>
          </cell>
        </row>
        <row r="1015">
          <cell r="A1015" t="str">
            <v>4110</v>
          </cell>
          <cell r="D1015">
            <v>-720.72</v>
          </cell>
        </row>
        <row r="1016">
          <cell r="A1016" t="str">
            <v>4110</v>
          </cell>
          <cell r="D1016">
            <v>-14218.67</v>
          </cell>
        </row>
        <row r="1017">
          <cell r="A1017" t="str">
            <v>4110</v>
          </cell>
          <cell r="D1017">
            <v>0</v>
          </cell>
        </row>
        <row r="1018">
          <cell r="A1018" t="str">
            <v>4110</v>
          </cell>
          <cell r="D1018">
            <v>0</v>
          </cell>
        </row>
        <row r="1019">
          <cell r="A1019" t="str">
            <v>4110</v>
          </cell>
          <cell r="D1019">
            <v>-3392.73</v>
          </cell>
        </row>
        <row r="1020">
          <cell r="A1020" t="str">
            <v>4110</v>
          </cell>
          <cell r="D1020">
            <v>0</v>
          </cell>
        </row>
        <row r="1021">
          <cell r="A1021" t="str">
            <v>4110</v>
          </cell>
          <cell r="D1021">
            <v>0</v>
          </cell>
        </row>
        <row r="1022">
          <cell r="A1022" t="str">
            <v>4110</v>
          </cell>
          <cell r="D1022">
            <v>0</v>
          </cell>
        </row>
        <row r="1023">
          <cell r="A1023" t="str">
            <v>4110</v>
          </cell>
          <cell r="D1023">
            <v>0</v>
          </cell>
        </row>
        <row r="1024">
          <cell r="A1024" t="str">
            <v>4110</v>
          </cell>
          <cell r="D1024">
            <v>0</v>
          </cell>
        </row>
        <row r="1025">
          <cell r="A1025" t="str">
            <v>4110</v>
          </cell>
          <cell r="D1025">
            <v>0</v>
          </cell>
        </row>
        <row r="1026">
          <cell r="A1026" t="str">
            <v>4110</v>
          </cell>
          <cell r="D1026">
            <v>0</v>
          </cell>
        </row>
        <row r="1027">
          <cell r="A1027" t="str">
            <v>4110</v>
          </cell>
          <cell r="D1027">
            <v>0</v>
          </cell>
        </row>
        <row r="1028">
          <cell r="A1028" t="str">
            <v>Total Labor</v>
          </cell>
          <cell r="D1028">
            <v>-140343.08000000002</v>
          </cell>
        </row>
        <row r="1029">
          <cell r="A1029" t="str">
            <v>4110</v>
          </cell>
          <cell r="D1029">
            <v>0</v>
          </cell>
        </row>
        <row r="1030">
          <cell r="A1030" t="str">
            <v>4110</v>
          </cell>
          <cell r="D1030">
            <v>0</v>
          </cell>
        </row>
        <row r="1031">
          <cell r="A1031" t="str">
            <v>4110</v>
          </cell>
          <cell r="D1031">
            <v>7024.79</v>
          </cell>
        </row>
        <row r="1032">
          <cell r="A1032" t="str">
            <v>4110</v>
          </cell>
          <cell r="D1032">
            <v>0</v>
          </cell>
        </row>
        <row r="1033">
          <cell r="A1033" t="str">
            <v>4110</v>
          </cell>
          <cell r="D1033">
            <v>1830.04</v>
          </cell>
        </row>
        <row r="1034">
          <cell r="A1034" t="str">
            <v>4110</v>
          </cell>
          <cell r="D1034">
            <v>0</v>
          </cell>
        </row>
        <row r="1035">
          <cell r="A1035" t="str">
            <v>4110</v>
          </cell>
          <cell r="D1035">
            <v>524.77</v>
          </cell>
        </row>
        <row r="1036">
          <cell r="A1036" t="str">
            <v>4110</v>
          </cell>
          <cell r="D1036">
            <v>0</v>
          </cell>
        </row>
        <row r="1037">
          <cell r="A1037" t="str">
            <v>4110</v>
          </cell>
          <cell r="D1037">
            <v>72935.48</v>
          </cell>
        </row>
        <row r="1038">
          <cell r="A1038" t="str">
            <v>4110</v>
          </cell>
          <cell r="D1038">
            <v>0</v>
          </cell>
        </row>
        <row r="1039">
          <cell r="A1039" t="str">
            <v>4110</v>
          </cell>
          <cell r="D1039">
            <v>174.31</v>
          </cell>
        </row>
        <row r="1040">
          <cell r="A1040" t="str">
            <v>4110</v>
          </cell>
          <cell r="D1040">
            <v>5.35</v>
          </cell>
        </row>
        <row r="1041">
          <cell r="A1041" t="str">
            <v>4110</v>
          </cell>
          <cell r="D1041">
            <v>0</v>
          </cell>
        </row>
        <row r="1042">
          <cell r="A1042" t="str">
            <v>4110</v>
          </cell>
          <cell r="D1042">
            <v>0</v>
          </cell>
        </row>
        <row r="1043">
          <cell r="A1043" t="str">
            <v>4110</v>
          </cell>
          <cell r="D1043">
            <v>0</v>
          </cell>
        </row>
        <row r="1044">
          <cell r="A1044" t="str">
            <v>4110</v>
          </cell>
          <cell r="D1044">
            <v>-18739.349999999999</v>
          </cell>
        </row>
        <row r="1045">
          <cell r="A1045" t="str">
            <v>4110</v>
          </cell>
          <cell r="D1045">
            <v>36.11</v>
          </cell>
        </row>
        <row r="1046">
          <cell r="A1046" t="str">
            <v>4110</v>
          </cell>
          <cell r="D1046">
            <v>1013.04</v>
          </cell>
        </row>
        <row r="1047">
          <cell r="A1047" t="str">
            <v>4110</v>
          </cell>
          <cell r="D1047">
            <v>0</v>
          </cell>
        </row>
        <row r="1048">
          <cell r="A1048" t="str">
            <v>4110</v>
          </cell>
          <cell r="D1048">
            <v>0</v>
          </cell>
        </row>
        <row r="1049">
          <cell r="A1049" t="str">
            <v>4110</v>
          </cell>
          <cell r="D1049">
            <v>-69.17</v>
          </cell>
        </row>
        <row r="1050">
          <cell r="A1050" t="str">
            <v>4110</v>
          </cell>
          <cell r="D1050">
            <v>2436.7199999999998</v>
          </cell>
        </row>
        <row r="1051">
          <cell r="A1051" t="str">
            <v>4110</v>
          </cell>
          <cell r="D1051">
            <v>2125</v>
          </cell>
        </row>
        <row r="1052">
          <cell r="A1052" t="str">
            <v>4110</v>
          </cell>
          <cell r="D1052">
            <v>2242.62</v>
          </cell>
        </row>
        <row r="1053">
          <cell r="A1053" t="str">
            <v>4110</v>
          </cell>
          <cell r="D1053">
            <v>116.22</v>
          </cell>
        </row>
        <row r="1054">
          <cell r="A1054" t="str">
            <v>4110</v>
          </cell>
          <cell r="D1054">
            <v>29.37</v>
          </cell>
        </row>
        <row r="1055">
          <cell r="A1055" t="str">
            <v>4110</v>
          </cell>
          <cell r="D1055">
            <v>1869.56</v>
          </cell>
        </row>
        <row r="1056">
          <cell r="A1056" t="str">
            <v>4110</v>
          </cell>
          <cell r="D1056">
            <v>10439.870000000001</v>
          </cell>
        </row>
        <row r="1057">
          <cell r="A1057" t="str">
            <v>4110</v>
          </cell>
          <cell r="D1057">
            <v>1875.65</v>
          </cell>
        </row>
        <row r="1058">
          <cell r="A1058" t="str">
            <v>4110</v>
          </cell>
          <cell r="D1058">
            <v>0</v>
          </cell>
        </row>
        <row r="1059">
          <cell r="A1059" t="str">
            <v>4110</v>
          </cell>
          <cell r="D1059">
            <v>0</v>
          </cell>
        </row>
        <row r="1060">
          <cell r="A1060" t="str">
            <v>4110</v>
          </cell>
          <cell r="D1060">
            <v>0</v>
          </cell>
        </row>
        <row r="1061">
          <cell r="A1061" t="str">
            <v>4110</v>
          </cell>
          <cell r="D1061">
            <v>0</v>
          </cell>
        </row>
        <row r="1062">
          <cell r="A1062" t="str">
            <v>4110</v>
          </cell>
          <cell r="D1062">
            <v>290.32</v>
          </cell>
        </row>
        <row r="1063">
          <cell r="A1063" t="str">
            <v>4110</v>
          </cell>
          <cell r="D1063">
            <v>24.01</v>
          </cell>
        </row>
        <row r="1064">
          <cell r="A1064" t="str">
            <v>4110</v>
          </cell>
          <cell r="D1064">
            <v>972.63</v>
          </cell>
        </row>
        <row r="1065">
          <cell r="A1065" t="str">
            <v>4110</v>
          </cell>
          <cell r="D1065">
            <v>0</v>
          </cell>
        </row>
        <row r="1066">
          <cell r="A1066" t="str">
            <v>4110</v>
          </cell>
          <cell r="D1066">
            <v>0</v>
          </cell>
        </row>
        <row r="1067">
          <cell r="A1067" t="str">
            <v>4110</v>
          </cell>
          <cell r="D1067">
            <v>559.61</v>
          </cell>
        </row>
        <row r="1068">
          <cell r="A1068" t="str">
            <v>4110</v>
          </cell>
          <cell r="D1068">
            <v>0</v>
          </cell>
        </row>
        <row r="1069">
          <cell r="A1069" t="str">
            <v>4110</v>
          </cell>
          <cell r="D1069">
            <v>0</v>
          </cell>
        </row>
        <row r="1070">
          <cell r="A1070" t="str">
            <v>4110</v>
          </cell>
          <cell r="D1070">
            <v>-405.82</v>
          </cell>
        </row>
        <row r="1071">
          <cell r="A1071" t="str">
            <v>4110</v>
          </cell>
          <cell r="D1071">
            <v>0</v>
          </cell>
        </row>
        <row r="1072">
          <cell r="A1072" t="str">
            <v>4110</v>
          </cell>
          <cell r="D1072">
            <v>0</v>
          </cell>
        </row>
        <row r="1073">
          <cell r="A1073" t="str">
            <v>4110</v>
          </cell>
          <cell r="D1073">
            <v>0</v>
          </cell>
        </row>
        <row r="1074">
          <cell r="A1074" t="str">
            <v>4110</v>
          </cell>
          <cell r="D1074">
            <v>0</v>
          </cell>
        </row>
        <row r="1075">
          <cell r="A1075" t="str">
            <v>4110</v>
          </cell>
          <cell r="D1075">
            <v>0</v>
          </cell>
        </row>
        <row r="1076">
          <cell r="A1076" t="str">
            <v>Total Variances Production Labor</v>
          </cell>
          <cell r="D1076">
            <v>87311.12999999999</v>
          </cell>
        </row>
        <row r="1077">
          <cell r="A1077" t="str">
            <v>4110</v>
          </cell>
          <cell r="D1077">
            <v>-1481.6</v>
          </cell>
        </row>
        <row r="1078">
          <cell r="A1078" t="str">
            <v>4110</v>
          </cell>
          <cell r="D1078">
            <v>-7226.88</v>
          </cell>
        </row>
        <row r="1079">
          <cell r="A1079" t="str">
            <v>4110</v>
          </cell>
          <cell r="D1079">
            <v>-80058.27</v>
          </cell>
        </row>
        <row r="1080">
          <cell r="A1080" t="str">
            <v>Temporary Labor - Production Related</v>
          </cell>
          <cell r="D1080">
            <v>-88766.75</v>
          </cell>
        </row>
        <row r="1081">
          <cell r="A1081" t="str">
            <v>DIRECT LABOR</v>
          </cell>
          <cell r="D1081">
            <v>-141798.70000000001</v>
          </cell>
        </row>
        <row r="1082">
          <cell r="A1082" t="str">
            <v>4120</v>
          </cell>
          <cell r="D1082">
            <v>13995.98</v>
          </cell>
        </row>
        <row r="1083">
          <cell r="A1083" t="str">
            <v>4120</v>
          </cell>
          <cell r="D1083">
            <v>-14593.18</v>
          </cell>
        </row>
        <row r="1084">
          <cell r="A1084" t="str">
            <v>4120</v>
          </cell>
          <cell r="D1084">
            <v>9842.27</v>
          </cell>
        </row>
        <row r="1085">
          <cell r="A1085" t="str">
            <v>4120</v>
          </cell>
          <cell r="D1085">
            <v>-6052.81</v>
          </cell>
        </row>
        <row r="1086">
          <cell r="A1086" t="str">
            <v>Currency Translation (Gain)/Loss - COS</v>
          </cell>
          <cell r="D1086">
            <v>3192.2599999999993</v>
          </cell>
        </row>
        <row r="1087">
          <cell r="A1087" t="str">
            <v>TOTAL DIRECT COSTS</v>
          </cell>
          <cell r="D1087">
            <v>-1593523.2499999986</v>
          </cell>
        </row>
        <row r="1089">
          <cell r="A1089" t="str">
            <v>4130.1000</v>
          </cell>
          <cell r="D1089">
            <v>-287254.52</v>
          </cell>
        </row>
        <row r="1090">
          <cell r="A1090" t="str">
            <v>4130.1000</v>
          </cell>
          <cell r="D1090">
            <v>-134409.31</v>
          </cell>
        </row>
        <row r="1091">
          <cell r="A1091" t="str">
            <v>4130.1000</v>
          </cell>
          <cell r="D1091">
            <v>-64578.93</v>
          </cell>
        </row>
        <row r="1092">
          <cell r="A1092" t="str">
            <v>4130.1000</v>
          </cell>
          <cell r="D1092">
            <v>0</v>
          </cell>
        </row>
        <row r="1093">
          <cell r="A1093" t="str">
            <v>4130.1000</v>
          </cell>
          <cell r="D1093">
            <v>-13161.6</v>
          </cell>
        </row>
        <row r="1094">
          <cell r="A1094" t="str">
            <v>4130.1000</v>
          </cell>
          <cell r="D1094">
            <v>-1512.46</v>
          </cell>
        </row>
        <row r="1095">
          <cell r="A1095" t="str">
            <v>4130.1000</v>
          </cell>
          <cell r="D1095">
            <v>-1139.8699999999999</v>
          </cell>
        </row>
        <row r="1096">
          <cell r="A1096" t="str">
            <v>4130.1000</v>
          </cell>
          <cell r="D1096">
            <v>-874.97</v>
          </cell>
        </row>
        <row r="1097">
          <cell r="A1097" t="str">
            <v>4130.1000</v>
          </cell>
          <cell r="D1097">
            <v>0</v>
          </cell>
        </row>
        <row r="1098">
          <cell r="A1098" t="str">
            <v>4130.1000</v>
          </cell>
          <cell r="D1098">
            <v>-233.16</v>
          </cell>
        </row>
        <row r="1099">
          <cell r="A1099" t="str">
            <v>4130.1000</v>
          </cell>
          <cell r="D1099">
            <v>-22826.05</v>
          </cell>
        </row>
        <row r="1100">
          <cell r="A1100" t="str">
            <v>4130.1000</v>
          </cell>
          <cell r="D1100">
            <v>-10752.78</v>
          </cell>
        </row>
        <row r="1101">
          <cell r="A1101" t="str">
            <v>4130.1000</v>
          </cell>
          <cell r="D1101">
            <v>-5166.34</v>
          </cell>
        </row>
        <row r="1102">
          <cell r="A1102" t="str">
            <v>4130.1000</v>
          </cell>
          <cell r="D1102">
            <v>0</v>
          </cell>
        </row>
        <row r="1103">
          <cell r="A1103" t="str">
            <v>4130.1000</v>
          </cell>
          <cell r="D1103">
            <v>-1052.95</v>
          </cell>
        </row>
        <row r="1104">
          <cell r="A1104" t="str">
            <v>4130.1000</v>
          </cell>
          <cell r="D1104">
            <v>0</v>
          </cell>
        </row>
        <row r="1105">
          <cell r="A1105" t="str">
            <v>4130.1000</v>
          </cell>
          <cell r="D1105">
            <v>0</v>
          </cell>
        </row>
        <row r="1106">
          <cell r="A1106" t="str">
            <v>4130.1000</v>
          </cell>
          <cell r="D1106">
            <v>0</v>
          </cell>
        </row>
        <row r="1107">
          <cell r="A1107" t="str">
            <v>4130.1000</v>
          </cell>
          <cell r="D1107">
            <v>0</v>
          </cell>
        </row>
        <row r="1108">
          <cell r="A1108" t="str">
            <v>4130.1000</v>
          </cell>
          <cell r="D1108">
            <v>0</v>
          </cell>
        </row>
        <row r="1109">
          <cell r="A1109" t="str">
            <v>4130.1000</v>
          </cell>
          <cell r="D1109">
            <v>-976.72</v>
          </cell>
        </row>
        <row r="1110">
          <cell r="A1110" t="str">
            <v>4130.1000</v>
          </cell>
          <cell r="D1110">
            <v>171.5</v>
          </cell>
        </row>
        <row r="1111">
          <cell r="A1111" t="str">
            <v>4130.1000</v>
          </cell>
          <cell r="D1111">
            <v>-137.63999999999999</v>
          </cell>
        </row>
        <row r="1112">
          <cell r="A1112" t="str">
            <v>4130.1000</v>
          </cell>
          <cell r="D1112">
            <v>0</v>
          </cell>
        </row>
        <row r="1113">
          <cell r="A1113" t="str">
            <v>4130.1000</v>
          </cell>
          <cell r="D1113">
            <v>0</v>
          </cell>
        </row>
        <row r="1114">
          <cell r="A1114" t="str">
            <v>4130.1000</v>
          </cell>
          <cell r="D1114">
            <v>0</v>
          </cell>
        </row>
        <row r="1115">
          <cell r="A1115" t="str">
            <v>4130.1000</v>
          </cell>
          <cell r="D1115">
            <v>0</v>
          </cell>
        </row>
        <row r="1116">
          <cell r="A1116" t="str">
            <v>4130.1000</v>
          </cell>
          <cell r="D1116">
            <v>0</v>
          </cell>
        </row>
        <row r="1117">
          <cell r="A1117" t="str">
            <v>4130.1000</v>
          </cell>
          <cell r="D1117">
            <v>0</v>
          </cell>
        </row>
        <row r="1118">
          <cell r="A1118" t="str">
            <v>4130.1000</v>
          </cell>
          <cell r="D1118">
            <v>0</v>
          </cell>
        </row>
        <row r="1119">
          <cell r="A1119" t="str">
            <v>4130.1000</v>
          </cell>
          <cell r="D1119">
            <v>0</v>
          </cell>
        </row>
        <row r="1120">
          <cell r="A1120" t="str">
            <v>4130.1000</v>
          </cell>
          <cell r="D1120">
            <v>0</v>
          </cell>
        </row>
        <row r="1121">
          <cell r="A1121" t="str">
            <v>4130.1000</v>
          </cell>
          <cell r="D1121">
            <v>-9106.15</v>
          </cell>
        </row>
        <row r="1122">
          <cell r="A1122" t="str">
            <v>4130.1000</v>
          </cell>
          <cell r="D1122">
            <v>0</v>
          </cell>
        </row>
        <row r="1123">
          <cell r="A1123" t="str">
            <v>4130.1000</v>
          </cell>
          <cell r="D1123">
            <v>0</v>
          </cell>
        </row>
        <row r="1124">
          <cell r="A1124" t="str">
            <v>Salaries &amp; Wages</v>
          </cell>
          <cell r="D1124">
            <v>-553011.94999999995</v>
          </cell>
        </row>
        <row r="1125">
          <cell r="A1125" t="str">
            <v>4130.Personnel_1015</v>
          </cell>
          <cell r="D1125">
            <v>-38472.9</v>
          </cell>
        </row>
        <row r="1126">
          <cell r="A1126" t="str">
            <v>4130.Personnel_1015</v>
          </cell>
          <cell r="D1126">
            <v>-312.2</v>
          </cell>
        </row>
        <row r="1127">
          <cell r="A1127" t="str">
            <v>4130.Personnel_1015</v>
          </cell>
          <cell r="D1127">
            <v>0</v>
          </cell>
        </row>
        <row r="1128">
          <cell r="A1128" t="str">
            <v>4130.Personnel_1015</v>
          </cell>
          <cell r="D1128">
            <v>0</v>
          </cell>
        </row>
        <row r="1129">
          <cell r="A1129" t="str">
            <v>Management Bonuses</v>
          </cell>
          <cell r="D1129">
            <v>-38785.1</v>
          </cell>
        </row>
        <row r="1130">
          <cell r="A1130" t="str">
            <v>4130.1005</v>
          </cell>
          <cell r="D1130">
            <v>0</v>
          </cell>
        </row>
        <row r="1131">
          <cell r="A1131" t="str">
            <v>4130.1005</v>
          </cell>
          <cell r="D1131">
            <v>0</v>
          </cell>
        </row>
        <row r="1132">
          <cell r="A1132" t="str">
            <v>4130.1005</v>
          </cell>
          <cell r="D1132">
            <v>0</v>
          </cell>
        </row>
        <row r="1133">
          <cell r="A1133" t="str">
            <v>4130.1005</v>
          </cell>
          <cell r="D1133">
            <v>0</v>
          </cell>
        </row>
        <row r="1134">
          <cell r="A1134" t="str">
            <v>4130.1005</v>
          </cell>
          <cell r="D1134">
            <v>0</v>
          </cell>
        </row>
        <row r="1135">
          <cell r="A1135" t="str">
            <v>4130.1005</v>
          </cell>
          <cell r="D1135">
            <v>0</v>
          </cell>
        </row>
        <row r="1136">
          <cell r="A1136" t="str">
            <v>4130.1005</v>
          </cell>
          <cell r="D1136">
            <v>-27832.92</v>
          </cell>
        </row>
        <row r="1137">
          <cell r="A1137" t="str">
            <v>4130.1005</v>
          </cell>
          <cell r="D1137">
            <v>-14674.51</v>
          </cell>
        </row>
        <row r="1138">
          <cell r="A1138" t="str">
            <v>4130.1005</v>
          </cell>
          <cell r="D1138">
            <v>-7719.35</v>
          </cell>
        </row>
        <row r="1139">
          <cell r="A1139" t="str">
            <v>4130.1005</v>
          </cell>
          <cell r="D1139">
            <v>0</v>
          </cell>
        </row>
        <row r="1140">
          <cell r="A1140" t="str">
            <v>4130.1005</v>
          </cell>
          <cell r="D1140">
            <v>-1680.27</v>
          </cell>
        </row>
        <row r="1141">
          <cell r="A1141" t="str">
            <v>4130.1005</v>
          </cell>
          <cell r="D1141">
            <v>-41898.57</v>
          </cell>
        </row>
        <row r="1142">
          <cell r="A1142" t="str">
            <v>4130.1005</v>
          </cell>
          <cell r="D1142">
            <v>-19892.669999999998</v>
          </cell>
        </row>
        <row r="1143">
          <cell r="A1143" t="str">
            <v>4130.1005</v>
          </cell>
          <cell r="D1143">
            <v>-9936.35</v>
          </cell>
        </row>
        <row r="1144">
          <cell r="A1144" t="str">
            <v>4130.1005</v>
          </cell>
          <cell r="D1144">
            <v>0</v>
          </cell>
        </row>
        <row r="1145">
          <cell r="A1145" t="str">
            <v>4130.1005</v>
          </cell>
          <cell r="D1145">
            <v>-1959.9</v>
          </cell>
        </row>
        <row r="1146">
          <cell r="A1146" t="str">
            <v>4130.1005</v>
          </cell>
          <cell r="D1146">
            <v>0</v>
          </cell>
        </row>
        <row r="1147">
          <cell r="A1147" t="str">
            <v>4130.1005</v>
          </cell>
          <cell r="D1147">
            <v>0</v>
          </cell>
        </row>
        <row r="1148">
          <cell r="A1148" t="str">
            <v>4130.1005</v>
          </cell>
          <cell r="D1148">
            <v>0</v>
          </cell>
        </row>
        <row r="1149">
          <cell r="A1149" t="str">
            <v>4130.1005</v>
          </cell>
          <cell r="D1149">
            <v>0</v>
          </cell>
        </row>
        <row r="1150">
          <cell r="A1150" t="str">
            <v>4130.1005</v>
          </cell>
          <cell r="D1150">
            <v>0</v>
          </cell>
        </row>
        <row r="1151">
          <cell r="A1151" t="str">
            <v>4130.1005</v>
          </cell>
          <cell r="D1151">
            <v>0</v>
          </cell>
        </row>
        <row r="1152">
          <cell r="A1152" t="str">
            <v>4130.1005</v>
          </cell>
          <cell r="D1152">
            <v>0</v>
          </cell>
        </row>
        <row r="1153">
          <cell r="A1153" t="str">
            <v>4130.1005</v>
          </cell>
          <cell r="D1153">
            <v>0</v>
          </cell>
        </row>
        <row r="1154">
          <cell r="A1154" t="str">
            <v>4130.1005</v>
          </cell>
          <cell r="D1154">
            <v>0</v>
          </cell>
        </row>
        <row r="1155">
          <cell r="A1155" t="str">
            <v>4130.1005</v>
          </cell>
          <cell r="D1155">
            <v>0</v>
          </cell>
        </row>
        <row r="1156">
          <cell r="A1156" t="str">
            <v>4130.1005</v>
          </cell>
          <cell r="D1156">
            <v>-18686.21</v>
          </cell>
        </row>
        <row r="1157">
          <cell r="A1157" t="str">
            <v>4130.1005</v>
          </cell>
          <cell r="D1157">
            <v>-7402.05</v>
          </cell>
        </row>
        <row r="1158">
          <cell r="A1158" t="str">
            <v>4130.1005</v>
          </cell>
          <cell r="D1158">
            <v>-3748.13</v>
          </cell>
        </row>
        <row r="1159">
          <cell r="A1159" t="str">
            <v>4130.1005</v>
          </cell>
          <cell r="D1159">
            <v>0</v>
          </cell>
        </row>
        <row r="1160">
          <cell r="A1160" t="str">
            <v>4130.1005</v>
          </cell>
          <cell r="D1160">
            <v>-829.31</v>
          </cell>
        </row>
        <row r="1161">
          <cell r="A1161" t="str">
            <v>4130.1005</v>
          </cell>
          <cell r="D1161">
            <v>-953.51</v>
          </cell>
        </row>
        <row r="1162">
          <cell r="A1162" t="str">
            <v>4130.1005</v>
          </cell>
          <cell r="D1162">
            <v>-383.1</v>
          </cell>
        </row>
        <row r="1163">
          <cell r="A1163" t="str">
            <v>4130.1005</v>
          </cell>
          <cell r="D1163">
            <v>-280.95</v>
          </cell>
        </row>
        <row r="1164">
          <cell r="A1164" t="str">
            <v>4130.1005</v>
          </cell>
          <cell r="D1164">
            <v>0</v>
          </cell>
        </row>
        <row r="1165">
          <cell r="A1165" t="str">
            <v>4130.1005</v>
          </cell>
          <cell r="D1165">
            <v>-63.85</v>
          </cell>
        </row>
        <row r="1166">
          <cell r="A1166" t="str">
            <v>4130.1005</v>
          </cell>
          <cell r="D1166">
            <v>-7795.43</v>
          </cell>
        </row>
        <row r="1167">
          <cell r="A1167" t="str">
            <v>4130.1005</v>
          </cell>
          <cell r="D1167">
            <v>-7002.77</v>
          </cell>
        </row>
        <row r="1168">
          <cell r="A1168" t="str">
            <v>4130.1005</v>
          </cell>
          <cell r="D1168">
            <v>-362.46</v>
          </cell>
        </row>
        <row r="1169">
          <cell r="A1169" t="str">
            <v>4130.1005</v>
          </cell>
          <cell r="D1169">
            <v>0</v>
          </cell>
        </row>
        <row r="1170">
          <cell r="A1170" t="str">
            <v>4130.1005</v>
          </cell>
          <cell r="D1170">
            <v>0</v>
          </cell>
        </row>
        <row r="1171">
          <cell r="A1171" t="str">
            <v>4130.1005</v>
          </cell>
          <cell r="D1171">
            <v>-111.1</v>
          </cell>
        </row>
        <row r="1172">
          <cell r="A1172" t="str">
            <v>4130.1005</v>
          </cell>
          <cell r="D1172">
            <v>0</v>
          </cell>
        </row>
        <row r="1173">
          <cell r="A1173" t="str">
            <v>4130.1005</v>
          </cell>
          <cell r="D1173">
            <v>0</v>
          </cell>
        </row>
        <row r="1174">
          <cell r="A1174" t="str">
            <v>4130.1005</v>
          </cell>
          <cell r="D1174">
            <v>0</v>
          </cell>
        </row>
        <row r="1175">
          <cell r="A1175" t="str">
            <v>4130.1005</v>
          </cell>
          <cell r="D1175">
            <v>0</v>
          </cell>
        </row>
        <row r="1176">
          <cell r="A1176" t="str">
            <v>4130.1005</v>
          </cell>
          <cell r="D1176">
            <v>0</v>
          </cell>
        </row>
        <row r="1177">
          <cell r="A1177" t="str">
            <v>4130.1005</v>
          </cell>
          <cell r="D1177">
            <v>0</v>
          </cell>
        </row>
        <row r="1178">
          <cell r="A1178" t="str">
            <v>4130.1005</v>
          </cell>
          <cell r="D1178">
            <v>0</v>
          </cell>
        </row>
        <row r="1179">
          <cell r="A1179" t="str">
            <v>4130.1005</v>
          </cell>
          <cell r="D1179">
            <v>-92.65</v>
          </cell>
        </row>
        <row r="1180">
          <cell r="A1180" t="str">
            <v>4130.1005</v>
          </cell>
          <cell r="D1180">
            <v>0</v>
          </cell>
        </row>
        <row r="1181">
          <cell r="A1181" t="str">
            <v>4130.1005</v>
          </cell>
          <cell r="D1181">
            <v>0</v>
          </cell>
        </row>
        <row r="1182">
          <cell r="A1182" t="str">
            <v>4130.1005</v>
          </cell>
          <cell r="D1182">
            <v>0</v>
          </cell>
        </row>
        <row r="1183">
          <cell r="A1183" t="str">
            <v>4130.1005</v>
          </cell>
          <cell r="D1183">
            <v>0</v>
          </cell>
        </row>
        <row r="1184">
          <cell r="A1184" t="str">
            <v>4130.1005</v>
          </cell>
          <cell r="D1184">
            <v>0</v>
          </cell>
        </row>
        <row r="1185">
          <cell r="A1185" t="str">
            <v>4130.1005</v>
          </cell>
          <cell r="D1185">
            <v>0</v>
          </cell>
        </row>
        <row r="1186">
          <cell r="A1186" t="str">
            <v>4130.1005</v>
          </cell>
          <cell r="D1186">
            <v>0</v>
          </cell>
        </row>
        <row r="1187">
          <cell r="A1187" t="str">
            <v>4130.1005</v>
          </cell>
          <cell r="D1187">
            <v>0</v>
          </cell>
        </row>
        <row r="1188">
          <cell r="A1188" t="str">
            <v>4130.1005</v>
          </cell>
          <cell r="D1188">
            <v>0</v>
          </cell>
        </row>
        <row r="1189">
          <cell r="A1189" t="str">
            <v>4130.1005</v>
          </cell>
          <cell r="D1189">
            <v>0</v>
          </cell>
        </row>
        <row r="1190">
          <cell r="A1190" t="str">
            <v>4130.1005</v>
          </cell>
          <cell r="D1190">
            <v>0</v>
          </cell>
        </row>
        <row r="1191">
          <cell r="A1191" t="str">
            <v>4130.1005</v>
          </cell>
          <cell r="D1191">
            <v>0</v>
          </cell>
        </row>
        <row r="1192">
          <cell r="A1192" t="str">
            <v>4130.1005</v>
          </cell>
          <cell r="D1192">
            <v>0</v>
          </cell>
        </row>
        <row r="1193">
          <cell r="A1193" t="str">
            <v>4130.1005</v>
          </cell>
          <cell r="D1193">
            <v>0</v>
          </cell>
        </row>
        <row r="1194">
          <cell r="A1194" t="str">
            <v>4130.1005</v>
          </cell>
          <cell r="D1194">
            <v>0</v>
          </cell>
        </row>
        <row r="1195">
          <cell r="A1195" t="str">
            <v>4130.1005</v>
          </cell>
          <cell r="D1195">
            <v>0</v>
          </cell>
        </row>
        <row r="1196">
          <cell r="A1196" t="str">
            <v>4130.1005</v>
          </cell>
          <cell r="D1196">
            <v>0</v>
          </cell>
        </row>
        <row r="1197">
          <cell r="A1197" t="str">
            <v>Fringe Benefits</v>
          </cell>
          <cell r="D1197">
            <v>-173306.06</v>
          </cell>
        </row>
        <row r="1198">
          <cell r="A1198" t="str">
            <v>4130.Occupancy_3010</v>
          </cell>
          <cell r="D1198">
            <v>-26771.18</v>
          </cell>
        </row>
        <row r="1199">
          <cell r="A1199" t="str">
            <v>4130.Occupancy_3010</v>
          </cell>
          <cell r="D1199">
            <v>-1337.82</v>
          </cell>
        </row>
        <row r="1200">
          <cell r="A1200" t="str">
            <v>4130.Occupancy_3010</v>
          </cell>
          <cell r="D1200">
            <v>-1337.84</v>
          </cell>
        </row>
        <row r="1201">
          <cell r="A1201" t="str">
            <v>Utilities</v>
          </cell>
          <cell r="D1201">
            <v>-29446.84</v>
          </cell>
        </row>
        <row r="1202">
          <cell r="A1202" t="str">
            <v>4130.1045</v>
          </cell>
          <cell r="D1202">
            <v>-8087.52</v>
          </cell>
        </row>
        <row r="1203">
          <cell r="A1203" t="str">
            <v>4130.1045</v>
          </cell>
          <cell r="D1203">
            <v>-1048.73</v>
          </cell>
        </row>
        <row r="1204">
          <cell r="A1204" t="str">
            <v>4130.1045</v>
          </cell>
          <cell r="D1204">
            <v>-503.84</v>
          </cell>
        </row>
        <row r="1205">
          <cell r="A1205" t="str">
            <v>4130.1045</v>
          </cell>
          <cell r="D1205">
            <v>0</v>
          </cell>
        </row>
        <row r="1206">
          <cell r="A1206" t="str">
            <v>4130.1045</v>
          </cell>
          <cell r="D1206">
            <v>0</v>
          </cell>
        </row>
        <row r="1207">
          <cell r="A1207" t="str">
            <v>Telephone &amp; Fax</v>
          </cell>
          <cell r="D1207">
            <v>-9640.09</v>
          </cell>
        </row>
        <row r="1208">
          <cell r="A1208" t="str">
            <v>4130.GenAdmin_6040</v>
          </cell>
          <cell r="D1208">
            <v>0</v>
          </cell>
        </row>
        <row r="1209">
          <cell r="A1209" t="str">
            <v>4130.GenAdmin_6040</v>
          </cell>
          <cell r="D1209">
            <v>0</v>
          </cell>
        </row>
        <row r="1210">
          <cell r="A1210" t="str">
            <v>4130.GenAdmin_6040</v>
          </cell>
          <cell r="D1210">
            <v>-762.04</v>
          </cell>
        </row>
        <row r="1211">
          <cell r="A1211" t="str">
            <v>Misc. State &amp; Local Taxes</v>
          </cell>
          <cell r="D1211">
            <v>-762.04</v>
          </cell>
        </row>
        <row r="1212">
          <cell r="A1212" t="str">
            <v>4130.GenAdmin_6035</v>
          </cell>
          <cell r="D1212">
            <v>0</v>
          </cell>
        </row>
        <row r="1213">
          <cell r="A1213" t="str">
            <v>4130.GenAdmin_6035</v>
          </cell>
          <cell r="D1213">
            <v>-14462.41</v>
          </cell>
        </row>
        <row r="1214">
          <cell r="A1214" t="str">
            <v>4130.GenAdmin_6035</v>
          </cell>
          <cell r="D1214">
            <v>-741.62</v>
          </cell>
        </row>
        <row r="1215">
          <cell r="A1215" t="str">
            <v>4130.GenAdmin_6035</v>
          </cell>
          <cell r="D1215">
            <v>-741.62</v>
          </cell>
        </row>
        <row r="1216">
          <cell r="A1216" t="str">
            <v>4130.GenAdmin_6035</v>
          </cell>
          <cell r="D1216">
            <v>0</v>
          </cell>
        </row>
        <row r="1217">
          <cell r="A1217" t="str">
            <v>4130.GenAdmin_6035</v>
          </cell>
          <cell r="D1217">
            <v>0</v>
          </cell>
        </row>
        <row r="1218">
          <cell r="A1218" t="str">
            <v>4130.GenAdmin_6035</v>
          </cell>
          <cell r="D1218">
            <v>0</v>
          </cell>
        </row>
        <row r="1219">
          <cell r="A1219" t="str">
            <v>General Insurance</v>
          </cell>
          <cell r="D1219">
            <v>-15945.650000000001</v>
          </cell>
        </row>
        <row r="1220">
          <cell r="A1220" t="str">
            <v>4130.1055</v>
          </cell>
          <cell r="D1220">
            <v>-443.84</v>
          </cell>
        </row>
        <row r="1221">
          <cell r="A1221" t="str">
            <v>4130.1055</v>
          </cell>
          <cell r="D1221">
            <v>-356.37</v>
          </cell>
        </row>
        <row r="1222">
          <cell r="A1222" t="str">
            <v>4130.1055</v>
          </cell>
          <cell r="D1222">
            <v>-21.21</v>
          </cell>
        </row>
        <row r="1223">
          <cell r="A1223" t="str">
            <v>4130.1055</v>
          </cell>
          <cell r="D1223">
            <v>0</v>
          </cell>
        </row>
        <row r="1224">
          <cell r="A1224" t="str">
            <v>4130.1055</v>
          </cell>
          <cell r="D1224">
            <v>0</v>
          </cell>
        </row>
        <row r="1225">
          <cell r="A1225" t="str">
            <v>4130.1055</v>
          </cell>
          <cell r="D1225">
            <v>-25.62</v>
          </cell>
        </row>
        <row r="1226">
          <cell r="A1226" t="str">
            <v>4130.1055</v>
          </cell>
          <cell r="D1226">
            <v>-76.87</v>
          </cell>
        </row>
        <row r="1227">
          <cell r="A1227" t="str">
            <v>4130.1055</v>
          </cell>
          <cell r="D1227">
            <v>-25.62</v>
          </cell>
        </row>
        <row r="1228">
          <cell r="A1228" t="str">
            <v>4130.1055</v>
          </cell>
          <cell r="D1228">
            <v>0</v>
          </cell>
        </row>
        <row r="1229">
          <cell r="A1229" t="str">
            <v>4130.1055</v>
          </cell>
          <cell r="D1229">
            <v>0</v>
          </cell>
        </row>
        <row r="1230">
          <cell r="A1230" t="str">
            <v>4130.1055</v>
          </cell>
          <cell r="D1230">
            <v>-1422.67</v>
          </cell>
        </row>
        <row r="1231">
          <cell r="A1231" t="str">
            <v>4130.1055</v>
          </cell>
          <cell r="D1231">
            <v>-308.82</v>
          </cell>
        </row>
        <row r="1232">
          <cell r="A1232" t="str">
            <v>4130.1055</v>
          </cell>
          <cell r="D1232">
            <v>-394.51</v>
          </cell>
        </row>
        <row r="1233">
          <cell r="A1233" t="str">
            <v>4130.1055</v>
          </cell>
          <cell r="D1233">
            <v>0</v>
          </cell>
        </row>
        <row r="1234">
          <cell r="A1234" t="str">
            <v>4130.1055</v>
          </cell>
          <cell r="D1234">
            <v>0</v>
          </cell>
        </row>
        <row r="1235">
          <cell r="A1235" t="str">
            <v>4130.1055</v>
          </cell>
          <cell r="D1235">
            <v>0</v>
          </cell>
        </row>
        <row r="1236">
          <cell r="A1236" t="str">
            <v>4130.1055</v>
          </cell>
          <cell r="D1236">
            <v>-1344.51</v>
          </cell>
        </row>
        <row r="1237">
          <cell r="A1237" t="str">
            <v>4130.1055</v>
          </cell>
          <cell r="D1237">
            <v>-540.4</v>
          </cell>
        </row>
        <row r="1238">
          <cell r="A1238" t="str">
            <v>4130.1055</v>
          </cell>
          <cell r="D1238">
            <v>0</v>
          </cell>
        </row>
        <row r="1239">
          <cell r="A1239" t="str">
            <v>4130.1055</v>
          </cell>
          <cell r="D1239">
            <v>0</v>
          </cell>
        </row>
        <row r="1240">
          <cell r="A1240" t="str">
            <v>4130.1055</v>
          </cell>
          <cell r="D1240">
            <v>-534.04999999999995</v>
          </cell>
        </row>
        <row r="1241">
          <cell r="A1241" t="str">
            <v>4130.1055</v>
          </cell>
          <cell r="D1241">
            <v>-527.15</v>
          </cell>
        </row>
        <row r="1242">
          <cell r="A1242" t="str">
            <v>4130.1055</v>
          </cell>
          <cell r="D1242">
            <v>0</v>
          </cell>
        </row>
        <row r="1243">
          <cell r="A1243" t="str">
            <v>4130.1055</v>
          </cell>
          <cell r="D1243">
            <v>0</v>
          </cell>
        </row>
        <row r="1244">
          <cell r="A1244" t="str">
            <v>4130.1055</v>
          </cell>
          <cell r="D1244">
            <v>0</v>
          </cell>
        </row>
        <row r="1245">
          <cell r="A1245" t="str">
            <v>Office Supplies</v>
          </cell>
          <cell r="D1245">
            <v>-6021.64</v>
          </cell>
        </row>
        <row r="1246">
          <cell r="A1246" t="str">
            <v>4130.ProdRelated_5015</v>
          </cell>
          <cell r="D1246">
            <v>0</v>
          </cell>
        </row>
        <row r="1247">
          <cell r="A1247" t="str">
            <v>4130.ProdRelated_5015</v>
          </cell>
          <cell r="D1247">
            <v>-584</v>
          </cell>
        </row>
        <row r="1248">
          <cell r="A1248" t="str">
            <v>4130.ProdRelated_5015</v>
          </cell>
          <cell r="D1248">
            <v>-383.56</v>
          </cell>
        </row>
        <row r="1249">
          <cell r="A1249" t="str">
            <v>4130.ProdRelated_5015</v>
          </cell>
          <cell r="D1249">
            <v>-2401.9499999999998</v>
          </cell>
        </row>
        <row r="1250">
          <cell r="A1250" t="str">
            <v>4130.ProdRelated_5015</v>
          </cell>
          <cell r="D1250">
            <v>0</v>
          </cell>
        </row>
        <row r="1251">
          <cell r="A1251" t="str">
            <v>4130.ProdRelated_5015</v>
          </cell>
          <cell r="D1251">
            <v>0</v>
          </cell>
        </row>
        <row r="1252">
          <cell r="A1252" t="str">
            <v>4130.ProdRelated_5015</v>
          </cell>
          <cell r="D1252">
            <v>-421.88</v>
          </cell>
        </row>
        <row r="1253">
          <cell r="A1253" t="str">
            <v>4130.ProdRelated_5015</v>
          </cell>
          <cell r="D1253">
            <v>0</v>
          </cell>
        </row>
        <row r="1254">
          <cell r="A1254" t="str">
            <v>4130.ProdRelated_5015</v>
          </cell>
          <cell r="D1254">
            <v>-704.58</v>
          </cell>
        </row>
        <row r="1255">
          <cell r="A1255" t="str">
            <v>4130.ProdRelated_5015</v>
          </cell>
          <cell r="D1255">
            <v>0</v>
          </cell>
        </row>
        <row r="1256">
          <cell r="A1256" t="str">
            <v>4130.ProdRelated_5015</v>
          </cell>
          <cell r="D1256">
            <v>-1164.19</v>
          </cell>
        </row>
        <row r="1257">
          <cell r="A1257" t="str">
            <v>4130.ProdRelated_5015</v>
          </cell>
          <cell r="D1257">
            <v>0</v>
          </cell>
        </row>
        <row r="1258">
          <cell r="A1258" t="str">
            <v>4130.ProdRelated_5015</v>
          </cell>
          <cell r="D1258">
            <v>0</v>
          </cell>
        </row>
        <row r="1259">
          <cell r="A1259" t="str">
            <v>4130.ProdRelated_5015</v>
          </cell>
          <cell r="D1259">
            <v>0</v>
          </cell>
        </row>
        <row r="1260">
          <cell r="A1260" t="str">
            <v>4130.ProdRelated_5015</v>
          </cell>
          <cell r="D1260">
            <v>0</v>
          </cell>
        </row>
        <row r="1261">
          <cell r="A1261" t="str">
            <v>4130.ProdRelated_5015</v>
          </cell>
          <cell r="D1261">
            <v>0</v>
          </cell>
        </row>
        <row r="1262">
          <cell r="A1262" t="str">
            <v>4130.ProdRelated_5015</v>
          </cell>
          <cell r="D1262">
            <v>-2901.21</v>
          </cell>
        </row>
        <row r="1263">
          <cell r="A1263" t="str">
            <v>4130.ProdRelated_5015</v>
          </cell>
          <cell r="D1263">
            <v>0</v>
          </cell>
        </row>
        <row r="1264">
          <cell r="A1264" t="str">
            <v>Short Lived Tools</v>
          </cell>
          <cell r="D1264">
            <v>-8561.369999999999</v>
          </cell>
        </row>
        <row r="1265">
          <cell r="A1265" t="str">
            <v>4130.ProdRelated_5005</v>
          </cell>
          <cell r="D1265">
            <v>0</v>
          </cell>
        </row>
        <row r="1266">
          <cell r="A1266" t="str">
            <v>4130.ProdRelated_5005</v>
          </cell>
          <cell r="D1266">
            <v>-3468.59</v>
          </cell>
        </row>
        <row r="1267">
          <cell r="A1267" t="str">
            <v>4130.ProdRelated_5005</v>
          </cell>
          <cell r="D1267">
            <v>-1412.84</v>
          </cell>
        </row>
        <row r="1268">
          <cell r="A1268" t="str">
            <v>4130.ProdRelated_5005</v>
          </cell>
          <cell r="D1268">
            <v>-126.61</v>
          </cell>
        </row>
        <row r="1269">
          <cell r="A1269" t="str">
            <v>4130.ProdRelated_5005</v>
          </cell>
          <cell r="D1269">
            <v>-1557</v>
          </cell>
        </row>
        <row r="1270">
          <cell r="A1270" t="str">
            <v>4130.ProdRelated_5005</v>
          </cell>
          <cell r="D1270">
            <v>0</v>
          </cell>
        </row>
        <row r="1271">
          <cell r="A1271" t="str">
            <v>4130.ProdRelated_5005</v>
          </cell>
          <cell r="D1271">
            <v>0</v>
          </cell>
        </row>
        <row r="1272">
          <cell r="A1272" t="str">
            <v>4130.ProdRelated_5005</v>
          </cell>
          <cell r="D1272">
            <v>0</v>
          </cell>
        </row>
        <row r="1273">
          <cell r="A1273" t="str">
            <v>4130.ProdRelated_5005</v>
          </cell>
          <cell r="D1273">
            <v>-4128.03</v>
          </cell>
        </row>
        <row r="1274">
          <cell r="A1274" t="str">
            <v>4130.ProdRelated_5005</v>
          </cell>
          <cell r="D1274">
            <v>0</v>
          </cell>
        </row>
        <row r="1275">
          <cell r="A1275" t="str">
            <v>4130.ProdRelated_5005</v>
          </cell>
          <cell r="D1275">
            <v>-1017.02</v>
          </cell>
        </row>
        <row r="1276">
          <cell r="A1276" t="str">
            <v>4130.ProdRelated_5005</v>
          </cell>
          <cell r="D1276">
            <v>0</v>
          </cell>
        </row>
        <row r="1277">
          <cell r="A1277" t="str">
            <v>4130.ProdRelated_5005</v>
          </cell>
          <cell r="D1277">
            <v>-656.51</v>
          </cell>
        </row>
        <row r="1278">
          <cell r="A1278" t="str">
            <v>4130.ProdRelated_5005</v>
          </cell>
          <cell r="D1278">
            <v>0</v>
          </cell>
        </row>
        <row r="1279">
          <cell r="A1279" t="str">
            <v>4130.ProdRelated_5005</v>
          </cell>
          <cell r="D1279">
            <v>-678.16</v>
          </cell>
        </row>
        <row r="1280">
          <cell r="A1280" t="str">
            <v>4130.ProdRelated_5005</v>
          </cell>
          <cell r="D1280">
            <v>0</v>
          </cell>
        </row>
        <row r="1281">
          <cell r="A1281" t="str">
            <v>4130.ProdRelated_5005</v>
          </cell>
          <cell r="D1281">
            <v>0</v>
          </cell>
        </row>
        <row r="1282">
          <cell r="A1282" t="str">
            <v>Gen. Manufacturing Supplies</v>
          </cell>
          <cell r="D1282">
            <v>-13044.76</v>
          </cell>
        </row>
        <row r="1283">
          <cell r="A1283" t="str">
            <v>4130.Occupancy_3015</v>
          </cell>
          <cell r="D1283">
            <v>-6769.06</v>
          </cell>
        </row>
        <row r="1284">
          <cell r="A1284" t="str">
            <v>4130.Occupancy_3015</v>
          </cell>
          <cell r="D1284">
            <v>-804.48</v>
          </cell>
        </row>
        <row r="1285">
          <cell r="A1285" t="str">
            <v>4130.Occupancy_3015</v>
          </cell>
          <cell r="D1285">
            <v>0</v>
          </cell>
        </row>
        <row r="1286">
          <cell r="A1286" t="str">
            <v>4130.Occupancy_3015</v>
          </cell>
          <cell r="D1286">
            <v>0</v>
          </cell>
        </row>
        <row r="1287">
          <cell r="A1287" t="str">
            <v>4130.Occupancy_3015</v>
          </cell>
          <cell r="D1287">
            <v>0</v>
          </cell>
        </row>
        <row r="1288">
          <cell r="A1288" t="str">
            <v>4130.Occupancy_3015</v>
          </cell>
          <cell r="D1288">
            <v>0</v>
          </cell>
        </row>
        <row r="1289">
          <cell r="A1289" t="str">
            <v>4130.Occupancy_3015</v>
          </cell>
          <cell r="D1289">
            <v>0</v>
          </cell>
        </row>
        <row r="1290">
          <cell r="A1290" t="str">
            <v>4130.Occupancy_3015</v>
          </cell>
          <cell r="D1290">
            <v>0</v>
          </cell>
        </row>
        <row r="1291">
          <cell r="A1291" t="str">
            <v>4130.Occupancy_3015</v>
          </cell>
          <cell r="D1291">
            <v>0</v>
          </cell>
        </row>
        <row r="1292">
          <cell r="A1292" t="str">
            <v>4130.Occupancy_3015</v>
          </cell>
          <cell r="D1292">
            <v>0</v>
          </cell>
        </row>
        <row r="1293">
          <cell r="A1293" t="str">
            <v>4130.Occupancy_3015</v>
          </cell>
          <cell r="D1293">
            <v>0</v>
          </cell>
        </row>
        <row r="1294">
          <cell r="A1294" t="str">
            <v>Building Maintenance</v>
          </cell>
          <cell r="D1294">
            <v>-7573.5400000000009</v>
          </cell>
        </row>
        <row r="1295">
          <cell r="A1295" t="str">
            <v>4130.1025</v>
          </cell>
          <cell r="D1295">
            <v>-802.41</v>
          </cell>
        </row>
        <row r="1296">
          <cell r="A1296" t="str">
            <v>4130.1025</v>
          </cell>
          <cell r="D1296">
            <v>-2252.02</v>
          </cell>
        </row>
        <row r="1297">
          <cell r="A1297" t="str">
            <v>4130.1025</v>
          </cell>
          <cell r="D1297">
            <v>-2764.8</v>
          </cell>
        </row>
        <row r="1298">
          <cell r="A1298" t="str">
            <v>4130.1025</v>
          </cell>
          <cell r="D1298">
            <v>0</v>
          </cell>
        </row>
        <row r="1299">
          <cell r="A1299" t="str">
            <v>4130.1025</v>
          </cell>
          <cell r="D1299">
            <v>-785.81</v>
          </cell>
        </row>
        <row r="1300">
          <cell r="A1300" t="str">
            <v>4130.1025</v>
          </cell>
          <cell r="D1300">
            <v>0</v>
          </cell>
        </row>
        <row r="1301">
          <cell r="A1301" t="str">
            <v>4130.1025</v>
          </cell>
          <cell r="D1301">
            <v>0</v>
          </cell>
        </row>
        <row r="1302">
          <cell r="A1302" t="str">
            <v>4130.1025</v>
          </cell>
          <cell r="D1302">
            <v>0</v>
          </cell>
        </row>
        <row r="1303">
          <cell r="A1303" t="str">
            <v>4130.1025</v>
          </cell>
          <cell r="D1303">
            <v>0</v>
          </cell>
        </row>
        <row r="1304">
          <cell r="A1304" t="str">
            <v>4130.1025</v>
          </cell>
          <cell r="D1304">
            <v>0</v>
          </cell>
        </row>
        <row r="1305">
          <cell r="A1305" t="str">
            <v>4130.1025</v>
          </cell>
          <cell r="D1305">
            <v>-238.41</v>
          </cell>
        </row>
        <row r="1306">
          <cell r="A1306" t="str">
            <v>4130.1025</v>
          </cell>
          <cell r="D1306">
            <v>-440.56</v>
          </cell>
        </row>
        <row r="1307">
          <cell r="A1307" t="str">
            <v>4130.1025</v>
          </cell>
          <cell r="D1307">
            <v>-260</v>
          </cell>
        </row>
        <row r="1308">
          <cell r="A1308" t="str">
            <v>4130.1025</v>
          </cell>
          <cell r="D1308">
            <v>0</v>
          </cell>
        </row>
        <row r="1309">
          <cell r="A1309" t="str">
            <v>4130.1025</v>
          </cell>
          <cell r="D1309">
            <v>-377.61</v>
          </cell>
        </row>
        <row r="1310">
          <cell r="A1310" t="str">
            <v>4130.1025</v>
          </cell>
          <cell r="D1310">
            <v>-355.67</v>
          </cell>
        </row>
        <row r="1311">
          <cell r="A1311" t="str">
            <v>4130.1025</v>
          </cell>
          <cell r="D1311">
            <v>-2535.65</v>
          </cell>
        </row>
        <row r="1312">
          <cell r="A1312" t="str">
            <v>4130.1025</v>
          </cell>
          <cell r="D1312">
            <v>-1151.4000000000001</v>
          </cell>
        </row>
        <row r="1313">
          <cell r="A1313" t="str">
            <v>4130.1025</v>
          </cell>
          <cell r="D1313">
            <v>0</v>
          </cell>
        </row>
        <row r="1314">
          <cell r="A1314" t="str">
            <v>4130.1025</v>
          </cell>
          <cell r="D1314">
            <v>0</v>
          </cell>
        </row>
        <row r="1315">
          <cell r="A1315" t="str">
            <v>4130.1025</v>
          </cell>
          <cell r="D1315">
            <v>-390.6</v>
          </cell>
        </row>
        <row r="1316">
          <cell r="A1316" t="str">
            <v>4130.1025</v>
          </cell>
          <cell r="D1316">
            <v>-1207.78</v>
          </cell>
        </row>
        <row r="1317">
          <cell r="A1317" t="str">
            <v>4130.1025</v>
          </cell>
          <cell r="D1317">
            <v>-135.32</v>
          </cell>
        </row>
        <row r="1318">
          <cell r="A1318" t="str">
            <v>4130.1025</v>
          </cell>
          <cell r="D1318">
            <v>0</v>
          </cell>
        </row>
        <row r="1319">
          <cell r="A1319" t="str">
            <v>4130.1025</v>
          </cell>
          <cell r="D1319">
            <v>-19.3</v>
          </cell>
        </row>
        <row r="1320">
          <cell r="A1320" t="str">
            <v>4130.1025</v>
          </cell>
          <cell r="D1320">
            <v>-88.7</v>
          </cell>
        </row>
        <row r="1321">
          <cell r="A1321" t="str">
            <v>4130.1025</v>
          </cell>
          <cell r="D1321">
            <v>0</v>
          </cell>
        </row>
        <row r="1322">
          <cell r="A1322" t="str">
            <v>4130.1025</v>
          </cell>
          <cell r="D1322">
            <v>0</v>
          </cell>
        </row>
        <row r="1323">
          <cell r="A1323" t="str">
            <v>4130.1025</v>
          </cell>
          <cell r="D1323">
            <v>-8380.31</v>
          </cell>
        </row>
        <row r="1324">
          <cell r="A1324" t="str">
            <v>4130.1025</v>
          </cell>
          <cell r="D1324">
            <v>-4909.95</v>
          </cell>
        </row>
        <row r="1325">
          <cell r="A1325" t="str">
            <v>4130.1025</v>
          </cell>
          <cell r="D1325">
            <v>-3124.09</v>
          </cell>
        </row>
        <row r="1326">
          <cell r="A1326" t="str">
            <v>4130.1025</v>
          </cell>
          <cell r="D1326">
            <v>0</v>
          </cell>
        </row>
        <row r="1327">
          <cell r="A1327" t="str">
            <v>4130.1025</v>
          </cell>
          <cell r="D1327">
            <v>-669.94</v>
          </cell>
        </row>
        <row r="1328">
          <cell r="A1328" t="str">
            <v>Travel Costs</v>
          </cell>
          <cell r="D1328">
            <v>-30890.329999999998</v>
          </cell>
        </row>
        <row r="1329">
          <cell r="A1329" t="str">
            <v>4130.1035</v>
          </cell>
          <cell r="D1329">
            <v>-22560.82</v>
          </cell>
        </row>
        <row r="1330">
          <cell r="A1330" t="str">
            <v>4130.1035</v>
          </cell>
          <cell r="D1330">
            <v>0</v>
          </cell>
        </row>
        <row r="1331">
          <cell r="A1331" t="str">
            <v>4130.1035</v>
          </cell>
          <cell r="D1331">
            <v>0</v>
          </cell>
        </row>
        <row r="1332">
          <cell r="A1332" t="str">
            <v>4130.1035</v>
          </cell>
          <cell r="D1332">
            <v>0</v>
          </cell>
        </row>
        <row r="1333">
          <cell r="A1333" t="str">
            <v>4130.1035</v>
          </cell>
          <cell r="D1333">
            <v>-30845.86</v>
          </cell>
        </row>
        <row r="1334">
          <cell r="A1334" t="str">
            <v>4130.1035</v>
          </cell>
          <cell r="D1334">
            <v>0</v>
          </cell>
        </row>
        <row r="1335">
          <cell r="A1335" t="str">
            <v>4130.1035</v>
          </cell>
          <cell r="D1335">
            <v>0</v>
          </cell>
        </row>
        <row r="1336">
          <cell r="A1336" t="str">
            <v>4130.1035</v>
          </cell>
          <cell r="D1336">
            <v>0</v>
          </cell>
        </row>
        <row r="1337">
          <cell r="A1337" t="str">
            <v>Depreciation</v>
          </cell>
          <cell r="D1337">
            <v>-53406.68</v>
          </cell>
        </row>
        <row r="1338">
          <cell r="A1338" t="str">
            <v>4130.Personnel_1025</v>
          </cell>
          <cell r="D1338">
            <v>-544.66</v>
          </cell>
        </row>
        <row r="1339">
          <cell r="A1339" t="str">
            <v>4130.Personnel_1025</v>
          </cell>
          <cell r="D1339">
            <v>0</v>
          </cell>
        </row>
        <row r="1340">
          <cell r="A1340" t="str">
            <v>4130.Personnel_1025</v>
          </cell>
          <cell r="D1340">
            <v>-199.03</v>
          </cell>
        </row>
        <row r="1341">
          <cell r="A1341" t="str">
            <v>4130.Personnel_1025</v>
          </cell>
          <cell r="D1341">
            <v>0</v>
          </cell>
        </row>
        <row r="1342">
          <cell r="A1342" t="str">
            <v>4130.Personnel_1025</v>
          </cell>
          <cell r="D1342">
            <v>-937.96</v>
          </cell>
        </row>
        <row r="1343">
          <cell r="A1343" t="str">
            <v>4130.Personnel_1025</v>
          </cell>
          <cell r="D1343">
            <v>0</v>
          </cell>
        </row>
        <row r="1344">
          <cell r="A1344" t="str">
            <v>Outside Contractors</v>
          </cell>
          <cell r="D1344">
            <v>-1681.65</v>
          </cell>
        </row>
        <row r="1345">
          <cell r="A1345" t="str">
            <v>4130.ProdRelated_5020</v>
          </cell>
          <cell r="D1345">
            <v>-3796.5</v>
          </cell>
        </row>
        <row r="1346">
          <cell r="A1346" t="str">
            <v>Equipment Service Contracts</v>
          </cell>
          <cell r="D1346">
            <v>-3796.5</v>
          </cell>
        </row>
        <row r="1347">
          <cell r="A1347" t="str">
            <v>4130.Occupancy_3045</v>
          </cell>
          <cell r="D1347">
            <v>-12307.5</v>
          </cell>
        </row>
        <row r="1348">
          <cell r="A1348" t="str">
            <v>4130.Occupancy_3045</v>
          </cell>
          <cell r="D1348">
            <v>-631.15</v>
          </cell>
        </row>
        <row r="1349">
          <cell r="A1349" t="str">
            <v>4130.Occupancy_3045</v>
          </cell>
          <cell r="D1349">
            <v>-631.15</v>
          </cell>
        </row>
        <row r="1350">
          <cell r="A1350" t="str">
            <v>4130.Occupancy_3045</v>
          </cell>
          <cell r="D1350">
            <v>0</v>
          </cell>
        </row>
        <row r="1351">
          <cell r="A1351" t="str">
            <v>4130.Occupancy_3045</v>
          </cell>
          <cell r="D1351">
            <v>0</v>
          </cell>
        </row>
        <row r="1352">
          <cell r="A1352" t="str">
            <v>4130.Occupancy_3045</v>
          </cell>
          <cell r="D1352">
            <v>2020.1</v>
          </cell>
        </row>
        <row r="1353">
          <cell r="A1353" t="str">
            <v>4130.Occupancy_3045</v>
          </cell>
          <cell r="D1353">
            <v>0</v>
          </cell>
        </row>
        <row r="1354">
          <cell r="A1354" t="str">
            <v>Facilities Expense</v>
          </cell>
          <cell r="D1354">
            <v>-11549.699999999999</v>
          </cell>
        </row>
        <row r="1355">
          <cell r="A1355" t="str">
            <v>4130.1065</v>
          </cell>
          <cell r="D1355">
            <v>-34720.019999999997</v>
          </cell>
        </row>
        <row r="1356">
          <cell r="A1356" t="str">
            <v>4130.1065</v>
          </cell>
          <cell r="D1356">
            <v>-34117.61</v>
          </cell>
        </row>
        <row r="1357">
          <cell r="A1357" t="str">
            <v>4130.1065</v>
          </cell>
          <cell r="D1357">
            <v>0</v>
          </cell>
        </row>
        <row r="1358">
          <cell r="A1358" t="str">
            <v>Installation &amp; Warranty Costs</v>
          </cell>
          <cell r="D1358">
            <v>-68837.63</v>
          </cell>
        </row>
        <row r="1359">
          <cell r="A1359" t="str">
            <v>4130.1060</v>
          </cell>
          <cell r="D1359">
            <v>52255</v>
          </cell>
        </row>
        <row r="1360">
          <cell r="A1360" t="str">
            <v>Inventory Obsolenscense Costs</v>
          </cell>
          <cell r="D1360">
            <v>52255</v>
          </cell>
        </row>
        <row r="1361">
          <cell r="A1361" t="str">
            <v>4130.1075</v>
          </cell>
          <cell r="D1361">
            <v>45121.95</v>
          </cell>
        </row>
        <row r="1362">
          <cell r="A1362" t="str">
            <v>4130.1075</v>
          </cell>
          <cell r="D1362">
            <v>59299.63</v>
          </cell>
        </row>
        <row r="1363">
          <cell r="A1363" t="str">
            <v>Inventory Absorption</v>
          </cell>
          <cell r="D1363">
            <v>104421.57999999999</v>
          </cell>
        </row>
        <row r="1364">
          <cell r="A1364" t="str">
            <v>4130.Other.Other</v>
          </cell>
          <cell r="D1364">
            <v>0</v>
          </cell>
        </row>
        <row r="1365">
          <cell r="A1365" t="str">
            <v>4130.Other.Other</v>
          </cell>
          <cell r="D1365">
            <v>-97.46</v>
          </cell>
        </row>
        <row r="1366">
          <cell r="A1366" t="str">
            <v>4130.Other.Other</v>
          </cell>
          <cell r="D1366">
            <v>-88.36</v>
          </cell>
        </row>
        <row r="1367">
          <cell r="A1367" t="str">
            <v>4130.Other.Other</v>
          </cell>
          <cell r="D1367">
            <v>-66.55</v>
          </cell>
        </row>
        <row r="1368">
          <cell r="A1368" t="str">
            <v>4130.Other.Other</v>
          </cell>
          <cell r="D1368">
            <v>0</v>
          </cell>
        </row>
        <row r="1369">
          <cell r="A1369" t="str">
            <v>4130.Other.Other</v>
          </cell>
          <cell r="D1369">
            <v>0</v>
          </cell>
        </row>
        <row r="1370">
          <cell r="A1370" t="str">
            <v>4130.Other.Other</v>
          </cell>
          <cell r="D1370">
            <v>0</v>
          </cell>
        </row>
        <row r="1371">
          <cell r="A1371" t="str">
            <v>4130.Other.Other</v>
          </cell>
          <cell r="D1371">
            <v>-120</v>
          </cell>
        </row>
        <row r="1372">
          <cell r="A1372" t="str">
            <v>4130.Other.Other</v>
          </cell>
          <cell r="D1372">
            <v>-3754.43</v>
          </cell>
        </row>
        <row r="1373">
          <cell r="A1373" t="str">
            <v>4130.Other.Other</v>
          </cell>
          <cell r="D1373">
            <v>0</v>
          </cell>
        </row>
        <row r="1374">
          <cell r="A1374" t="str">
            <v>4130.Other.Other</v>
          </cell>
          <cell r="D1374">
            <v>0</v>
          </cell>
        </row>
        <row r="1375">
          <cell r="A1375" t="str">
            <v>4130.Other.Other</v>
          </cell>
          <cell r="D1375">
            <v>0</v>
          </cell>
        </row>
        <row r="1376">
          <cell r="A1376" t="str">
            <v>4130.Other.Other</v>
          </cell>
          <cell r="D1376">
            <v>0</v>
          </cell>
        </row>
        <row r="1377">
          <cell r="A1377" t="str">
            <v>4130.Other.Other</v>
          </cell>
          <cell r="D1377">
            <v>0</v>
          </cell>
        </row>
        <row r="1378">
          <cell r="A1378" t="str">
            <v>4130.Other.Other</v>
          </cell>
          <cell r="D1378">
            <v>0</v>
          </cell>
        </row>
        <row r="1379">
          <cell r="A1379" t="str">
            <v>4130.Other.Other</v>
          </cell>
          <cell r="D1379">
            <v>0</v>
          </cell>
        </row>
        <row r="1380">
          <cell r="A1380" t="str">
            <v>4130.Other.Other</v>
          </cell>
          <cell r="D1380">
            <v>-94.5</v>
          </cell>
        </row>
        <row r="1381">
          <cell r="A1381" t="str">
            <v>4130.Other.Other</v>
          </cell>
          <cell r="D1381">
            <v>-35</v>
          </cell>
        </row>
        <row r="1382">
          <cell r="A1382" t="str">
            <v>4130.Other.Other</v>
          </cell>
          <cell r="D1382">
            <v>0</v>
          </cell>
        </row>
        <row r="1383">
          <cell r="A1383" t="str">
            <v>4130.Other.Other</v>
          </cell>
          <cell r="D1383">
            <v>0</v>
          </cell>
        </row>
        <row r="1384">
          <cell r="A1384" t="str">
            <v>4130.Other.Other</v>
          </cell>
          <cell r="D1384">
            <v>0</v>
          </cell>
        </row>
        <row r="1385">
          <cell r="A1385" t="str">
            <v>4130.Other.Other</v>
          </cell>
          <cell r="D1385">
            <v>0</v>
          </cell>
        </row>
        <row r="1386">
          <cell r="A1386" t="str">
            <v>4130.Other.Other</v>
          </cell>
          <cell r="D1386">
            <v>-104</v>
          </cell>
        </row>
        <row r="1387">
          <cell r="A1387" t="str">
            <v>4130.Other.Other</v>
          </cell>
          <cell r="D1387">
            <v>0</v>
          </cell>
        </row>
        <row r="1388">
          <cell r="A1388" t="str">
            <v>4130.Other.Other</v>
          </cell>
          <cell r="D1388">
            <v>0</v>
          </cell>
        </row>
        <row r="1389">
          <cell r="A1389" t="str">
            <v>4130.Other.Other</v>
          </cell>
          <cell r="D1389">
            <v>-6706.85</v>
          </cell>
        </row>
        <row r="1390">
          <cell r="A1390" t="str">
            <v>Other</v>
          </cell>
          <cell r="D1390">
            <v>-11067.150000000001</v>
          </cell>
        </row>
        <row r="1391">
          <cell r="A1391" t="str">
            <v>OVERHEAD</v>
          </cell>
          <cell r="D1391">
            <v>-880652.10000000021</v>
          </cell>
        </row>
        <row r="1393">
          <cell r="A1393" t="str">
            <v>4200.1000</v>
          </cell>
          <cell r="D1393">
            <v>-76178.559999999998</v>
          </cell>
        </row>
        <row r="1394">
          <cell r="A1394" t="str">
            <v>4200.1000</v>
          </cell>
          <cell r="D1394">
            <v>0</v>
          </cell>
        </row>
        <row r="1395">
          <cell r="A1395" t="str">
            <v>4200.1000</v>
          </cell>
          <cell r="D1395">
            <v>0</v>
          </cell>
        </row>
        <row r="1396">
          <cell r="A1396" t="str">
            <v>4200.1000</v>
          </cell>
          <cell r="D1396">
            <v>-6094.26</v>
          </cell>
        </row>
        <row r="1397">
          <cell r="A1397" t="str">
            <v>4200.1000</v>
          </cell>
          <cell r="D1397">
            <v>0</v>
          </cell>
        </row>
        <row r="1398">
          <cell r="A1398" t="str">
            <v>4200.1000</v>
          </cell>
          <cell r="D1398">
            <v>0</v>
          </cell>
        </row>
        <row r="1399">
          <cell r="A1399" t="str">
            <v>4200.1000</v>
          </cell>
          <cell r="D1399">
            <v>0</v>
          </cell>
        </row>
        <row r="1400">
          <cell r="A1400" t="str">
            <v>Salaries &amp; Wages</v>
          </cell>
          <cell r="D1400">
            <v>-82272.819999999992</v>
          </cell>
        </row>
        <row r="1401">
          <cell r="A1401" t="str">
            <v>4200.Personnel_1015</v>
          </cell>
          <cell r="D1401">
            <v>-9286.0499999999993</v>
          </cell>
        </row>
        <row r="1402">
          <cell r="A1402" t="str">
            <v>Bonuses</v>
          </cell>
          <cell r="D1402">
            <v>-9286.0499999999993</v>
          </cell>
        </row>
        <row r="1403">
          <cell r="A1403" t="str">
            <v>4200.1005</v>
          </cell>
          <cell r="D1403">
            <v>0</v>
          </cell>
        </row>
        <row r="1404">
          <cell r="A1404" t="str">
            <v>4200.1005</v>
          </cell>
          <cell r="D1404">
            <v>-6929.85</v>
          </cell>
        </row>
        <row r="1405">
          <cell r="A1405" t="str">
            <v>4200.1005</v>
          </cell>
          <cell r="D1405">
            <v>-11944.6</v>
          </cell>
        </row>
        <row r="1406">
          <cell r="A1406" t="str">
            <v>4200.1005</v>
          </cell>
          <cell r="D1406">
            <v>0</v>
          </cell>
        </row>
        <row r="1407">
          <cell r="A1407" t="str">
            <v>4200.1005</v>
          </cell>
          <cell r="D1407">
            <v>348.35</v>
          </cell>
        </row>
        <row r="1408">
          <cell r="A1408" t="str">
            <v>4200.1005</v>
          </cell>
          <cell r="D1408">
            <v>-3317.2</v>
          </cell>
        </row>
        <row r="1409">
          <cell r="A1409" t="str">
            <v>4200.1005</v>
          </cell>
          <cell r="D1409">
            <v>0</v>
          </cell>
        </row>
        <row r="1410">
          <cell r="A1410" t="str">
            <v>4200.1005</v>
          </cell>
          <cell r="D1410">
            <v>-2108.94</v>
          </cell>
        </row>
        <row r="1411">
          <cell r="A1411" t="str">
            <v>4200.1005</v>
          </cell>
          <cell r="D1411">
            <v>-45.99</v>
          </cell>
        </row>
        <row r="1412">
          <cell r="A1412" t="str">
            <v>4200.1005</v>
          </cell>
          <cell r="D1412">
            <v>0</v>
          </cell>
        </row>
        <row r="1413">
          <cell r="A1413" t="str">
            <v>4200.1005</v>
          </cell>
          <cell r="D1413">
            <v>0</v>
          </cell>
        </row>
        <row r="1414">
          <cell r="A1414" t="str">
            <v>Fringe Benefits</v>
          </cell>
          <cell r="D1414">
            <v>-23998.230000000003</v>
          </cell>
        </row>
        <row r="1415">
          <cell r="A1415" t="str">
            <v>4200.Occupancy_3010</v>
          </cell>
          <cell r="D1415">
            <v>-1337.76</v>
          </cell>
        </row>
        <row r="1416">
          <cell r="A1416" t="str">
            <v>Utilities</v>
          </cell>
          <cell r="D1416">
            <v>-1337.76</v>
          </cell>
        </row>
        <row r="1417">
          <cell r="A1417" t="str">
            <v>4200.1045</v>
          </cell>
          <cell r="D1417">
            <v>-5579.91</v>
          </cell>
        </row>
        <row r="1418">
          <cell r="A1418" t="str">
            <v>4200.1045</v>
          </cell>
          <cell r="D1418">
            <v>0</v>
          </cell>
        </row>
        <row r="1419">
          <cell r="A1419" t="str">
            <v>4200.1045</v>
          </cell>
          <cell r="D1419">
            <v>0</v>
          </cell>
        </row>
        <row r="1420">
          <cell r="A1420" t="str">
            <v>Telephone &amp; Fax</v>
          </cell>
          <cell r="D1420">
            <v>-5579.91</v>
          </cell>
        </row>
        <row r="1421">
          <cell r="A1421" t="str">
            <v>4200.GenAdmin_6040</v>
          </cell>
          <cell r="D1421">
            <v>0</v>
          </cell>
        </row>
        <row r="1422">
          <cell r="A1422" t="str">
            <v>Misc. State &amp; Local Taxes</v>
          </cell>
          <cell r="D1422">
            <v>0</v>
          </cell>
        </row>
        <row r="1423">
          <cell r="A1423" t="str">
            <v>4200.GenAdmin_6035</v>
          </cell>
          <cell r="D1423">
            <v>0</v>
          </cell>
        </row>
        <row r="1424">
          <cell r="A1424" t="str">
            <v>4200.GenAdmin_6035</v>
          </cell>
          <cell r="D1424">
            <v>-741.62</v>
          </cell>
        </row>
        <row r="1425">
          <cell r="A1425" t="str">
            <v>General Insurance</v>
          </cell>
          <cell r="D1425">
            <v>-741.62</v>
          </cell>
        </row>
        <row r="1426">
          <cell r="A1426" t="str">
            <v>4200.1055</v>
          </cell>
          <cell r="D1426">
            <v>-17.28</v>
          </cell>
        </row>
        <row r="1427">
          <cell r="A1427" t="str">
            <v>4200.1055</v>
          </cell>
          <cell r="D1427">
            <v>-62.06</v>
          </cell>
        </row>
        <row r="1428">
          <cell r="A1428" t="str">
            <v>4200.1055</v>
          </cell>
          <cell r="D1428">
            <v>-65.849999999999994</v>
          </cell>
        </row>
        <row r="1429">
          <cell r="A1429" t="str">
            <v>4200.1055</v>
          </cell>
          <cell r="D1429">
            <v>-406.71</v>
          </cell>
        </row>
        <row r="1430">
          <cell r="A1430" t="str">
            <v>4200.1055</v>
          </cell>
          <cell r="D1430">
            <v>-527.15</v>
          </cell>
        </row>
        <row r="1431">
          <cell r="A1431" t="str">
            <v>4200.1055</v>
          </cell>
          <cell r="D1431">
            <v>0</v>
          </cell>
        </row>
        <row r="1432">
          <cell r="A1432" t="str">
            <v>Office Supplies</v>
          </cell>
          <cell r="D1432">
            <v>-1079.05</v>
          </cell>
        </row>
        <row r="1433">
          <cell r="A1433" t="str">
            <v>4200.1025</v>
          </cell>
          <cell r="D1433">
            <v>-3723</v>
          </cell>
        </row>
        <row r="1434">
          <cell r="A1434" t="str">
            <v>4200.1025</v>
          </cell>
          <cell r="D1434">
            <v>0</v>
          </cell>
        </row>
        <row r="1435">
          <cell r="A1435" t="str">
            <v>4200.1025</v>
          </cell>
          <cell r="D1435">
            <v>-2990.62</v>
          </cell>
        </row>
        <row r="1436">
          <cell r="A1436" t="str">
            <v>4200.1025</v>
          </cell>
          <cell r="D1436">
            <v>-2984.85</v>
          </cell>
        </row>
        <row r="1437">
          <cell r="A1437" t="str">
            <v>4200.1025</v>
          </cell>
          <cell r="D1437">
            <v>-22316.55</v>
          </cell>
        </row>
        <row r="1438">
          <cell r="A1438" t="str">
            <v>4200.1025</v>
          </cell>
          <cell r="D1438">
            <v>-672.76</v>
          </cell>
        </row>
        <row r="1439">
          <cell r="A1439" t="str">
            <v>4200.1025</v>
          </cell>
          <cell r="D1439">
            <v>-723.58</v>
          </cell>
        </row>
        <row r="1440">
          <cell r="A1440" t="str">
            <v>4200.1025</v>
          </cell>
          <cell r="D1440">
            <v>-303.05</v>
          </cell>
        </row>
        <row r="1441">
          <cell r="A1441" t="str">
            <v>Travel Costs</v>
          </cell>
          <cell r="D1441">
            <v>-33714.409999999996</v>
          </cell>
        </row>
        <row r="1442">
          <cell r="A1442" t="str">
            <v>4200.SalesRelated_4010</v>
          </cell>
          <cell r="D1442">
            <v>0</v>
          </cell>
        </row>
        <row r="1443">
          <cell r="A1443" t="str">
            <v>4200.SalesRelated_4010</v>
          </cell>
          <cell r="D1443">
            <v>0</v>
          </cell>
        </row>
        <row r="1444">
          <cell r="A1444" t="str">
            <v>4200.SalesRelated_4010</v>
          </cell>
          <cell r="D1444">
            <v>0</v>
          </cell>
        </row>
        <row r="1445">
          <cell r="A1445" t="str">
            <v>4200.SalesRelated_4010</v>
          </cell>
          <cell r="D1445">
            <v>0</v>
          </cell>
        </row>
        <row r="1446">
          <cell r="A1446" t="str">
            <v>4200.SalesRelated_4010</v>
          </cell>
          <cell r="D1446">
            <v>0</v>
          </cell>
        </row>
        <row r="1447">
          <cell r="A1447" t="str">
            <v>Advertising Expense</v>
          </cell>
          <cell r="D1447">
            <v>0</v>
          </cell>
        </row>
        <row r="1448">
          <cell r="A1448" t="str">
            <v>4200.1020</v>
          </cell>
          <cell r="D1448">
            <v>0</v>
          </cell>
        </row>
        <row r="1449">
          <cell r="A1449" t="str">
            <v>4200.1020</v>
          </cell>
          <cell r="D1449">
            <v>-20767.509999999998</v>
          </cell>
        </row>
        <row r="1450">
          <cell r="A1450" t="str">
            <v>4200.1020</v>
          </cell>
          <cell r="D1450">
            <v>1533.5</v>
          </cell>
        </row>
        <row r="1451">
          <cell r="A1451" t="str">
            <v>4200.1020</v>
          </cell>
          <cell r="D1451">
            <v>0</v>
          </cell>
        </row>
        <row r="1452">
          <cell r="A1452" t="str">
            <v>4200.1020</v>
          </cell>
          <cell r="D1452">
            <v>0</v>
          </cell>
        </row>
        <row r="1453">
          <cell r="A1453" t="str">
            <v>Trade Shows, Exhibits &amp; Promo</v>
          </cell>
          <cell r="D1453">
            <v>-19234.009999999998</v>
          </cell>
        </row>
        <row r="1454">
          <cell r="A1454" t="str">
            <v>4200.1015</v>
          </cell>
          <cell r="D1454">
            <v>-114648.44</v>
          </cell>
        </row>
        <row r="1455">
          <cell r="A1455" t="str">
            <v>4200.1015</v>
          </cell>
          <cell r="D1455">
            <v>0</v>
          </cell>
        </row>
        <row r="1456">
          <cell r="A1456" t="str">
            <v>4200.1015</v>
          </cell>
          <cell r="D1456">
            <v>0</v>
          </cell>
        </row>
        <row r="1457">
          <cell r="A1457" t="str">
            <v>4200.1015</v>
          </cell>
          <cell r="D1457">
            <v>0</v>
          </cell>
        </row>
        <row r="1458">
          <cell r="A1458" t="str">
            <v>4200.1015</v>
          </cell>
          <cell r="D1458">
            <v>0</v>
          </cell>
        </row>
        <row r="1459">
          <cell r="A1459" t="str">
            <v>4200.1015</v>
          </cell>
          <cell r="D1459">
            <v>0</v>
          </cell>
        </row>
        <row r="1460">
          <cell r="A1460" t="str">
            <v>4200.1015</v>
          </cell>
          <cell r="D1460">
            <v>0</v>
          </cell>
        </row>
        <row r="1461">
          <cell r="A1461" t="str">
            <v>4200.1015</v>
          </cell>
          <cell r="D1461">
            <v>0</v>
          </cell>
        </row>
        <row r="1462">
          <cell r="A1462" t="str">
            <v>4200.1015</v>
          </cell>
          <cell r="D1462">
            <v>0</v>
          </cell>
        </row>
        <row r="1463">
          <cell r="A1463" t="str">
            <v>4200.1015</v>
          </cell>
          <cell r="D1463">
            <v>0</v>
          </cell>
        </row>
        <row r="1464">
          <cell r="A1464" t="str">
            <v>4200.1015</v>
          </cell>
          <cell r="D1464">
            <v>0</v>
          </cell>
        </row>
        <row r="1465">
          <cell r="A1465" t="str">
            <v>4200.1015</v>
          </cell>
          <cell r="D1465">
            <v>0</v>
          </cell>
        </row>
        <row r="1466">
          <cell r="A1466" t="str">
            <v>4200.1015</v>
          </cell>
          <cell r="D1466">
            <v>0</v>
          </cell>
        </row>
        <row r="1467">
          <cell r="A1467" t="str">
            <v>4200.1015</v>
          </cell>
          <cell r="D1467">
            <v>0</v>
          </cell>
        </row>
        <row r="1468">
          <cell r="A1468" t="str">
            <v>4200.1015</v>
          </cell>
          <cell r="D1468">
            <v>0</v>
          </cell>
        </row>
        <row r="1469">
          <cell r="A1469" t="str">
            <v>4200.1015</v>
          </cell>
          <cell r="D1469">
            <v>0</v>
          </cell>
        </row>
        <row r="1470">
          <cell r="A1470" t="str">
            <v>4200.1015</v>
          </cell>
          <cell r="D1470">
            <v>0</v>
          </cell>
        </row>
        <row r="1471">
          <cell r="A1471" t="str">
            <v>4200.1015</v>
          </cell>
          <cell r="D1471">
            <v>0</v>
          </cell>
        </row>
        <row r="1472">
          <cell r="A1472" t="str">
            <v>4200.1015</v>
          </cell>
          <cell r="D1472">
            <v>0</v>
          </cell>
        </row>
        <row r="1473">
          <cell r="A1473" t="str">
            <v>4200.1015</v>
          </cell>
          <cell r="D1473">
            <v>0</v>
          </cell>
        </row>
        <row r="1474">
          <cell r="A1474" t="str">
            <v>4200.1015</v>
          </cell>
          <cell r="D1474">
            <v>0</v>
          </cell>
        </row>
        <row r="1475">
          <cell r="A1475" t="str">
            <v>4200.1015</v>
          </cell>
          <cell r="D1475">
            <v>0</v>
          </cell>
        </row>
        <row r="1476">
          <cell r="A1476" t="str">
            <v>4200.1015</v>
          </cell>
          <cell r="D1476">
            <v>0</v>
          </cell>
        </row>
        <row r="1477">
          <cell r="A1477" t="str">
            <v>4200.1015</v>
          </cell>
          <cell r="D1477">
            <v>0</v>
          </cell>
        </row>
        <row r="1478">
          <cell r="A1478" t="str">
            <v>4200.1015</v>
          </cell>
          <cell r="D1478">
            <v>0</v>
          </cell>
        </row>
        <row r="1479">
          <cell r="A1479" t="str">
            <v>4200.1015</v>
          </cell>
          <cell r="D1479">
            <v>0</v>
          </cell>
        </row>
        <row r="1480">
          <cell r="A1480" t="str">
            <v>4200.1015</v>
          </cell>
          <cell r="D1480">
            <v>0</v>
          </cell>
        </row>
        <row r="1481">
          <cell r="A1481" t="str">
            <v>4200.1015</v>
          </cell>
          <cell r="D1481">
            <v>0</v>
          </cell>
        </row>
        <row r="1482">
          <cell r="A1482" t="str">
            <v>4200.1015</v>
          </cell>
          <cell r="D1482">
            <v>0</v>
          </cell>
        </row>
        <row r="1483">
          <cell r="A1483" t="str">
            <v>4200.1015</v>
          </cell>
          <cell r="D1483">
            <v>0</v>
          </cell>
        </row>
        <row r="1484">
          <cell r="A1484" t="str">
            <v>4200.1015</v>
          </cell>
          <cell r="D1484">
            <v>0</v>
          </cell>
        </row>
        <row r="1485">
          <cell r="A1485" t="str">
            <v>4200.1015</v>
          </cell>
          <cell r="D1485">
            <v>0</v>
          </cell>
        </row>
        <row r="1486">
          <cell r="A1486" t="str">
            <v>4200.1015</v>
          </cell>
          <cell r="D1486">
            <v>0</v>
          </cell>
        </row>
        <row r="1487">
          <cell r="A1487" t="str">
            <v>4200.1015</v>
          </cell>
          <cell r="D1487">
            <v>0</v>
          </cell>
        </row>
        <row r="1488">
          <cell r="A1488" t="str">
            <v>4200.1015</v>
          </cell>
          <cell r="D1488">
            <v>0</v>
          </cell>
        </row>
        <row r="1489">
          <cell r="A1489" t="str">
            <v>4200.1015</v>
          </cell>
          <cell r="D1489">
            <v>0</v>
          </cell>
        </row>
        <row r="1490">
          <cell r="A1490" t="str">
            <v>4200.1015</v>
          </cell>
          <cell r="D1490">
            <v>0</v>
          </cell>
        </row>
        <row r="1491">
          <cell r="A1491" t="str">
            <v>4200.1015</v>
          </cell>
          <cell r="D1491">
            <v>-2294.6799999999998</v>
          </cell>
        </row>
        <row r="1492">
          <cell r="A1492" t="str">
            <v>Commissions</v>
          </cell>
          <cell r="D1492">
            <v>-116943.12</v>
          </cell>
        </row>
        <row r="1493">
          <cell r="A1493" t="str">
            <v>4200.Occupancy_3045</v>
          </cell>
          <cell r="D1493">
            <v>-631.15</v>
          </cell>
        </row>
        <row r="1494">
          <cell r="A1494" t="str">
            <v>Facilities Expense</v>
          </cell>
          <cell r="D1494">
            <v>-631.15</v>
          </cell>
        </row>
        <row r="1495">
          <cell r="A1495" t="str">
            <v>4200.Other.Other</v>
          </cell>
          <cell r="D1495">
            <v>-30</v>
          </cell>
        </row>
        <row r="1496">
          <cell r="A1496" t="str">
            <v>4200.Other.Other</v>
          </cell>
          <cell r="D1496">
            <v>0</v>
          </cell>
        </row>
        <row r="1497">
          <cell r="A1497" t="str">
            <v>4200.Other.Other</v>
          </cell>
          <cell r="D1497">
            <v>0</v>
          </cell>
        </row>
        <row r="1498">
          <cell r="A1498" t="str">
            <v>4200.Other.Other</v>
          </cell>
          <cell r="D1498">
            <v>0</v>
          </cell>
        </row>
        <row r="1499">
          <cell r="A1499" t="str">
            <v>4200.Other.Other</v>
          </cell>
          <cell r="D1499">
            <v>0</v>
          </cell>
        </row>
        <row r="1500">
          <cell r="A1500" t="str">
            <v>4200.Other.Other</v>
          </cell>
          <cell r="D1500">
            <v>-2565.23</v>
          </cell>
        </row>
        <row r="1501">
          <cell r="A1501" t="str">
            <v>4200.Other.Other</v>
          </cell>
          <cell r="D1501">
            <v>0</v>
          </cell>
        </row>
        <row r="1502">
          <cell r="A1502" t="str">
            <v>4200.Other.Other</v>
          </cell>
          <cell r="D1502">
            <v>-2085.61</v>
          </cell>
        </row>
        <row r="1503">
          <cell r="A1503" t="str">
            <v>4200.Other.Other</v>
          </cell>
          <cell r="D1503">
            <v>0</v>
          </cell>
        </row>
        <row r="1504">
          <cell r="A1504" t="str">
            <v>4200.Other.Other</v>
          </cell>
          <cell r="D1504">
            <v>0</v>
          </cell>
        </row>
        <row r="1505">
          <cell r="A1505" t="str">
            <v>4200.Other.Other</v>
          </cell>
          <cell r="D1505">
            <v>-298</v>
          </cell>
        </row>
        <row r="1506">
          <cell r="A1506" t="str">
            <v>4200.Other.Other</v>
          </cell>
          <cell r="D1506">
            <v>-88.06</v>
          </cell>
        </row>
        <row r="1507">
          <cell r="A1507" t="str">
            <v>4200.Other.Other</v>
          </cell>
          <cell r="D1507">
            <v>0</v>
          </cell>
        </row>
        <row r="1508">
          <cell r="A1508" t="str">
            <v>4200.Other.Other</v>
          </cell>
          <cell r="D1508">
            <v>-9963</v>
          </cell>
        </row>
        <row r="1509">
          <cell r="A1509" t="str">
            <v>4200.Other.Other</v>
          </cell>
          <cell r="D1509">
            <v>-2268.9</v>
          </cell>
        </row>
        <row r="1510">
          <cell r="A1510" t="str">
            <v>Other</v>
          </cell>
          <cell r="D1510">
            <v>-17298.800000000003</v>
          </cell>
        </row>
        <row r="1511">
          <cell r="A1511" t="str">
            <v>SELLING EXPENSES</v>
          </cell>
          <cell r="D1511">
            <v>-312116.93</v>
          </cell>
        </row>
        <row r="1513">
          <cell r="A1513" t="str">
            <v>4210.1000</v>
          </cell>
          <cell r="D1513">
            <v>-62272.9</v>
          </cell>
        </row>
        <row r="1514">
          <cell r="A1514" t="str">
            <v>4210.1000</v>
          </cell>
          <cell r="D1514">
            <v>-11777.3</v>
          </cell>
        </row>
        <row r="1515">
          <cell r="A1515" t="str">
            <v>4210.1000</v>
          </cell>
          <cell r="D1515">
            <v>-20500</v>
          </cell>
        </row>
        <row r="1516">
          <cell r="A1516" t="str">
            <v>4210.1000</v>
          </cell>
          <cell r="D1516">
            <v>-77295.679999999993</v>
          </cell>
        </row>
        <row r="1517">
          <cell r="A1517" t="str">
            <v>4210.1000</v>
          </cell>
          <cell r="D1517">
            <v>-31903.7</v>
          </cell>
        </row>
        <row r="1518">
          <cell r="A1518" t="str">
            <v>4210.1000</v>
          </cell>
          <cell r="D1518">
            <v>0</v>
          </cell>
        </row>
        <row r="1519">
          <cell r="A1519" t="str">
            <v>4210.1000</v>
          </cell>
          <cell r="D1519">
            <v>-40.26</v>
          </cell>
        </row>
        <row r="1520">
          <cell r="A1520" t="str">
            <v>4210.1000</v>
          </cell>
          <cell r="D1520">
            <v>0</v>
          </cell>
        </row>
        <row r="1521">
          <cell r="A1521" t="str">
            <v>4210.1000</v>
          </cell>
          <cell r="D1521">
            <v>-36.86</v>
          </cell>
        </row>
        <row r="1522">
          <cell r="A1522" t="str">
            <v>4210.1000</v>
          </cell>
          <cell r="D1522">
            <v>-158.03</v>
          </cell>
        </row>
        <row r="1523">
          <cell r="A1523" t="str">
            <v>4210.1000</v>
          </cell>
          <cell r="D1523">
            <v>-112.92</v>
          </cell>
        </row>
        <row r="1524">
          <cell r="A1524" t="str">
            <v>4210.1000</v>
          </cell>
          <cell r="D1524">
            <v>0</v>
          </cell>
        </row>
        <row r="1525">
          <cell r="A1525" t="str">
            <v>4210.1000</v>
          </cell>
          <cell r="D1525">
            <v>0</v>
          </cell>
        </row>
        <row r="1526">
          <cell r="A1526" t="str">
            <v>4210.1000</v>
          </cell>
          <cell r="D1526">
            <v>0</v>
          </cell>
        </row>
        <row r="1527">
          <cell r="A1527" t="str">
            <v>4210.1000</v>
          </cell>
          <cell r="D1527">
            <v>0</v>
          </cell>
        </row>
        <row r="1528">
          <cell r="A1528" t="str">
            <v>4210.1000</v>
          </cell>
          <cell r="D1528">
            <v>0</v>
          </cell>
        </row>
        <row r="1529">
          <cell r="A1529" t="str">
            <v>4210.1000</v>
          </cell>
          <cell r="D1529">
            <v>-403.41</v>
          </cell>
        </row>
        <row r="1530">
          <cell r="A1530" t="str">
            <v>4210.1000</v>
          </cell>
          <cell r="D1530">
            <v>-2617.1999999999998</v>
          </cell>
        </row>
        <row r="1531">
          <cell r="A1531" t="str">
            <v>4210.1000</v>
          </cell>
          <cell r="D1531">
            <v>-44519.48</v>
          </cell>
        </row>
        <row r="1532">
          <cell r="A1532" t="str">
            <v>4210.1000</v>
          </cell>
          <cell r="D1532">
            <v>-942.2</v>
          </cell>
        </row>
        <row r="1533">
          <cell r="A1533" t="str">
            <v>4210.1000</v>
          </cell>
          <cell r="D1533">
            <v>-1640</v>
          </cell>
        </row>
        <row r="1534">
          <cell r="A1534" t="str">
            <v>4210.1000</v>
          </cell>
          <cell r="D1534">
            <v>-6183.69</v>
          </cell>
        </row>
        <row r="1535">
          <cell r="A1535" t="str">
            <v>4210.1000</v>
          </cell>
          <cell r="D1535">
            <v>-2552.3000000000002</v>
          </cell>
        </row>
        <row r="1536">
          <cell r="A1536" t="str">
            <v>4210.1000</v>
          </cell>
          <cell r="D1536">
            <v>0</v>
          </cell>
        </row>
        <row r="1537">
          <cell r="A1537" t="str">
            <v>4210.1000</v>
          </cell>
          <cell r="D1537">
            <v>0</v>
          </cell>
        </row>
        <row r="1538">
          <cell r="A1538" t="str">
            <v>4210.1000</v>
          </cell>
          <cell r="D1538">
            <v>0</v>
          </cell>
        </row>
        <row r="1539">
          <cell r="A1539" t="str">
            <v>4210.1000</v>
          </cell>
          <cell r="D1539">
            <v>0</v>
          </cell>
        </row>
        <row r="1540">
          <cell r="A1540" t="str">
            <v>4210.1000</v>
          </cell>
          <cell r="D1540">
            <v>0</v>
          </cell>
        </row>
        <row r="1541">
          <cell r="A1541" t="str">
            <v>4210.1000</v>
          </cell>
          <cell r="D1541">
            <v>0</v>
          </cell>
        </row>
        <row r="1542">
          <cell r="A1542" t="str">
            <v>4210.1000</v>
          </cell>
          <cell r="D1542">
            <v>0</v>
          </cell>
        </row>
        <row r="1543">
          <cell r="A1543" t="str">
            <v>4210.1000</v>
          </cell>
          <cell r="D1543">
            <v>-11600</v>
          </cell>
        </row>
        <row r="1544">
          <cell r="A1544" t="str">
            <v>4210.1000</v>
          </cell>
          <cell r="D1544">
            <v>0</v>
          </cell>
        </row>
        <row r="1545">
          <cell r="A1545" t="str">
            <v>4210.1000</v>
          </cell>
          <cell r="D1545">
            <v>0</v>
          </cell>
        </row>
        <row r="1546">
          <cell r="A1546" t="str">
            <v>4210.1000</v>
          </cell>
          <cell r="D1546">
            <v>0</v>
          </cell>
        </row>
        <row r="1547">
          <cell r="A1547" t="str">
            <v>4210.1000</v>
          </cell>
          <cell r="D1547">
            <v>0</v>
          </cell>
        </row>
        <row r="1548">
          <cell r="A1548" t="str">
            <v>4210.1000</v>
          </cell>
          <cell r="D1548">
            <v>5125</v>
          </cell>
        </row>
        <row r="1549">
          <cell r="A1549" t="str">
            <v>4210.1000</v>
          </cell>
          <cell r="D1549">
            <v>208.38</v>
          </cell>
        </row>
        <row r="1550">
          <cell r="A1550" t="str">
            <v>4210.1000</v>
          </cell>
          <cell r="D1550">
            <v>-560</v>
          </cell>
        </row>
        <row r="1551">
          <cell r="A1551" t="str">
            <v>4210.1000</v>
          </cell>
          <cell r="D1551">
            <v>0</v>
          </cell>
        </row>
        <row r="1552">
          <cell r="A1552" t="str">
            <v>4210.1000</v>
          </cell>
          <cell r="D1552">
            <v>0</v>
          </cell>
        </row>
        <row r="1553">
          <cell r="A1553" t="str">
            <v>4210.1000</v>
          </cell>
          <cell r="D1553">
            <v>-7586.16</v>
          </cell>
        </row>
        <row r="1554">
          <cell r="A1554" t="str">
            <v>4210.1000</v>
          </cell>
          <cell r="D1554">
            <v>-210</v>
          </cell>
        </row>
        <row r="1555">
          <cell r="A1555" t="str">
            <v>Salaries &amp; Wages</v>
          </cell>
          <cell r="D1555">
            <v>-277578.71000000002</v>
          </cell>
        </row>
        <row r="1556">
          <cell r="A1556" t="str">
            <v>4210.Personnel_1015</v>
          </cell>
          <cell r="D1556">
            <v>-45501.75</v>
          </cell>
        </row>
        <row r="1557">
          <cell r="A1557" t="str">
            <v>4210.Personnel_1015</v>
          </cell>
          <cell r="D1557">
            <v>0</v>
          </cell>
        </row>
        <row r="1558">
          <cell r="A1558" t="str">
            <v>4210.Personnel_1015</v>
          </cell>
          <cell r="D1558">
            <v>0</v>
          </cell>
        </row>
        <row r="1559">
          <cell r="A1559" t="str">
            <v>4210.Personnel_1015</v>
          </cell>
          <cell r="D1559">
            <v>0</v>
          </cell>
        </row>
        <row r="1560">
          <cell r="A1560" t="str">
            <v>4210.Personnel_1015</v>
          </cell>
          <cell r="D1560">
            <v>0</v>
          </cell>
        </row>
        <row r="1561">
          <cell r="A1561" t="str">
            <v>Bonuses</v>
          </cell>
          <cell r="D1561">
            <v>-45501.75</v>
          </cell>
        </row>
        <row r="1562">
          <cell r="A1562" t="str">
            <v>4210.1005</v>
          </cell>
          <cell r="D1562">
            <v>0</v>
          </cell>
        </row>
        <row r="1563">
          <cell r="A1563" t="str">
            <v>4210.1005</v>
          </cell>
          <cell r="D1563">
            <v>0</v>
          </cell>
        </row>
        <row r="1564">
          <cell r="A1564" t="str">
            <v>4210.1005</v>
          </cell>
          <cell r="D1564">
            <v>0</v>
          </cell>
        </row>
        <row r="1565">
          <cell r="A1565" t="str">
            <v>4210.1005</v>
          </cell>
          <cell r="D1565">
            <v>0</v>
          </cell>
        </row>
        <row r="1566">
          <cell r="A1566" t="str">
            <v>4210.1005</v>
          </cell>
          <cell r="D1566">
            <v>0</v>
          </cell>
        </row>
        <row r="1567">
          <cell r="A1567" t="str">
            <v>4210.1005</v>
          </cell>
          <cell r="D1567">
            <v>0</v>
          </cell>
        </row>
        <row r="1568">
          <cell r="A1568" t="str">
            <v>4210.1005</v>
          </cell>
          <cell r="D1568">
            <v>0</v>
          </cell>
        </row>
        <row r="1569">
          <cell r="A1569" t="str">
            <v>4210.1005</v>
          </cell>
          <cell r="D1569">
            <v>0</v>
          </cell>
        </row>
        <row r="1570">
          <cell r="A1570" t="str">
            <v>4210.1005</v>
          </cell>
          <cell r="D1570">
            <v>0</v>
          </cell>
        </row>
        <row r="1571">
          <cell r="A1571" t="str">
            <v>4210.1005</v>
          </cell>
          <cell r="D1571">
            <v>0</v>
          </cell>
        </row>
        <row r="1572">
          <cell r="A1572" t="str">
            <v>4210.1005</v>
          </cell>
          <cell r="D1572">
            <v>0</v>
          </cell>
        </row>
        <row r="1573">
          <cell r="A1573" t="str">
            <v>4210.1005</v>
          </cell>
          <cell r="D1573">
            <v>0</v>
          </cell>
        </row>
        <row r="1574">
          <cell r="A1574" t="str">
            <v>4210.1005</v>
          </cell>
          <cell r="D1574">
            <v>-3506.32</v>
          </cell>
        </row>
        <row r="1575">
          <cell r="A1575" t="str">
            <v>4210.1005</v>
          </cell>
          <cell r="D1575">
            <v>-1861.4</v>
          </cell>
        </row>
        <row r="1576">
          <cell r="A1576" t="str">
            <v>4210.1005</v>
          </cell>
          <cell r="D1576">
            <v>-2000.98</v>
          </cell>
        </row>
        <row r="1577">
          <cell r="A1577" t="str">
            <v>4210.1005</v>
          </cell>
          <cell r="D1577">
            <v>-7780.78</v>
          </cell>
        </row>
        <row r="1578">
          <cell r="A1578" t="str">
            <v>4210.1005</v>
          </cell>
          <cell r="D1578">
            <v>-2936.64</v>
          </cell>
        </row>
        <row r="1579">
          <cell r="A1579" t="str">
            <v>4210.1005</v>
          </cell>
          <cell r="D1579">
            <v>0</v>
          </cell>
        </row>
        <row r="1580">
          <cell r="A1580" t="str">
            <v>4210.1005</v>
          </cell>
          <cell r="D1580">
            <v>-5297.85</v>
          </cell>
        </row>
        <row r="1581">
          <cell r="A1581" t="str">
            <v>4210.1005</v>
          </cell>
          <cell r="D1581">
            <v>-3929.35</v>
          </cell>
        </row>
        <row r="1582">
          <cell r="A1582" t="str">
            <v>4210.1005</v>
          </cell>
          <cell r="D1582">
            <v>-3426.15</v>
          </cell>
        </row>
        <row r="1583">
          <cell r="A1583" t="str">
            <v>4210.1005</v>
          </cell>
          <cell r="D1583">
            <v>-11690.34</v>
          </cell>
        </row>
        <row r="1584">
          <cell r="A1584" t="str">
            <v>4210.1005</v>
          </cell>
          <cell r="D1584">
            <v>-5167.8500000000004</v>
          </cell>
        </row>
        <row r="1585">
          <cell r="A1585" t="str">
            <v>4210.1005</v>
          </cell>
          <cell r="D1585">
            <v>0</v>
          </cell>
        </row>
        <row r="1586">
          <cell r="A1586" t="str">
            <v>4210.1005</v>
          </cell>
          <cell r="D1586">
            <v>0</v>
          </cell>
        </row>
        <row r="1587">
          <cell r="A1587" t="str">
            <v>4210.1005</v>
          </cell>
          <cell r="D1587">
            <v>0</v>
          </cell>
        </row>
        <row r="1588">
          <cell r="A1588" t="str">
            <v>4210.1005</v>
          </cell>
          <cell r="D1588">
            <v>0</v>
          </cell>
        </row>
        <row r="1589">
          <cell r="A1589" t="str">
            <v>4210.1005</v>
          </cell>
          <cell r="D1589">
            <v>0</v>
          </cell>
        </row>
        <row r="1590">
          <cell r="A1590" t="str">
            <v>4210.1005</v>
          </cell>
          <cell r="D1590">
            <v>0</v>
          </cell>
        </row>
        <row r="1591">
          <cell r="A1591" t="str">
            <v>4210.1005</v>
          </cell>
          <cell r="D1591">
            <v>0</v>
          </cell>
        </row>
        <row r="1592">
          <cell r="A1592" t="str">
            <v>4210.1005</v>
          </cell>
          <cell r="D1592">
            <v>-11324.56</v>
          </cell>
        </row>
        <row r="1593">
          <cell r="A1593" t="str">
            <v>4210.1005</v>
          </cell>
          <cell r="D1593">
            <v>0</v>
          </cell>
        </row>
        <row r="1594">
          <cell r="A1594" t="str">
            <v>4210.1005</v>
          </cell>
          <cell r="D1594">
            <v>0</v>
          </cell>
        </row>
        <row r="1595">
          <cell r="A1595" t="str">
            <v>4210.1005</v>
          </cell>
          <cell r="D1595">
            <v>0</v>
          </cell>
        </row>
        <row r="1596">
          <cell r="A1596" t="str">
            <v>4210.1005</v>
          </cell>
          <cell r="D1596">
            <v>0</v>
          </cell>
        </row>
        <row r="1597">
          <cell r="A1597" t="str">
            <v>4210.1005</v>
          </cell>
          <cell r="D1597">
            <v>0</v>
          </cell>
        </row>
        <row r="1598">
          <cell r="A1598" t="str">
            <v>4210.1005</v>
          </cell>
          <cell r="D1598">
            <v>-1728.74</v>
          </cell>
        </row>
        <row r="1599">
          <cell r="A1599" t="str">
            <v>4210.1005</v>
          </cell>
          <cell r="D1599">
            <v>-829.3</v>
          </cell>
        </row>
        <row r="1600">
          <cell r="A1600" t="str">
            <v>4210.1005</v>
          </cell>
          <cell r="D1600">
            <v>-829.3</v>
          </cell>
        </row>
        <row r="1601">
          <cell r="A1601" t="str">
            <v>4210.1005</v>
          </cell>
          <cell r="D1601">
            <v>-3483.06</v>
          </cell>
        </row>
        <row r="1602">
          <cell r="A1602" t="str">
            <v>4210.1005</v>
          </cell>
          <cell r="D1602">
            <v>-1467.84</v>
          </cell>
        </row>
        <row r="1603">
          <cell r="A1603" t="str">
            <v>4210.1005</v>
          </cell>
          <cell r="D1603">
            <v>0</v>
          </cell>
        </row>
        <row r="1604">
          <cell r="A1604" t="str">
            <v>4210.1005</v>
          </cell>
          <cell r="D1604">
            <v>-149</v>
          </cell>
        </row>
        <row r="1605">
          <cell r="A1605" t="str">
            <v>4210.1005</v>
          </cell>
          <cell r="D1605">
            <v>-63.85</v>
          </cell>
        </row>
        <row r="1606">
          <cell r="A1606" t="str">
            <v>4210.1005</v>
          </cell>
          <cell r="D1606">
            <v>-153.25</v>
          </cell>
        </row>
        <row r="1607">
          <cell r="A1607" t="str">
            <v>4210.1005</v>
          </cell>
          <cell r="D1607">
            <v>-197.35</v>
          </cell>
        </row>
        <row r="1608">
          <cell r="A1608" t="str">
            <v>4210.1005</v>
          </cell>
          <cell r="D1608">
            <v>-63.85</v>
          </cell>
        </row>
        <row r="1609">
          <cell r="A1609" t="str">
            <v>4210.1005</v>
          </cell>
          <cell r="D1609">
            <v>-3601.45</v>
          </cell>
        </row>
        <row r="1610">
          <cell r="A1610" t="str">
            <v>4210.1005</v>
          </cell>
          <cell r="D1610">
            <v>0</v>
          </cell>
        </row>
        <row r="1611">
          <cell r="A1611" t="str">
            <v>4210.1005</v>
          </cell>
          <cell r="D1611">
            <v>0</v>
          </cell>
        </row>
        <row r="1612">
          <cell r="A1612" t="str">
            <v>4210.1005</v>
          </cell>
          <cell r="D1612">
            <v>0</v>
          </cell>
        </row>
        <row r="1613">
          <cell r="A1613" t="str">
            <v>4210.1005</v>
          </cell>
          <cell r="D1613">
            <v>0</v>
          </cell>
        </row>
        <row r="1614">
          <cell r="A1614" t="str">
            <v>4210.1005</v>
          </cell>
          <cell r="D1614">
            <v>0</v>
          </cell>
        </row>
        <row r="1615">
          <cell r="A1615" t="str">
            <v>4210.1005</v>
          </cell>
          <cell r="D1615">
            <v>-391.8</v>
          </cell>
        </row>
        <row r="1616">
          <cell r="A1616" t="str">
            <v>4210.1005</v>
          </cell>
          <cell r="D1616">
            <v>0</v>
          </cell>
        </row>
        <row r="1617">
          <cell r="A1617" t="str">
            <v>4210.1005</v>
          </cell>
          <cell r="D1617">
            <v>-308.41000000000003</v>
          </cell>
        </row>
        <row r="1618">
          <cell r="A1618" t="str">
            <v>4210.1005</v>
          </cell>
          <cell r="D1618">
            <v>0</v>
          </cell>
        </row>
        <row r="1619">
          <cell r="A1619" t="str">
            <v>4210.1005</v>
          </cell>
          <cell r="D1619">
            <v>0</v>
          </cell>
        </row>
        <row r="1620">
          <cell r="A1620" t="str">
            <v>4210.1005</v>
          </cell>
          <cell r="D1620">
            <v>0</v>
          </cell>
        </row>
        <row r="1621">
          <cell r="A1621" t="str">
            <v>4210.1005</v>
          </cell>
          <cell r="D1621">
            <v>0</v>
          </cell>
        </row>
        <row r="1622">
          <cell r="A1622" t="str">
            <v>4210.1005</v>
          </cell>
          <cell r="D1622">
            <v>0</v>
          </cell>
        </row>
        <row r="1623">
          <cell r="A1623" t="str">
            <v>4210.1005</v>
          </cell>
          <cell r="D1623">
            <v>0</v>
          </cell>
        </row>
        <row r="1624">
          <cell r="A1624" t="str">
            <v>4210.1005</v>
          </cell>
          <cell r="D1624">
            <v>0</v>
          </cell>
        </row>
        <row r="1625">
          <cell r="A1625" t="str">
            <v>4210.1005</v>
          </cell>
          <cell r="D1625">
            <v>-102.15</v>
          </cell>
        </row>
        <row r="1626">
          <cell r="A1626" t="str">
            <v>4210.1005</v>
          </cell>
          <cell r="D1626">
            <v>0</v>
          </cell>
        </row>
        <row r="1627">
          <cell r="A1627" t="str">
            <v>4210.1005</v>
          </cell>
          <cell r="D1627">
            <v>0</v>
          </cell>
        </row>
        <row r="1628">
          <cell r="A1628" t="str">
            <v>Fringe Benefits</v>
          </cell>
          <cell r="D1628">
            <v>-72291.570000000007</v>
          </cell>
        </row>
        <row r="1629">
          <cell r="A1629" t="str">
            <v>4210.Occupancy_3010</v>
          </cell>
          <cell r="D1629">
            <v>-3835.08</v>
          </cell>
        </row>
        <row r="1630">
          <cell r="A1630" t="str">
            <v xml:space="preserve">Utilities </v>
          </cell>
          <cell r="D1630">
            <v>-3835.08</v>
          </cell>
        </row>
        <row r="1631">
          <cell r="A1631" t="str">
            <v>4210.1045</v>
          </cell>
          <cell r="D1631">
            <v>-1292.44</v>
          </cell>
        </row>
        <row r="1632">
          <cell r="A1632" t="str">
            <v>4210.1045</v>
          </cell>
          <cell r="D1632">
            <v>0</v>
          </cell>
        </row>
        <row r="1633">
          <cell r="A1633" t="str">
            <v>4210.1045</v>
          </cell>
          <cell r="D1633">
            <v>-126.68</v>
          </cell>
        </row>
        <row r="1634">
          <cell r="A1634" t="str">
            <v>4210.1045</v>
          </cell>
          <cell r="D1634">
            <v>-506.89</v>
          </cell>
        </row>
        <row r="1635">
          <cell r="A1635" t="str">
            <v>4210.1045</v>
          </cell>
          <cell r="D1635">
            <v>-148.82</v>
          </cell>
        </row>
        <row r="1636">
          <cell r="A1636" t="str">
            <v>4210.1045</v>
          </cell>
          <cell r="D1636">
            <v>0</v>
          </cell>
        </row>
        <row r="1637">
          <cell r="A1637" t="str">
            <v>4210.1045</v>
          </cell>
          <cell r="D1637">
            <v>0</v>
          </cell>
        </row>
        <row r="1638">
          <cell r="A1638" t="str">
            <v>Telephone &amp; Fax</v>
          </cell>
          <cell r="D1638">
            <v>-2074.8300000000004</v>
          </cell>
        </row>
        <row r="1639">
          <cell r="A1639" t="str">
            <v>4210.GenAdmin_6040</v>
          </cell>
          <cell r="D1639">
            <v>-2371.5</v>
          </cell>
        </row>
        <row r="1640">
          <cell r="A1640" t="str">
            <v>4210.GenAdmin_6040</v>
          </cell>
          <cell r="D1640">
            <v>0</v>
          </cell>
        </row>
        <row r="1641">
          <cell r="A1641" t="str">
            <v>Misc. State &amp; Local Taxes</v>
          </cell>
          <cell r="D1641">
            <v>-2371.5</v>
          </cell>
        </row>
        <row r="1642">
          <cell r="A1642" t="str">
            <v>4210.GenAdmin_6035</v>
          </cell>
          <cell r="D1642">
            <v>0</v>
          </cell>
        </row>
        <row r="1643">
          <cell r="A1643" t="str">
            <v>4210.GenAdmin_6035</v>
          </cell>
          <cell r="D1643">
            <v>-2204.1999999999998</v>
          </cell>
        </row>
        <row r="1644">
          <cell r="A1644" t="str">
            <v>4210.GenAdmin_6035</v>
          </cell>
          <cell r="D1644">
            <v>0</v>
          </cell>
        </row>
        <row r="1645">
          <cell r="A1645" t="str">
            <v>4210.GenAdmin_6035</v>
          </cell>
          <cell r="D1645">
            <v>0</v>
          </cell>
        </row>
        <row r="1646">
          <cell r="A1646" t="str">
            <v>4210.GenAdmin_6035</v>
          </cell>
          <cell r="D1646">
            <v>0</v>
          </cell>
        </row>
        <row r="1647">
          <cell r="A1647" t="str">
            <v>4210.GenAdmin_6035</v>
          </cell>
          <cell r="D1647">
            <v>0</v>
          </cell>
        </row>
        <row r="1648">
          <cell r="A1648" t="str">
            <v>4210.GenAdmin_6035</v>
          </cell>
          <cell r="D1648">
            <v>0</v>
          </cell>
        </row>
        <row r="1649">
          <cell r="A1649" t="str">
            <v>General Insurance</v>
          </cell>
          <cell r="D1649">
            <v>-2204.1999999999998</v>
          </cell>
        </row>
        <row r="1650">
          <cell r="A1650" t="str">
            <v>4210.1055</v>
          </cell>
          <cell r="D1650">
            <v>-1078.82</v>
          </cell>
        </row>
        <row r="1651">
          <cell r="A1651" t="str">
            <v>4210.1055</v>
          </cell>
          <cell r="D1651">
            <v>0</v>
          </cell>
        </row>
        <row r="1652">
          <cell r="A1652" t="str">
            <v>4210.1055</v>
          </cell>
          <cell r="D1652">
            <v>0</v>
          </cell>
        </row>
        <row r="1653">
          <cell r="A1653" t="str">
            <v>4210.1055</v>
          </cell>
          <cell r="D1653">
            <v>-242.66</v>
          </cell>
        </row>
        <row r="1654">
          <cell r="A1654" t="str">
            <v>4210.1055</v>
          </cell>
          <cell r="D1654">
            <v>-117.33</v>
          </cell>
        </row>
        <row r="1655">
          <cell r="A1655" t="str">
            <v>4210.1055</v>
          </cell>
          <cell r="D1655">
            <v>-1824.69</v>
          </cell>
        </row>
        <row r="1656">
          <cell r="A1656" t="str">
            <v>4210.1055</v>
          </cell>
          <cell r="D1656">
            <v>0</v>
          </cell>
        </row>
        <row r="1657">
          <cell r="A1657" t="str">
            <v>4210.1055</v>
          </cell>
          <cell r="D1657">
            <v>0</v>
          </cell>
        </row>
        <row r="1658">
          <cell r="A1658" t="str">
            <v>4210.1055</v>
          </cell>
          <cell r="D1658">
            <v>0</v>
          </cell>
        </row>
        <row r="1659">
          <cell r="A1659" t="str">
            <v>4210.1055</v>
          </cell>
          <cell r="D1659">
            <v>0</v>
          </cell>
        </row>
        <row r="1660">
          <cell r="A1660" t="str">
            <v>4210.1055</v>
          </cell>
          <cell r="D1660">
            <v>-158.1</v>
          </cell>
        </row>
        <row r="1661">
          <cell r="A1661" t="str">
            <v>4210.1055</v>
          </cell>
          <cell r="D1661">
            <v>0</v>
          </cell>
        </row>
        <row r="1662">
          <cell r="A1662" t="str">
            <v>4210.1055</v>
          </cell>
          <cell r="D1662">
            <v>0</v>
          </cell>
        </row>
        <row r="1663">
          <cell r="A1663" t="str">
            <v>4210.1055</v>
          </cell>
          <cell r="D1663">
            <v>0</v>
          </cell>
        </row>
        <row r="1664">
          <cell r="A1664" t="str">
            <v>4210.1055</v>
          </cell>
          <cell r="D1664">
            <v>-735.18</v>
          </cell>
        </row>
        <row r="1665">
          <cell r="A1665" t="str">
            <v>4210.1055</v>
          </cell>
          <cell r="D1665">
            <v>-657.73</v>
          </cell>
        </row>
        <row r="1666">
          <cell r="A1666" t="str">
            <v>4210.1055</v>
          </cell>
          <cell r="D1666">
            <v>0</v>
          </cell>
        </row>
        <row r="1667">
          <cell r="A1667" t="str">
            <v>4210.1055</v>
          </cell>
          <cell r="D1667">
            <v>0</v>
          </cell>
        </row>
        <row r="1668">
          <cell r="A1668" t="str">
            <v>4210.1055</v>
          </cell>
          <cell r="D1668">
            <v>-331.73</v>
          </cell>
        </row>
        <row r="1669">
          <cell r="A1669" t="str">
            <v>4210.1055</v>
          </cell>
          <cell r="D1669">
            <v>0</v>
          </cell>
        </row>
        <row r="1670">
          <cell r="A1670" t="str">
            <v>4210.1055</v>
          </cell>
          <cell r="D1670">
            <v>-1531.11</v>
          </cell>
        </row>
        <row r="1671">
          <cell r="A1671" t="str">
            <v>4210.1055</v>
          </cell>
          <cell r="D1671">
            <v>-7993.07</v>
          </cell>
        </row>
        <row r="1672">
          <cell r="A1672" t="str">
            <v>4210.1055</v>
          </cell>
          <cell r="D1672">
            <v>-3750</v>
          </cell>
        </row>
        <row r="1673">
          <cell r="A1673" t="str">
            <v>4210.1055</v>
          </cell>
          <cell r="D1673">
            <v>0</v>
          </cell>
        </row>
        <row r="1674">
          <cell r="A1674" t="str">
            <v>4210.1055</v>
          </cell>
          <cell r="D1674">
            <v>0</v>
          </cell>
        </row>
        <row r="1675">
          <cell r="A1675" t="str">
            <v>4210.1055</v>
          </cell>
          <cell r="D1675">
            <v>0</v>
          </cell>
        </row>
        <row r="1676">
          <cell r="A1676" t="str">
            <v>4210.1055</v>
          </cell>
          <cell r="D1676">
            <v>0</v>
          </cell>
        </row>
        <row r="1677">
          <cell r="A1677" t="str">
            <v>4210.1055</v>
          </cell>
          <cell r="D1677">
            <v>0</v>
          </cell>
        </row>
        <row r="1678">
          <cell r="A1678" t="str">
            <v>4210.1055</v>
          </cell>
          <cell r="D1678">
            <v>0</v>
          </cell>
        </row>
        <row r="1679">
          <cell r="A1679" t="str">
            <v>Office Supplies</v>
          </cell>
          <cell r="D1679">
            <v>-18420.419999999998</v>
          </cell>
        </row>
        <row r="1680">
          <cell r="A1680" t="str">
            <v>4210.Occupancy_3015</v>
          </cell>
          <cell r="D1680">
            <v>-2978.28</v>
          </cell>
        </row>
        <row r="1681">
          <cell r="A1681" t="str">
            <v>4210.Occupancy_3015</v>
          </cell>
          <cell r="D1681">
            <v>0</v>
          </cell>
        </row>
        <row r="1682">
          <cell r="A1682" t="str">
            <v>4210.Occupancy_3015</v>
          </cell>
          <cell r="D1682">
            <v>0</v>
          </cell>
        </row>
        <row r="1683">
          <cell r="A1683" t="str">
            <v>4210.Occupancy_3015</v>
          </cell>
          <cell r="D1683">
            <v>0</v>
          </cell>
        </row>
        <row r="1684">
          <cell r="A1684" t="str">
            <v>4210.Occupancy_3015</v>
          </cell>
          <cell r="D1684">
            <v>0</v>
          </cell>
        </row>
        <row r="1685">
          <cell r="A1685" t="str">
            <v>4210.Occupancy_3015</v>
          </cell>
          <cell r="D1685">
            <v>0</v>
          </cell>
        </row>
        <row r="1686">
          <cell r="A1686" t="str">
            <v>4210.Occupancy_3015</v>
          </cell>
          <cell r="D1686">
            <v>0</v>
          </cell>
        </row>
        <row r="1687">
          <cell r="A1687" t="str">
            <v>4210.Occupancy_3015</v>
          </cell>
          <cell r="D1687">
            <v>0</v>
          </cell>
        </row>
        <row r="1688">
          <cell r="A1688" t="str">
            <v>4210.Occupancy_3015</v>
          </cell>
          <cell r="D1688">
            <v>0</v>
          </cell>
        </row>
        <row r="1689">
          <cell r="A1689" t="str">
            <v>4210.Occupancy_3015</v>
          </cell>
          <cell r="D1689">
            <v>0</v>
          </cell>
        </row>
        <row r="1690">
          <cell r="A1690" t="str">
            <v>Building Maintenance</v>
          </cell>
          <cell r="D1690">
            <v>-2978.28</v>
          </cell>
        </row>
        <row r="1691">
          <cell r="A1691" t="str">
            <v>4210.1025</v>
          </cell>
          <cell r="D1691">
            <v>-6124.07</v>
          </cell>
        </row>
        <row r="1692">
          <cell r="A1692" t="str">
            <v>4210.1025</v>
          </cell>
          <cell r="D1692">
            <v>0</v>
          </cell>
        </row>
        <row r="1693">
          <cell r="A1693" t="str">
            <v>4210.1025</v>
          </cell>
          <cell r="D1693">
            <v>-2668.01</v>
          </cell>
        </row>
        <row r="1694">
          <cell r="A1694" t="str">
            <v>4210.1025</v>
          </cell>
          <cell r="D1694">
            <v>-2832.04</v>
          </cell>
        </row>
        <row r="1695">
          <cell r="A1695" t="str">
            <v>4210.1025</v>
          </cell>
          <cell r="D1695">
            <v>-1905.94</v>
          </cell>
        </row>
        <row r="1696">
          <cell r="A1696" t="str">
            <v>4210.1025</v>
          </cell>
          <cell r="D1696">
            <v>0</v>
          </cell>
        </row>
        <row r="1697">
          <cell r="A1697" t="str">
            <v>4210.1025</v>
          </cell>
          <cell r="D1697">
            <v>0</v>
          </cell>
        </row>
        <row r="1698">
          <cell r="A1698" t="str">
            <v>4210.1025</v>
          </cell>
          <cell r="D1698">
            <v>0</v>
          </cell>
        </row>
        <row r="1699">
          <cell r="A1699" t="str">
            <v>4210.1025</v>
          </cell>
          <cell r="D1699">
            <v>0</v>
          </cell>
        </row>
        <row r="1700">
          <cell r="A1700" t="str">
            <v>4210.1025</v>
          </cell>
          <cell r="D1700">
            <v>0</v>
          </cell>
        </row>
        <row r="1701">
          <cell r="A1701" t="str">
            <v>4210.1025</v>
          </cell>
          <cell r="D1701">
            <v>2070.37</v>
          </cell>
        </row>
        <row r="1702">
          <cell r="A1702" t="str">
            <v>4210.1025</v>
          </cell>
          <cell r="D1702">
            <v>0</v>
          </cell>
        </row>
        <row r="1703">
          <cell r="A1703" t="str">
            <v>4210.1025</v>
          </cell>
          <cell r="D1703">
            <v>-777.18</v>
          </cell>
        </row>
        <row r="1704">
          <cell r="A1704" t="str">
            <v>4210.1025</v>
          </cell>
          <cell r="D1704">
            <v>-1055.52</v>
          </cell>
        </row>
        <row r="1705">
          <cell r="A1705" t="str">
            <v>4210.1025</v>
          </cell>
          <cell r="D1705">
            <v>-68</v>
          </cell>
        </row>
        <row r="1706">
          <cell r="A1706" t="str">
            <v>4210.1025</v>
          </cell>
          <cell r="D1706">
            <v>-4511.18</v>
          </cell>
        </row>
        <row r="1707">
          <cell r="A1707" t="str">
            <v>4210.1025</v>
          </cell>
          <cell r="D1707">
            <v>0</v>
          </cell>
        </row>
        <row r="1708">
          <cell r="A1708" t="str">
            <v>4210.1025</v>
          </cell>
          <cell r="D1708">
            <v>-513.98</v>
          </cell>
        </row>
        <row r="1709">
          <cell r="A1709" t="str">
            <v>4210.1025</v>
          </cell>
          <cell r="D1709">
            <v>-1510.82</v>
          </cell>
        </row>
        <row r="1710">
          <cell r="A1710" t="str">
            <v>4210.1025</v>
          </cell>
          <cell r="D1710">
            <v>-18.8</v>
          </cell>
        </row>
        <row r="1711">
          <cell r="A1711" t="str">
            <v>4210.1025</v>
          </cell>
          <cell r="D1711">
            <v>-986.95</v>
          </cell>
        </row>
        <row r="1712">
          <cell r="A1712" t="str">
            <v>4210.1025</v>
          </cell>
          <cell r="D1712">
            <v>0</v>
          </cell>
        </row>
        <row r="1713">
          <cell r="A1713" t="str">
            <v>4210.1025</v>
          </cell>
          <cell r="D1713">
            <v>-247.24</v>
          </cell>
        </row>
        <row r="1714">
          <cell r="A1714" t="str">
            <v>4210.1025</v>
          </cell>
          <cell r="D1714">
            <v>-638.84</v>
          </cell>
        </row>
        <row r="1715">
          <cell r="A1715" t="str">
            <v>4210.1025</v>
          </cell>
          <cell r="D1715">
            <v>-15.75</v>
          </cell>
        </row>
        <row r="1716">
          <cell r="A1716" t="str">
            <v>4210.1025</v>
          </cell>
          <cell r="D1716">
            <v>-338.03</v>
          </cell>
        </row>
        <row r="1717">
          <cell r="A1717" t="str">
            <v>4210.1025</v>
          </cell>
          <cell r="D1717">
            <v>-1229.57</v>
          </cell>
        </row>
        <row r="1718">
          <cell r="A1718" t="str">
            <v>4210.1025</v>
          </cell>
          <cell r="D1718">
            <v>0</v>
          </cell>
        </row>
        <row r="1719">
          <cell r="A1719" t="str">
            <v>4210.1025</v>
          </cell>
          <cell r="D1719">
            <v>-623.20000000000005</v>
          </cell>
        </row>
        <row r="1720">
          <cell r="A1720" t="str">
            <v>4210.1025</v>
          </cell>
          <cell r="D1720">
            <v>-1381.94</v>
          </cell>
        </row>
        <row r="1721">
          <cell r="A1721" t="str">
            <v>4210.1025</v>
          </cell>
          <cell r="D1721">
            <v>-75.790000000000006</v>
          </cell>
        </row>
        <row r="1722">
          <cell r="A1722" t="str">
            <v>4210.1025</v>
          </cell>
          <cell r="D1722">
            <v>0</v>
          </cell>
        </row>
        <row r="1723">
          <cell r="A1723" t="str">
            <v>Travel Costs</v>
          </cell>
          <cell r="D1723">
            <v>-25452.48</v>
          </cell>
        </row>
        <row r="1724">
          <cell r="A1724" t="str">
            <v>4210.1035</v>
          </cell>
          <cell r="D1724">
            <v>0</v>
          </cell>
        </row>
        <row r="1725">
          <cell r="A1725" t="str">
            <v>4210.1035</v>
          </cell>
          <cell r="D1725">
            <v>-3826.06</v>
          </cell>
        </row>
        <row r="1726">
          <cell r="A1726" t="str">
            <v>4210.1035</v>
          </cell>
          <cell r="D1726">
            <v>0</v>
          </cell>
        </row>
        <row r="1727">
          <cell r="A1727" t="str">
            <v>4210.1035</v>
          </cell>
          <cell r="D1727">
            <v>0</v>
          </cell>
        </row>
        <row r="1728">
          <cell r="A1728" t="str">
            <v>4210.1035</v>
          </cell>
          <cell r="D1728">
            <v>0</v>
          </cell>
        </row>
        <row r="1729">
          <cell r="A1729" t="str">
            <v>4210.1035</v>
          </cell>
          <cell r="D1729">
            <v>0</v>
          </cell>
        </row>
        <row r="1730">
          <cell r="A1730" t="str">
            <v>4210.1035</v>
          </cell>
          <cell r="D1730">
            <v>0</v>
          </cell>
        </row>
        <row r="1731">
          <cell r="A1731" t="str">
            <v>4210.1035</v>
          </cell>
          <cell r="D1731">
            <v>-19385.66</v>
          </cell>
        </row>
        <row r="1732">
          <cell r="A1732" t="str">
            <v>4210.1035</v>
          </cell>
          <cell r="D1732">
            <v>0</v>
          </cell>
        </row>
        <row r="1733">
          <cell r="A1733" t="str">
            <v>4210.1035</v>
          </cell>
          <cell r="D1733">
            <v>0</v>
          </cell>
        </row>
        <row r="1734">
          <cell r="A1734" t="str">
            <v>4210.1035</v>
          </cell>
          <cell r="D1734">
            <v>0</v>
          </cell>
        </row>
        <row r="1735">
          <cell r="A1735" t="str">
            <v>4210.1035</v>
          </cell>
          <cell r="D1735">
            <v>0</v>
          </cell>
        </row>
        <row r="1736">
          <cell r="A1736" t="str">
            <v>Depreciation</v>
          </cell>
          <cell r="D1736">
            <v>-23211.72</v>
          </cell>
        </row>
        <row r="1737">
          <cell r="A1737" t="str">
            <v>4210.Personnel_1025</v>
          </cell>
          <cell r="D1737">
            <v>-1050.3399999999999</v>
          </cell>
        </row>
        <row r="1738">
          <cell r="A1738" t="str">
            <v>4210.Personnel_1025</v>
          </cell>
          <cell r="D1738">
            <v>0</v>
          </cell>
        </row>
        <row r="1739">
          <cell r="A1739" t="str">
            <v>4210.Personnel_1025</v>
          </cell>
          <cell r="D1739">
            <v>0</v>
          </cell>
        </row>
        <row r="1740">
          <cell r="A1740" t="str">
            <v>4210.Personnel_1025</v>
          </cell>
          <cell r="D1740">
            <v>-288</v>
          </cell>
        </row>
        <row r="1741">
          <cell r="A1741" t="str">
            <v>4210.Personnel_1025</v>
          </cell>
          <cell r="D1741">
            <v>-3892</v>
          </cell>
        </row>
        <row r="1742">
          <cell r="A1742" t="str">
            <v>4210.Personnel_1025</v>
          </cell>
          <cell r="D1742">
            <v>0</v>
          </cell>
        </row>
        <row r="1743">
          <cell r="A1743" t="str">
            <v>4210.Personnel_1025</v>
          </cell>
          <cell r="D1743">
            <v>-4250</v>
          </cell>
        </row>
        <row r="1744">
          <cell r="A1744" t="str">
            <v>4210.Personnel_1025</v>
          </cell>
          <cell r="D1744">
            <v>-2810.23</v>
          </cell>
        </row>
        <row r="1745">
          <cell r="A1745" t="str">
            <v>4210.Personnel_1025</v>
          </cell>
          <cell r="D1745">
            <v>10833.32</v>
          </cell>
        </row>
        <row r="1746">
          <cell r="A1746" t="str">
            <v>4210.Personnel_1025</v>
          </cell>
          <cell r="D1746">
            <v>-45</v>
          </cell>
        </row>
        <row r="1747">
          <cell r="A1747" t="str">
            <v>Outside contractors</v>
          </cell>
          <cell r="D1747">
            <v>-1502.25</v>
          </cell>
        </row>
        <row r="1748">
          <cell r="A1748" t="str">
            <v>4210.Personnel_1030</v>
          </cell>
          <cell r="D1748">
            <v>-34042.94</v>
          </cell>
        </row>
        <row r="1749">
          <cell r="A1749" t="str">
            <v>Legal Fees</v>
          </cell>
          <cell r="D1749">
            <v>-34042.94</v>
          </cell>
        </row>
        <row r="1750">
          <cell r="A1750" t="str">
            <v>4210.Personnel_1035</v>
          </cell>
          <cell r="D1750">
            <v>-34000</v>
          </cell>
        </row>
        <row r="1751">
          <cell r="A1751" t="str">
            <v>4210.Personnel_1035</v>
          </cell>
          <cell r="D1751">
            <v>-2761.05</v>
          </cell>
        </row>
        <row r="1752">
          <cell r="A1752" t="str">
            <v>Audit Fees</v>
          </cell>
          <cell r="D1752">
            <v>-36761.050000000003</v>
          </cell>
        </row>
        <row r="1753">
          <cell r="A1753" t="str">
            <v>4210.WageLoad_2030</v>
          </cell>
          <cell r="D1753">
            <v>0</v>
          </cell>
        </row>
        <row r="1754">
          <cell r="A1754" t="str">
            <v>4210.WageLoad_2030</v>
          </cell>
          <cell r="D1754">
            <v>0</v>
          </cell>
        </row>
        <row r="1755">
          <cell r="A1755" t="str">
            <v>4210.WageLoad_2030</v>
          </cell>
          <cell r="D1755">
            <v>-294.99</v>
          </cell>
        </row>
        <row r="1756">
          <cell r="A1756" t="str">
            <v>Relocation &amp; Recruiting Exp.</v>
          </cell>
          <cell r="D1756">
            <v>-294.99</v>
          </cell>
        </row>
        <row r="1757">
          <cell r="A1757" t="str">
            <v>4210.GenAdmin_6050</v>
          </cell>
          <cell r="D1757">
            <v>-7099.78</v>
          </cell>
        </row>
        <row r="1758">
          <cell r="A1758" t="str">
            <v>Bad Debt Expense</v>
          </cell>
          <cell r="D1758">
            <v>-7099.78</v>
          </cell>
        </row>
        <row r="1759">
          <cell r="A1759" t="str">
            <v>4210.Occupancy_3045</v>
          </cell>
          <cell r="D1759">
            <v>-1577.9</v>
          </cell>
        </row>
        <row r="1760">
          <cell r="A1760" t="str">
            <v>4210.Occupancy_3045</v>
          </cell>
          <cell r="D1760">
            <v>0</v>
          </cell>
        </row>
        <row r="1761">
          <cell r="A1761" t="str">
            <v>4210.Occupancy_3045</v>
          </cell>
          <cell r="D1761">
            <v>0</v>
          </cell>
        </row>
        <row r="1762">
          <cell r="A1762" t="str">
            <v>4210.Occupancy_3045</v>
          </cell>
          <cell r="D1762">
            <v>0</v>
          </cell>
        </row>
        <row r="1763">
          <cell r="A1763" t="str">
            <v>4210.Occupancy_3045</v>
          </cell>
          <cell r="D1763">
            <v>0</v>
          </cell>
        </row>
        <row r="1764">
          <cell r="A1764" t="str">
            <v>4210.Occupancy_3045</v>
          </cell>
          <cell r="D1764">
            <v>-1130.7</v>
          </cell>
        </row>
        <row r="1765">
          <cell r="A1765" t="str">
            <v>Facilities Expense</v>
          </cell>
          <cell r="D1765">
            <v>-2708.6000000000004</v>
          </cell>
        </row>
        <row r="1766">
          <cell r="A1766" t="str">
            <v>4210.Other.Other</v>
          </cell>
          <cell r="D1766">
            <v>-7627.6</v>
          </cell>
        </row>
        <row r="1767">
          <cell r="A1767" t="str">
            <v>4210.Other.Other</v>
          </cell>
          <cell r="D1767">
            <v>0</v>
          </cell>
        </row>
        <row r="1768">
          <cell r="A1768" t="str">
            <v>4210.Other.Other</v>
          </cell>
          <cell r="D1768">
            <v>0</v>
          </cell>
        </row>
        <row r="1769">
          <cell r="A1769" t="str">
            <v>4210.Other.Other</v>
          </cell>
          <cell r="D1769">
            <v>-29.28</v>
          </cell>
        </row>
        <row r="1770">
          <cell r="A1770" t="str">
            <v>4210.Other.Other</v>
          </cell>
          <cell r="D1770">
            <v>0</v>
          </cell>
        </row>
        <row r="1771">
          <cell r="A1771" t="str">
            <v>4210.Other.Other</v>
          </cell>
          <cell r="D1771">
            <v>0</v>
          </cell>
        </row>
        <row r="1772">
          <cell r="A1772" t="str">
            <v>4210.Other.Other</v>
          </cell>
          <cell r="D1772">
            <v>0</v>
          </cell>
        </row>
        <row r="1773">
          <cell r="A1773" t="str">
            <v>4210.Other.Other</v>
          </cell>
          <cell r="D1773">
            <v>0</v>
          </cell>
        </row>
        <row r="1774">
          <cell r="A1774" t="str">
            <v>4210.Other.Other</v>
          </cell>
          <cell r="D1774">
            <v>-878.58</v>
          </cell>
        </row>
        <row r="1775">
          <cell r="A1775" t="str">
            <v>4210.Other.Other</v>
          </cell>
          <cell r="D1775">
            <v>0</v>
          </cell>
        </row>
        <row r="1776">
          <cell r="A1776" t="str">
            <v>4210.Other.Other</v>
          </cell>
          <cell r="D1776">
            <v>-4337.3500000000004</v>
          </cell>
        </row>
        <row r="1777">
          <cell r="A1777" t="str">
            <v>4210.Other.Other</v>
          </cell>
          <cell r="D1777">
            <v>0</v>
          </cell>
        </row>
        <row r="1778">
          <cell r="A1778" t="str">
            <v>4210.Other.Other</v>
          </cell>
          <cell r="D1778">
            <v>-25</v>
          </cell>
        </row>
        <row r="1779">
          <cell r="A1779" t="str">
            <v>4210.Other.Other</v>
          </cell>
          <cell r="D1779">
            <v>-453.28</v>
          </cell>
        </row>
        <row r="1780">
          <cell r="A1780" t="str">
            <v>4210.Other.Other</v>
          </cell>
          <cell r="D1780">
            <v>-63.36</v>
          </cell>
        </row>
        <row r="1781">
          <cell r="A1781" t="str">
            <v>4210.Other.Other</v>
          </cell>
          <cell r="D1781">
            <v>-1031.1199999999999</v>
          </cell>
        </row>
        <row r="1782">
          <cell r="A1782" t="str">
            <v>4210.Other.Other</v>
          </cell>
          <cell r="D1782">
            <v>0</v>
          </cell>
        </row>
        <row r="1783">
          <cell r="A1783" t="str">
            <v>4210.Other.Other</v>
          </cell>
          <cell r="D1783">
            <v>0</v>
          </cell>
        </row>
        <row r="1784">
          <cell r="A1784" t="str">
            <v>4210.Other.Other</v>
          </cell>
          <cell r="D1784">
            <v>-1323.67</v>
          </cell>
        </row>
        <row r="1785">
          <cell r="A1785" t="str">
            <v>4210.Other.Other</v>
          </cell>
          <cell r="D1785">
            <v>0</v>
          </cell>
        </row>
        <row r="1786">
          <cell r="A1786" t="str">
            <v>4210.Other.Other</v>
          </cell>
          <cell r="D1786">
            <v>0</v>
          </cell>
        </row>
        <row r="1787">
          <cell r="A1787" t="str">
            <v>4210.Other.Other</v>
          </cell>
          <cell r="D1787">
            <v>0</v>
          </cell>
        </row>
        <row r="1788">
          <cell r="A1788" t="str">
            <v>4210.Other.Other</v>
          </cell>
          <cell r="D1788">
            <v>0</v>
          </cell>
        </row>
        <row r="1789">
          <cell r="A1789" t="str">
            <v>Other</v>
          </cell>
          <cell r="D1789">
            <v>-15769.240000000003</v>
          </cell>
        </row>
        <row r="1790">
          <cell r="A1790" t="str">
            <v>G&amp;A EXPENSES</v>
          </cell>
          <cell r="D1790">
            <v>-574099.39</v>
          </cell>
        </row>
        <row r="1792">
          <cell r="A1792" t="str">
            <v>4230</v>
          </cell>
          <cell r="D1792">
            <v>-29122.65</v>
          </cell>
        </row>
        <row r="1793">
          <cell r="A1793" t="str">
            <v>4235</v>
          </cell>
          <cell r="D1793">
            <v>11238.94</v>
          </cell>
        </row>
        <row r="1794">
          <cell r="A1794" t="str">
            <v>4240</v>
          </cell>
          <cell r="D1794">
            <v>-273838</v>
          </cell>
        </row>
        <row r="1795">
          <cell r="A1795" t="str">
            <v>4245</v>
          </cell>
          <cell r="D1795">
            <v>0</v>
          </cell>
        </row>
        <row r="1796">
          <cell r="A1796" t="str">
            <v>4250</v>
          </cell>
          <cell r="D1796">
            <v>0</v>
          </cell>
        </row>
        <row r="1797">
          <cell r="A1797" t="str">
            <v>4250</v>
          </cell>
          <cell r="D1797">
            <v>0</v>
          </cell>
        </row>
        <row r="1798">
          <cell r="A1798" t="str">
            <v>4255</v>
          </cell>
          <cell r="D1798">
            <v>0</v>
          </cell>
        </row>
        <row r="1799">
          <cell r="A1799" t="str">
            <v>4250</v>
          </cell>
          <cell r="D1799">
            <v>310.98</v>
          </cell>
        </row>
        <row r="1800">
          <cell r="A1800" t="str">
            <v>4275</v>
          </cell>
          <cell r="D1800">
            <v>0</v>
          </cell>
        </row>
        <row r="1801">
          <cell r="A1801" t="str">
            <v>4280</v>
          </cell>
          <cell r="D1801">
            <v>0</v>
          </cell>
        </row>
        <row r="1802">
          <cell r="A1802" t="str">
            <v>4280</v>
          </cell>
          <cell r="D1802">
            <v>-11666.38</v>
          </cell>
        </row>
        <row r="1803">
          <cell r="A1803" t="str">
            <v>4280</v>
          </cell>
          <cell r="D1803">
            <v>0</v>
          </cell>
        </row>
        <row r="1804">
          <cell r="A1804" t="str">
            <v>4280</v>
          </cell>
          <cell r="D1804">
            <v>0</v>
          </cell>
        </row>
        <row r="1805">
          <cell r="A1805" t="str">
            <v>Division Other Income (Expenses)</v>
          </cell>
          <cell r="D1805">
            <v>-303077.11000000004</v>
          </cell>
        </row>
        <row r="1807">
          <cell r="A1807" t="str">
            <v>4400</v>
          </cell>
          <cell r="D1807">
            <v>0</v>
          </cell>
        </row>
        <row r="1808">
          <cell r="A1808" t="str">
            <v>INT_ELIM</v>
          </cell>
          <cell r="D1808">
            <v>150051.96</v>
          </cell>
        </row>
        <row r="1809">
          <cell r="A1809" t="str">
            <v>INT_ELIM</v>
          </cell>
          <cell r="D1809">
            <v>-375521.03</v>
          </cell>
        </row>
        <row r="1810">
          <cell r="A1810" t="str">
            <v>4515</v>
          </cell>
          <cell r="D1810">
            <v>-9530.4599999999991</v>
          </cell>
        </row>
        <row r="1811">
          <cell r="A1811" t="str">
            <v>4525</v>
          </cell>
          <cell r="D1811">
            <v>59785.37</v>
          </cell>
        </row>
        <row r="1812">
          <cell r="A1812" t="str">
            <v>4525</v>
          </cell>
          <cell r="D1812">
            <v>0</v>
          </cell>
        </row>
        <row r="1813">
          <cell r="A1813" t="str">
            <v>4530</v>
          </cell>
          <cell r="D1813">
            <v>0</v>
          </cell>
        </row>
        <row r="1814">
          <cell r="A1814" t="str">
            <v>Corporate Income (Expense)</v>
          </cell>
          <cell r="D1814">
            <v>-175214.16000000003</v>
          </cell>
        </row>
        <row r="1815">
          <cell r="A1815">
            <v>4620</v>
          </cell>
          <cell r="D1815">
            <v>0</v>
          </cell>
        </row>
        <row r="1816">
          <cell r="A1816" t="str">
            <v>Foreign Income Taxes</v>
          </cell>
          <cell r="D1816">
            <v>0</v>
          </cell>
        </row>
        <row r="1818">
          <cell r="A1818" t="str">
            <v>INCOME (LOSS) BEFORE TAXES &amp; EXTRAORDINARY ITEM</v>
          </cell>
          <cell r="D1818">
            <v>423887.39999999868</v>
          </cell>
        </row>
      </sheetData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dant FRP"/>
      <sheetName val="Balances JGL-KGL"/>
      <sheetName val="Visual Import"/>
      <sheetName val="070526 Kadant FRP Preparation"/>
    </sheetNames>
    <sheetDataSet>
      <sheetData sheetId="0"/>
      <sheetData sheetId="1" refreshError="1">
        <row r="5">
          <cell r="A5">
            <v>1010</v>
          </cell>
          <cell r="D5">
            <v>189934.67</v>
          </cell>
        </row>
        <row r="6">
          <cell r="A6">
            <v>1010</v>
          </cell>
          <cell r="D6">
            <v>0</v>
          </cell>
        </row>
        <row r="7">
          <cell r="A7">
            <v>1010</v>
          </cell>
          <cell r="D7">
            <v>0</v>
          </cell>
        </row>
        <row r="8">
          <cell r="A8">
            <v>1010</v>
          </cell>
          <cell r="D8">
            <v>20839.060000000001</v>
          </cell>
        </row>
        <row r="9">
          <cell r="A9">
            <v>1010</v>
          </cell>
          <cell r="D9">
            <v>0</v>
          </cell>
        </row>
        <row r="10">
          <cell r="A10">
            <v>1010</v>
          </cell>
          <cell r="D10">
            <v>0</v>
          </cell>
        </row>
        <row r="11">
          <cell r="A11">
            <v>1010</v>
          </cell>
          <cell r="D11">
            <v>0</v>
          </cell>
        </row>
        <row r="12">
          <cell r="A12">
            <v>1010</v>
          </cell>
          <cell r="D12">
            <v>0</v>
          </cell>
        </row>
        <row r="13">
          <cell r="A13">
            <v>1010</v>
          </cell>
          <cell r="D13">
            <v>0</v>
          </cell>
        </row>
        <row r="14">
          <cell r="A14">
            <v>1010</v>
          </cell>
          <cell r="D14">
            <v>0</v>
          </cell>
        </row>
        <row r="15">
          <cell r="A15">
            <v>1010</v>
          </cell>
          <cell r="D15">
            <v>1821.04</v>
          </cell>
        </row>
        <row r="16">
          <cell r="A16">
            <v>1010</v>
          </cell>
          <cell r="D16">
            <v>10628</v>
          </cell>
        </row>
        <row r="17">
          <cell r="A17">
            <v>1010</v>
          </cell>
          <cell r="D17">
            <v>0</v>
          </cell>
        </row>
        <row r="18">
          <cell r="A18">
            <v>1010</v>
          </cell>
          <cell r="D18">
            <v>0</v>
          </cell>
        </row>
        <row r="19">
          <cell r="A19">
            <v>1010</v>
          </cell>
          <cell r="D19">
            <v>0</v>
          </cell>
        </row>
        <row r="20">
          <cell r="A20">
            <v>1010</v>
          </cell>
          <cell r="D20">
            <v>0</v>
          </cell>
        </row>
        <row r="21">
          <cell r="A21">
            <v>1010</v>
          </cell>
          <cell r="D21">
            <v>0</v>
          </cell>
        </row>
        <row r="22">
          <cell r="A22">
            <v>1010</v>
          </cell>
          <cell r="D22">
            <v>0</v>
          </cell>
        </row>
        <row r="23">
          <cell r="A23">
            <v>1010</v>
          </cell>
          <cell r="D23">
            <v>0</v>
          </cell>
        </row>
        <row r="24">
          <cell r="A24">
            <v>1010</v>
          </cell>
          <cell r="D24">
            <v>148.02000000000001</v>
          </cell>
        </row>
        <row r="25">
          <cell r="A25">
            <v>1010</v>
          </cell>
          <cell r="D25">
            <v>6892.85</v>
          </cell>
        </row>
        <row r="26">
          <cell r="A26">
            <v>1010</v>
          </cell>
          <cell r="D26">
            <v>374.47</v>
          </cell>
        </row>
        <row r="27">
          <cell r="A27">
            <v>1010</v>
          </cell>
          <cell r="D27">
            <v>7.19</v>
          </cell>
        </row>
        <row r="28">
          <cell r="A28">
            <v>1010</v>
          </cell>
          <cell r="D28">
            <v>0</v>
          </cell>
        </row>
        <row r="29">
          <cell r="A29">
            <v>1010</v>
          </cell>
          <cell r="D29">
            <v>10.9</v>
          </cell>
        </row>
        <row r="30">
          <cell r="A30">
            <v>1010</v>
          </cell>
          <cell r="D30">
            <v>63.83</v>
          </cell>
        </row>
        <row r="31">
          <cell r="A31">
            <v>1010</v>
          </cell>
          <cell r="D31">
            <v>9.1999999999999993</v>
          </cell>
        </row>
        <row r="32">
          <cell r="A32">
            <v>1010</v>
          </cell>
          <cell r="D32">
            <v>54.24</v>
          </cell>
        </row>
        <row r="33">
          <cell r="A33">
            <v>1010</v>
          </cell>
          <cell r="D33">
            <v>69.25</v>
          </cell>
        </row>
        <row r="34">
          <cell r="A34">
            <v>1010</v>
          </cell>
          <cell r="D34">
            <v>33.17</v>
          </cell>
        </row>
        <row r="35">
          <cell r="A35">
            <v>1010</v>
          </cell>
          <cell r="D35">
            <v>-5315.71</v>
          </cell>
        </row>
        <row r="36">
          <cell r="A36">
            <v>1010</v>
          </cell>
          <cell r="D36">
            <v>0</v>
          </cell>
        </row>
        <row r="37">
          <cell r="A37">
            <v>1010</v>
          </cell>
          <cell r="D37">
            <v>0</v>
          </cell>
        </row>
        <row r="39">
          <cell r="A39" t="str">
            <v>1020</v>
          </cell>
          <cell r="D39">
            <v>5358152.1100000003</v>
          </cell>
        </row>
        <row r="40">
          <cell r="A40" t="str">
            <v>Cash</v>
          </cell>
          <cell r="D40">
            <v>5583722.29</v>
          </cell>
        </row>
        <row r="41">
          <cell r="A41">
            <v>1050</v>
          </cell>
          <cell r="D41">
            <v>0</v>
          </cell>
        </row>
        <row r="42">
          <cell r="A42" t="str">
            <v>Short-term Available-for-sale Investments</v>
          </cell>
          <cell r="D42">
            <v>0</v>
          </cell>
        </row>
        <row r="43">
          <cell r="A43">
            <v>1100</v>
          </cell>
          <cell r="D43">
            <v>0</v>
          </cell>
        </row>
        <row r="44">
          <cell r="A44">
            <v>1100</v>
          </cell>
          <cell r="D44">
            <v>691069.43</v>
          </cell>
        </row>
        <row r="45">
          <cell r="A45">
            <v>1100</v>
          </cell>
          <cell r="D45">
            <v>0</v>
          </cell>
        </row>
        <row r="46">
          <cell r="A46">
            <v>1100</v>
          </cell>
          <cell r="D46">
            <v>0</v>
          </cell>
        </row>
        <row r="47">
          <cell r="A47" t="str">
            <v>Accounts Receivable</v>
          </cell>
          <cell r="D47">
            <v>691069.43</v>
          </cell>
        </row>
        <row r="48">
          <cell r="A48" t="str">
            <v>IC_OTHER</v>
          </cell>
          <cell r="D48">
            <v>24807.25</v>
          </cell>
        </row>
        <row r="49">
          <cell r="A49" t="str">
            <v>IC_OTHER</v>
          </cell>
          <cell r="D49">
            <v>0</v>
          </cell>
        </row>
        <row r="50">
          <cell r="A50" t="str">
            <v>IC_OTHER</v>
          </cell>
          <cell r="D50">
            <v>162478.78</v>
          </cell>
        </row>
        <row r="51">
          <cell r="A51" t="str">
            <v>IC_OTHER</v>
          </cell>
          <cell r="D51">
            <v>0</v>
          </cell>
        </row>
        <row r="52">
          <cell r="A52" t="str">
            <v>IC_OTHER</v>
          </cell>
          <cell r="D52">
            <v>48274.92</v>
          </cell>
        </row>
        <row r="53">
          <cell r="A53" t="str">
            <v>IC_OTHER</v>
          </cell>
          <cell r="D53">
            <v>-18753.11</v>
          </cell>
        </row>
        <row r="54">
          <cell r="A54" t="str">
            <v>IC_OTHER</v>
          </cell>
          <cell r="D54">
            <v>340338.75</v>
          </cell>
        </row>
        <row r="55">
          <cell r="A55" t="str">
            <v>IC_OTHER</v>
          </cell>
          <cell r="D55">
            <v>57287.64</v>
          </cell>
        </row>
        <row r="56">
          <cell r="A56" t="str">
            <v>IC_OTHER</v>
          </cell>
          <cell r="D56">
            <v>-145</v>
          </cell>
        </row>
        <row r="57">
          <cell r="A57" t="str">
            <v>IC_OTHER</v>
          </cell>
          <cell r="D57">
            <v>152024.47</v>
          </cell>
        </row>
        <row r="58">
          <cell r="A58" t="str">
            <v>IC_OTHER</v>
          </cell>
          <cell r="D58">
            <v>398.43</v>
          </cell>
        </row>
        <row r="59">
          <cell r="A59" t="str">
            <v>IC_OTHER</v>
          </cell>
          <cell r="D59">
            <v>21308.1</v>
          </cell>
        </row>
        <row r="60">
          <cell r="A60" t="str">
            <v>IC_OTHER</v>
          </cell>
          <cell r="D60">
            <v>1218.75</v>
          </cell>
        </row>
        <row r="61">
          <cell r="A61" t="str">
            <v>IC_OTHER</v>
          </cell>
          <cell r="D61">
            <v>0</v>
          </cell>
        </row>
        <row r="62">
          <cell r="A62" t="str">
            <v>IC_OTHER</v>
          </cell>
          <cell r="D62">
            <v>-1359718</v>
          </cell>
        </row>
        <row r="63">
          <cell r="A63" t="str">
            <v>IC_OTHER</v>
          </cell>
          <cell r="D63">
            <v>0</v>
          </cell>
        </row>
        <row r="64">
          <cell r="A64" t="str">
            <v>IC_OTHER</v>
          </cell>
          <cell r="D64">
            <v>0</v>
          </cell>
        </row>
        <row r="65">
          <cell r="A65" t="str">
            <v>IC_OTHER</v>
          </cell>
          <cell r="D65">
            <v>-15844.51</v>
          </cell>
        </row>
        <row r="66">
          <cell r="A66" t="str">
            <v>IC_OTHER</v>
          </cell>
          <cell r="D66">
            <v>-17675.88</v>
          </cell>
        </row>
        <row r="67">
          <cell r="A67" t="str">
            <v>IC_OTHER</v>
          </cell>
          <cell r="D67">
            <v>66227.740000000005</v>
          </cell>
        </row>
        <row r="68">
          <cell r="A68" t="str">
            <v>IC_OTHER</v>
          </cell>
          <cell r="D68">
            <v>0</v>
          </cell>
        </row>
        <row r="69">
          <cell r="A69" t="str">
            <v>IC_OTHER</v>
          </cell>
          <cell r="D69">
            <v>0</v>
          </cell>
        </row>
        <row r="70">
          <cell r="A70" t="str">
            <v>IC_OTHER</v>
          </cell>
          <cell r="D70">
            <v>160000.57</v>
          </cell>
        </row>
        <row r="71">
          <cell r="A71" t="str">
            <v>IC_OTHER</v>
          </cell>
          <cell r="D71">
            <v>0</v>
          </cell>
        </row>
        <row r="72">
          <cell r="A72" t="str">
            <v>IC_OTHER</v>
          </cell>
          <cell r="D72">
            <v>0</v>
          </cell>
        </row>
        <row r="73">
          <cell r="A73" t="str">
            <v>IC_OTHER</v>
          </cell>
          <cell r="D73">
            <v>-962241.76</v>
          </cell>
        </row>
        <row r="74">
          <cell r="A74" t="str">
            <v>IC_OTHER</v>
          </cell>
          <cell r="D74">
            <v>0</v>
          </cell>
        </row>
        <row r="75">
          <cell r="A75" t="str">
            <v>IC_OTHER</v>
          </cell>
          <cell r="D75">
            <v>0</v>
          </cell>
        </row>
        <row r="76">
          <cell r="A76" t="str">
            <v>IC_OTHER</v>
          </cell>
          <cell r="D76">
            <v>-816672.65</v>
          </cell>
        </row>
        <row r="77">
          <cell r="A77" t="str">
            <v>IC_OTHER</v>
          </cell>
          <cell r="D77">
            <v>1493698.17</v>
          </cell>
        </row>
        <row r="78">
          <cell r="A78" t="str">
            <v>IC_OTHER</v>
          </cell>
          <cell r="D78">
            <v>-17668.91</v>
          </cell>
        </row>
        <row r="79">
          <cell r="A79" t="str">
            <v>IC_OTHER</v>
          </cell>
          <cell r="D79">
            <v>0</v>
          </cell>
        </row>
        <row r="80">
          <cell r="A80" t="str">
            <v>IC_OTHER</v>
          </cell>
          <cell r="D80">
            <v>0</v>
          </cell>
        </row>
        <row r="81">
          <cell r="A81" t="str">
            <v>IC_OTHER</v>
          </cell>
          <cell r="D81">
            <v>-26876.83</v>
          </cell>
        </row>
        <row r="82">
          <cell r="A82" t="str">
            <v>IC_OTHER</v>
          </cell>
          <cell r="D82">
            <v>-7674.62</v>
          </cell>
        </row>
        <row r="83">
          <cell r="A83" t="str">
            <v>IC_OTHER</v>
          </cell>
          <cell r="D83">
            <v>-3870.7</v>
          </cell>
        </row>
        <row r="84">
          <cell r="A84" t="str">
            <v>IC_OTHER</v>
          </cell>
          <cell r="D84">
            <v>0</v>
          </cell>
        </row>
        <row r="85">
          <cell r="A85" t="str">
            <v>IC_OTHER</v>
          </cell>
          <cell r="D85">
            <v>-21120</v>
          </cell>
        </row>
        <row r="86">
          <cell r="A86" t="str">
            <v>IC_OTHER</v>
          </cell>
          <cell r="D86">
            <v>-30000</v>
          </cell>
        </row>
        <row r="87">
          <cell r="A87" t="str">
            <v>IC_OTHER</v>
          </cell>
          <cell r="D87">
            <v>-34144.19</v>
          </cell>
        </row>
        <row r="88">
          <cell r="A88" t="str">
            <v>IC_OTHER</v>
          </cell>
          <cell r="D88">
            <v>-6509.6</v>
          </cell>
        </row>
        <row r="89">
          <cell r="A89" t="str">
            <v>IC_OTHER</v>
          </cell>
          <cell r="D89">
            <v>0</v>
          </cell>
        </row>
        <row r="90">
          <cell r="A90" t="str">
            <v>IC_OTHER</v>
          </cell>
          <cell r="D90">
            <v>0</v>
          </cell>
        </row>
        <row r="91">
          <cell r="A91" t="str">
            <v>IC_OTHER</v>
          </cell>
          <cell r="D91">
            <v>-233225.55</v>
          </cell>
        </row>
        <row r="92">
          <cell r="A92" t="str">
            <v>IC_OTHER</v>
          </cell>
          <cell r="D92">
            <v>0</v>
          </cell>
        </row>
        <row r="93">
          <cell r="A93" t="str">
            <v>IC_OTHER</v>
          </cell>
          <cell r="D93">
            <v>-82263</v>
          </cell>
        </row>
        <row r="94">
          <cell r="A94" t="str">
            <v>IC_OTHER</v>
          </cell>
          <cell r="D94">
            <v>0</v>
          </cell>
        </row>
        <row r="95">
          <cell r="A95" t="str">
            <v>Current Account + Royalty Payable</v>
          </cell>
          <cell r="D95">
            <v>-1126340.7399999998</v>
          </cell>
        </row>
        <row r="96">
          <cell r="A96">
            <v>1130</v>
          </cell>
          <cell r="D96">
            <v>0</v>
          </cell>
        </row>
        <row r="97">
          <cell r="A97">
            <v>1130</v>
          </cell>
          <cell r="D97">
            <v>0</v>
          </cell>
        </row>
        <row r="98">
          <cell r="A98">
            <v>1130</v>
          </cell>
          <cell r="D98">
            <v>-646.5</v>
          </cell>
        </row>
        <row r="99">
          <cell r="A99">
            <v>1130</v>
          </cell>
          <cell r="D99">
            <v>0</v>
          </cell>
        </row>
        <row r="100">
          <cell r="A100">
            <v>1130</v>
          </cell>
          <cell r="D100">
            <v>0</v>
          </cell>
        </row>
        <row r="101">
          <cell r="A101">
            <v>1130</v>
          </cell>
          <cell r="D101">
            <v>0</v>
          </cell>
        </row>
        <row r="102">
          <cell r="A102">
            <v>1130</v>
          </cell>
          <cell r="D102">
            <v>0</v>
          </cell>
        </row>
        <row r="103">
          <cell r="A103">
            <v>1130</v>
          </cell>
          <cell r="D103">
            <v>0</v>
          </cell>
        </row>
        <row r="104">
          <cell r="A104">
            <v>1130</v>
          </cell>
          <cell r="D104">
            <v>0</v>
          </cell>
        </row>
        <row r="105">
          <cell r="A105">
            <v>1130</v>
          </cell>
          <cell r="D105">
            <v>133948.79</v>
          </cell>
        </row>
        <row r="106">
          <cell r="A106">
            <v>1130</v>
          </cell>
          <cell r="D106">
            <v>0</v>
          </cell>
        </row>
        <row r="107">
          <cell r="A107">
            <v>1130</v>
          </cell>
          <cell r="D107">
            <v>1000</v>
          </cell>
        </row>
        <row r="108">
          <cell r="A108">
            <v>1130</v>
          </cell>
          <cell r="D108">
            <v>0</v>
          </cell>
        </row>
        <row r="109">
          <cell r="A109" t="str">
            <v>Notes &amp; Loans to Employees</v>
          </cell>
          <cell r="D109">
            <v>134302.29</v>
          </cell>
        </row>
        <row r="110">
          <cell r="A110">
            <v>1140</v>
          </cell>
          <cell r="D110">
            <v>0</v>
          </cell>
        </row>
        <row r="111">
          <cell r="A111">
            <v>1140</v>
          </cell>
          <cell r="D111">
            <v>0</v>
          </cell>
        </row>
        <row r="112">
          <cell r="A112">
            <v>1140</v>
          </cell>
          <cell r="D112">
            <v>3320.12</v>
          </cell>
        </row>
        <row r="113">
          <cell r="A113">
            <v>1140</v>
          </cell>
          <cell r="D113">
            <v>4333.32</v>
          </cell>
        </row>
        <row r="114">
          <cell r="A114">
            <v>1140</v>
          </cell>
          <cell r="D114">
            <v>24500</v>
          </cell>
        </row>
        <row r="115">
          <cell r="A115">
            <v>1140</v>
          </cell>
          <cell r="D115">
            <v>16100</v>
          </cell>
        </row>
        <row r="116">
          <cell r="A116" t="str">
            <v>Other Accounts Receivable</v>
          </cell>
          <cell r="D116">
            <v>7653.44</v>
          </cell>
        </row>
        <row r="117">
          <cell r="A117">
            <v>1145</v>
          </cell>
          <cell r="D117">
            <v>-29686</v>
          </cell>
        </row>
        <row r="118">
          <cell r="A118" t="str">
            <v>Other Accounts Receivable</v>
          </cell>
          <cell r="D118">
            <v>48253.440000000002</v>
          </cell>
        </row>
        <row r="119">
          <cell r="A119">
            <v>1150</v>
          </cell>
          <cell r="D119">
            <v>-40413.15</v>
          </cell>
        </row>
        <row r="120">
          <cell r="A120" t="str">
            <v>Reserve for Doubtful Accounts</v>
          </cell>
          <cell r="D120">
            <v>-40413.15</v>
          </cell>
        </row>
        <row r="121">
          <cell r="A121">
            <v>1200</v>
          </cell>
          <cell r="D121">
            <v>16496.29</v>
          </cell>
        </row>
        <row r="122">
          <cell r="A122" t="str">
            <v>Unbilled Contract Costs &amp; Fees</v>
          </cell>
          <cell r="D122">
            <v>16496.29</v>
          </cell>
        </row>
        <row r="123">
          <cell r="A123">
            <v>1300</v>
          </cell>
          <cell r="D123">
            <v>5979.06</v>
          </cell>
        </row>
        <row r="124">
          <cell r="A124">
            <v>1300</v>
          </cell>
          <cell r="D124">
            <v>0</v>
          </cell>
        </row>
        <row r="125">
          <cell r="A125">
            <v>1300</v>
          </cell>
          <cell r="D125">
            <v>19138.849999999999</v>
          </cell>
        </row>
        <row r="126">
          <cell r="A126">
            <v>1300</v>
          </cell>
          <cell r="D126">
            <v>8507.7199999999993</v>
          </cell>
        </row>
        <row r="127">
          <cell r="A127">
            <v>1300</v>
          </cell>
          <cell r="D127">
            <v>27865.279999999999</v>
          </cell>
        </row>
        <row r="128">
          <cell r="A128">
            <v>1300</v>
          </cell>
          <cell r="D128">
            <v>0</v>
          </cell>
        </row>
        <row r="129">
          <cell r="A129">
            <v>1300</v>
          </cell>
          <cell r="D129">
            <v>193617.5</v>
          </cell>
        </row>
        <row r="130">
          <cell r="A130">
            <v>1300</v>
          </cell>
          <cell r="D130">
            <v>1202670.03</v>
          </cell>
        </row>
        <row r="131">
          <cell r="A131">
            <v>1300</v>
          </cell>
          <cell r="D131">
            <v>304.41000000000003</v>
          </cell>
        </row>
        <row r="132">
          <cell r="A132">
            <v>1300</v>
          </cell>
          <cell r="D132">
            <v>1691.56</v>
          </cell>
        </row>
        <row r="133">
          <cell r="A133">
            <v>1300</v>
          </cell>
          <cell r="D133">
            <v>275.33999999999997</v>
          </cell>
        </row>
        <row r="134">
          <cell r="A134">
            <v>1300</v>
          </cell>
          <cell r="D134">
            <v>0</v>
          </cell>
        </row>
        <row r="135">
          <cell r="A135">
            <v>1300</v>
          </cell>
          <cell r="D135">
            <v>0</v>
          </cell>
        </row>
        <row r="136">
          <cell r="A136">
            <v>1300</v>
          </cell>
          <cell r="D136">
            <v>0</v>
          </cell>
        </row>
        <row r="137">
          <cell r="A137">
            <v>1300</v>
          </cell>
          <cell r="D137">
            <v>0</v>
          </cell>
        </row>
        <row r="138">
          <cell r="A138">
            <v>1300</v>
          </cell>
          <cell r="D138">
            <v>0</v>
          </cell>
        </row>
        <row r="139">
          <cell r="A139">
            <v>1300</v>
          </cell>
          <cell r="D139">
            <v>0</v>
          </cell>
        </row>
        <row r="140">
          <cell r="A140">
            <v>1300</v>
          </cell>
          <cell r="D140">
            <v>6453.14</v>
          </cell>
        </row>
        <row r="141">
          <cell r="A141">
            <v>1300</v>
          </cell>
          <cell r="D141">
            <v>0</v>
          </cell>
        </row>
        <row r="142">
          <cell r="A142">
            <v>1300</v>
          </cell>
          <cell r="D142">
            <v>0</v>
          </cell>
        </row>
        <row r="143">
          <cell r="A143">
            <v>1300</v>
          </cell>
          <cell r="D143">
            <v>82.68</v>
          </cell>
        </row>
        <row r="144">
          <cell r="A144">
            <v>1300</v>
          </cell>
          <cell r="D144">
            <v>0</v>
          </cell>
        </row>
        <row r="145">
          <cell r="A145">
            <v>1300</v>
          </cell>
          <cell r="D145">
            <v>11916.06</v>
          </cell>
        </row>
        <row r="146">
          <cell r="A146">
            <v>1300</v>
          </cell>
          <cell r="D146">
            <v>2031.58</v>
          </cell>
        </row>
        <row r="147">
          <cell r="A147">
            <v>1300</v>
          </cell>
          <cell r="D147">
            <v>0</v>
          </cell>
        </row>
        <row r="148">
          <cell r="A148">
            <v>1300</v>
          </cell>
          <cell r="D148">
            <v>636.61</v>
          </cell>
        </row>
        <row r="149">
          <cell r="A149">
            <v>1300</v>
          </cell>
          <cell r="D149">
            <v>969.07</v>
          </cell>
        </row>
        <row r="150">
          <cell r="A150">
            <v>1300</v>
          </cell>
          <cell r="D150">
            <v>299.37</v>
          </cell>
        </row>
        <row r="151">
          <cell r="A151">
            <v>1300</v>
          </cell>
          <cell r="D151">
            <v>52</v>
          </cell>
        </row>
        <row r="152">
          <cell r="A152">
            <v>1300</v>
          </cell>
          <cell r="D152">
            <v>0</v>
          </cell>
        </row>
        <row r="153">
          <cell r="A153">
            <v>1300</v>
          </cell>
          <cell r="D153">
            <v>0</v>
          </cell>
        </row>
        <row r="154">
          <cell r="A154">
            <v>1300</v>
          </cell>
          <cell r="D154">
            <v>0</v>
          </cell>
        </row>
        <row r="155">
          <cell r="A155">
            <v>1300</v>
          </cell>
          <cell r="D155">
            <v>1687.38</v>
          </cell>
        </row>
        <row r="156">
          <cell r="A156">
            <v>1300</v>
          </cell>
          <cell r="D156">
            <v>3783.11</v>
          </cell>
        </row>
        <row r="157">
          <cell r="A157">
            <v>1300</v>
          </cell>
          <cell r="D157">
            <v>973.35</v>
          </cell>
        </row>
        <row r="158">
          <cell r="A158">
            <v>1300</v>
          </cell>
          <cell r="D158">
            <v>0</v>
          </cell>
        </row>
        <row r="159">
          <cell r="A159">
            <v>1300</v>
          </cell>
          <cell r="D159">
            <v>0</v>
          </cell>
        </row>
        <row r="160">
          <cell r="A160">
            <v>1300</v>
          </cell>
          <cell r="D160">
            <v>74189.34</v>
          </cell>
        </row>
        <row r="161">
          <cell r="A161">
            <v>1300</v>
          </cell>
          <cell r="D161">
            <v>680.49</v>
          </cell>
        </row>
        <row r="162">
          <cell r="A162">
            <v>1300</v>
          </cell>
          <cell r="D162">
            <v>0</v>
          </cell>
        </row>
        <row r="163">
          <cell r="A163">
            <v>1300</v>
          </cell>
          <cell r="D163">
            <v>0</v>
          </cell>
        </row>
        <row r="164">
          <cell r="A164">
            <v>1300</v>
          </cell>
          <cell r="D164">
            <v>0</v>
          </cell>
        </row>
        <row r="165">
          <cell r="A165">
            <v>1300</v>
          </cell>
          <cell r="D165">
            <v>0</v>
          </cell>
        </row>
        <row r="166">
          <cell r="A166">
            <v>1300</v>
          </cell>
          <cell r="D166">
            <v>29000.36</v>
          </cell>
        </row>
        <row r="167">
          <cell r="A167">
            <v>1300</v>
          </cell>
          <cell r="D167">
            <v>0</v>
          </cell>
        </row>
        <row r="168">
          <cell r="A168">
            <v>1300</v>
          </cell>
          <cell r="D168">
            <v>0</v>
          </cell>
        </row>
        <row r="169">
          <cell r="A169">
            <v>1300</v>
          </cell>
          <cell r="D169">
            <v>132570.5</v>
          </cell>
        </row>
        <row r="170">
          <cell r="A170">
            <v>1300</v>
          </cell>
          <cell r="D170">
            <v>-39454.07</v>
          </cell>
        </row>
        <row r="171">
          <cell r="A171" t="str">
            <v>Inventory - RM &amp; FG, Gross</v>
          </cell>
          <cell r="D171">
            <v>1685920.7200000004</v>
          </cell>
        </row>
        <row r="172">
          <cell r="A172">
            <v>1310</v>
          </cell>
          <cell r="D172">
            <v>0</v>
          </cell>
        </row>
        <row r="173">
          <cell r="A173">
            <v>1310</v>
          </cell>
          <cell r="D173">
            <v>0</v>
          </cell>
        </row>
        <row r="174">
          <cell r="A174">
            <v>1310</v>
          </cell>
          <cell r="D174">
            <v>8655.7999999999993</v>
          </cell>
        </row>
        <row r="175">
          <cell r="A175">
            <v>1310</v>
          </cell>
          <cell r="D175">
            <v>0</v>
          </cell>
        </row>
        <row r="176">
          <cell r="A176">
            <v>1310</v>
          </cell>
          <cell r="D176">
            <v>10290.25</v>
          </cell>
        </row>
        <row r="177">
          <cell r="A177">
            <v>1310</v>
          </cell>
          <cell r="D177">
            <v>0</v>
          </cell>
        </row>
        <row r="178">
          <cell r="A178">
            <v>1310</v>
          </cell>
          <cell r="D178">
            <v>0</v>
          </cell>
        </row>
        <row r="179">
          <cell r="A179">
            <v>1310</v>
          </cell>
          <cell r="D179">
            <v>0</v>
          </cell>
        </row>
        <row r="180">
          <cell r="A180">
            <v>1310</v>
          </cell>
          <cell r="D180">
            <v>15557.83</v>
          </cell>
        </row>
        <row r="181">
          <cell r="A181">
            <v>1310</v>
          </cell>
          <cell r="D181">
            <v>0</v>
          </cell>
        </row>
        <row r="182">
          <cell r="A182">
            <v>1310</v>
          </cell>
          <cell r="D182">
            <v>0</v>
          </cell>
        </row>
        <row r="183">
          <cell r="A183">
            <v>1310</v>
          </cell>
          <cell r="D183">
            <v>35.31</v>
          </cell>
        </row>
        <row r="184">
          <cell r="A184">
            <v>1310</v>
          </cell>
          <cell r="D184">
            <v>0</v>
          </cell>
        </row>
        <row r="185">
          <cell r="A185">
            <v>1310</v>
          </cell>
          <cell r="D185">
            <v>3962.1</v>
          </cell>
        </row>
        <row r="186">
          <cell r="A186">
            <v>1310</v>
          </cell>
          <cell r="D186">
            <v>0</v>
          </cell>
        </row>
        <row r="187">
          <cell r="A187">
            <v>1310</v>
          </cell>
          <cell r="D187">
            <v>941.11</v>
          </cell>
        </row>
        <row r="188">
          <cell r="A188">
            <v>1310</v>
          </cell>
          <cell r="D188">
            <v>0</v>
          </cell>
        </row>
        <row r="189">
          <cell r="A189">
            <v>1310</v>
          </cell>
          <cell r="D189">
            <v>0</v>
          </cell>
        </row>
        <row r="190">
          <cell r="A190">
            <v>1310</v>
          </cell>
          <cell r="D190">
            <v>0</v>
          </cell>
        </row>
        <row r="191">
          <cell r="A191">
            <v>1310</v>
          </cell>
          <cell r="D191">
            <v>2351.14</v>
          </cell>
        </row>
        <row r="192">
          <cell r="A192">
            <v>1310</v>
          </cell>
          <cell r="D192">
            <v>1257.21</v>
          </cell>
        </row>
        <row r="193">
          <cell r="A193">
            <v>1310</v>
          </cell>
          <cell r="D193">
            <v>36604.410000000003</v>
          </cell>
        </row>
        <row r="194">
          <cell r="A194">
            <v>1310</v>
          </cell>
          <cell r="D194">
            <v>0</v>
          </cell>
        </row>
        <row r="195">
          <cell r="A195">
            <v>1310</v>
          </cell>
          <cell r="D195">
            <v>0</v>
          </cell>
        </row>
        <row r="196">
          <cell r="A196">
            <v>1310</v>
          </cell>
          <cell r="D196">
            <v>1012.8</v>
          </cell>
        </row>
        <row r="197">
          <cell r="A197">
            <v>1310</v>
          </cell>
          <cell r="D197">
            <v>7755.45</v>
          </cell>
        </row>
        <row r="198">
          <cell r="A198">
            <v>1310</v>
          </cell>
          <cell r="D198">
            <v>373.65</v>
          </cell>
        </row>
        <row r="199">
          <cell r="A199">
            <v>1310</v>
          </cell>
          <cell r="D199">
            <v>0</v>
          </cell>
        </row>
        <row r="200">
          <cell r="A200">
            <v>1310</v>
          </cell>
          <cell r="D200">
            <v>674.84</v>
          </cell>
        </row>
        <row r="201">
          <cell r="A201">
            <v>1310</v>
          </cell>
          <cell r="D201">
            <v>0</v>
          </cell>
        </row>
        <row r="202">
          <cell r="A202">
            <v>1310</v>
          </cell>
          <cell r="D202">
            <v>0</v>
          </cell>
        </row>
        <row r="203">
          <cell r="A203">
            <v>1310</v>
          </cell>
          <cell r="D203">
            <v>0</v>
          </cell>
        </row>
        <row r="204">
          <cell r="A204">
            <v>1310</v>
          </cell>
          <cell r="D204">
            <v>285.82</v>
          </cell>
        </row>
        <row r="205">
          <cell r="A205">
            <v>1310</v>
          </cell>
          <cell r="D205">
            <v>24672.92</v>
          </cell>
        </row>
        <row r="206">
          <cell r="A206">
            <v>1310</v>
          </cell>
          <cell r="D206">
            <v>0</v>
          </cell>
        </row>
        <row r="207">
          <cell r="A207">
            <v>1310</v>
          </cell>
          <cell r="D207">
            <v>0</v>
          </cell>
        </row>
        <row r="208">
          <cell r="A208">
            <v>1310</v>
          </cell>
          <cell r="D208">
            <v>37923.870000000003</v>
          </cell>
        </row>
        <row r="209">
          <cell r="A209">
            <v>1310</v>
          </cell>
          <cell r="D209">
            <v>0</v>
          </cell>
        </row>
        <row r="210">
          <cell r="A210">
            <v>1310</v>
          </cell>
          <cell r="D210">
            <v>0</v>
          </cell>
        </row>
        <row r="211">
          <cell r="A211">
            <v>1310</v>
          </cell>
          <cell r="D211">
            <v>1560.64</v>
          </cell>
        </row>
        <row r="212">
          <cell r="A212">
            <v>1310</v>
          </cell>
          <cell r="D212">
            <v>0</v>
          </cell>
        </row>
        <row r="213">
          <cell r="A213">
            <v>1310</v>
          </cell>
          <cell r="D213">
            <v>0</v>
          </cell>
        </row>
        <row r="214">
          <cell r="A214">
            <v>1310</v>
          </cell>
          <cell r="D214">
            <v>0</v>
          </cell>
        </row>
        <row r="215">
          <cell r="A215">
            <v>1310</v>
          </cell>
          <cell r="D215">
            <v>0</v>
          </cell>
        </row>
        <row r="216">
          <cell r="A216">
            <v>1310</v>
          </cell>
          <cell r="D216">
            <v>0</v>
          </cell>
        </row>
        <row r="217">
          <cell r="A217">
            <v>1310</v>
          </cell>
          <cell r="D217">
            <v>0</v>
          </cell>
        </row>
        <row r="218">
          <cell r="A218">
            <v>1310</v>
          </cell>
          <cell r="D218">
            <v>0</v>
          </cell>
        </row>
        <row r="219">
          <cell r="A219">
            <v>1310</v>
          </cell>
          <cell r="D219">
            <v>0</v>
          </cell>
        </row>
        <row r="220">
          <cell r="A220">
            <v>1310</v>
          </cell>
          <cell r="D220">
            <v>0</v>
          </cell>
        </row>
        <row r="221">
          <cell r="A221">
            <v>1310</v>
          </cell>
          <cell r="D221">
            <v>-845.64</v>
          </cell>
        </row>
        <row r="222">
          <cell r="A222">
            <v>1310</v>
          </cell>
          <cell r="D222">
            <v>0</v>
          </cell>
        </row>
        <row r="223">
          <cell r="A223">
            <v>1310</v>
          </cell>
          <cell r="D223">
            <v>474.11</v>
          </cell>
        </row>
        <row r="224">
          <cell r="A224">
            <v>1310</v>
          </cell>
          <cell r="D224">
            <v>0</v>
          </cell>
        </row>
        <row r="225">
          <cell r="A225">
            <v>1310</v>
          </cell>
          <cell r="D225">
            <v>0</v>
          </cell>
        </row>
        <row r="226">
          <cell r="A226">
            <v>1310</v>
          </cell>
          <cell r="D226">
            <v>0</v>
          </cell>
        </row>
        <row r="227">
          <cell r="A227">
            <v>1310</v>
          </cell>
          <cell r="D227">
            <v>-1522.28</v>
          </cell>
        </row>
        <row r="228">
          <cell r="A228">
            <v>1310</v>
          </cell>
          <cell r="D228">
            <v>0</v>
          </cell>
        </row>
        <row r="229">
          <cell r="A229">
            <v>1310</v>
          </cell>
          <cell r="D229">
            <v>0</v>
          </cell>
        </row>
        <row r="230">
          <cell r="A230">
            <v>1310</v>
          </cell>
          <cell r="D230">
            <v>-15.15</v>
          </cell>
        </row>
        <row r="231">
          <cell r="A231">
            <v>1310</v>
          </cell>
          <cell r="D231">
            <v>0</v>
          </cell>
        </row>
        <row r="232">
          <cell r="A232">
            <v>1310</v>
          </cell>
          <cell r="D232">
            <v>0</v>
          </cell>
        </row>
        <row r="233">
          <cell r="A233">
            <v>1310</v>
          </cell>
          <cell r="D233">
            <v>0</v>
          </cell>
        </row>
        <row r="234">
          <cell r="A234">
            <v>1310</v>
          </cell>
          <cell r="D234">
            <v>-865.24</v>
          </cell>
        </row>
        <row r="235">
          <cell r="A235">
            <v>1310</v>
          </cell>
          <cell r="D235">
            <v>0</v>
          </cell>
        </row>
        <row r="236">
          <cell r="A236">
            <v>1310</v>
          </cell>
          <cell r="D236">
            <v>132.58000000000001</v>
          </cell>
        </row>
        <row r="237">
          <cell r="A237">
            <v>1310</v>
          </cell>
          <cell r="D237">
            <v>0</v>
          </cell>
        </row>
        <row r="238">
          <cell r="A238">
            <v>1310</v>
          </cell>
          <cell r="D238">
            <v>0</v>
          </cell>
        </row>
        <row r="239">
          <cell r="A239">
            <v>1310</v>
          </cell>
          <cell r="D239">
            <v>0</v>
          </cell>
        </row>
        <row r="240">
          <cell r="A240">
            <v>1310</v>
          </cell>
          <cell r="D240">
            <v>482.86</v>
          </cell>
        </row>
        <row r="241">
          <cell r="A241">
            <v>1310</v>
          </cell>
          <cell r="D241">
            <v>258.99</v>
          </cell>
        </row>
        <row r="242">
          <cell r="A242">
            <v>1310</v>
          </cell>
          <cell r="D242">
            <v>-836.79</v>
          </cell>
        </row>
        <row r="243">
          <cell r="A243">
            <v>1310</v>
          </cell>
          <cell r="D243">
            <v>0</v>
          </cell>
        </row>
        <row r="244">
          <cell r="A244">
            <v>1310</v>
          </cell>
          <cell r="D244">
            <v>0</v>
          </cell>
        </row>
        <row r="245">
          <cell r="A245">
            <v>1310</v>
          </cell>
          <cell r="D245">
            <v>63.49</v>
          </cell>
        </row>
        <row r="246">
          <cell r="A246">
            <v>1310</v>
          </cell>
          <cell r="D246">
            <v>-481.8</v>
          </cell>
        </row>
        <row r="247">
          <cell r="A247">
            <v>1310</v>
          </cell>
          <cell r="D247">
            <v>83.03</v>
          </cell>
        </row>
        <row r="248">
          <cell r="A248">
            <v>1310</v>
          </cell>
          <cell r="D248">
            <v>0</v>
          </cell>
        </row>
        <row r="249">
          <cell r="A249">
            <v>1310</v>
          </cell>
          <cell r="D249">
            <v>-163.28</v>
          </cell>
        </row>
        <row r="250">
          <cell r="A250">
            <v>1310</v>
          </cell>
          <cell r="D250">
            <v>0</v>
          </cell>
        </row>
        <row r="251">
          <cell r="A251">
            <v>1310</v>
          </cell>
          <cell r="D251">
            <v>0</v>
          </cell>
        </row>
        <row r="252">
          <cell r="A252">
            <v>1310</v>
          </cell>
          <cell r="D252">
            <v>0</v>
          </cell>
        </row>
        <row r="253">
          <cell r="A253">
            <v>1310</v>
          </cell>
          <cell r="D253">
            <v>-114.64</v>
          </cell>
        </row>
        <row r="254">
          <cell r="A254">
            <v>1310</v>
          </cell>
          <cell r="D254">
            <v>258.13</v>
          </cell>
        </row>
        <row r="255">
          <cell r="A255">
            <v>1310</v>
          </cell>
          <cell r="D255">
            <v>0</v>
          </cell>
        </row>
        <row r="256">
          <cell r="A256">
            <v>1310</v>
          </cell>
          <cell r="D256">
            <v>0</v>
          </cell>
        </row>
        <row r="257">
          <cell r="A257">
            <v>1310</v>
          </cell>
          <cell r="D257">
            <v>534.23</v>
          </cell>
        </row>
        <row r="258">
          <cell r="A258">
            <v>1310</v>
          </cell>
          <cell r="D258">
            <v>0</v>
          </cell>
        </row>
        <row r="259">
          <cell r="A259">
            <v>1310</v>
          </cell>
          <cell r="D259">
            <v>0</v>
          </cell>
        </row>
        <row r="260">
          <cell r="A260">
            <v>1310</v>
          </cell>
          <cell r="D260">
            <v>21.25</v>
          </cell>
        </row>
        <row r="261">
          <cell r="A261">
            <v>1310</v>
          </cell>
          <cell r="D261">
            <v>0</v>
          </cell>
        </row>
        <row r="262">
          <cell r="A262">
            <v>1310</v>
          </cell>
          <cell r="D262">
            <v>0</v>
          </cell>
        </row>
        <row r="263">
          <cell r="A263">
            <v>1310</v>
          </cell>
          <cell r="D263">
            <v>0</v>
          </cell>
        </row>
        <row r="264">
          <cell r="A264">
            <v>1310</v>
          </cell>
          <cell r="D264">
            <v>0</v>
          </cell>
        </row>
        <row r="265">
          <cell r="A265">
            <v>1310</v>
          </cell>
          <cell r="D265">
            <v>0</v>
          </cell>
        </row>
        <row r="266">
          <cell r="A266">
            <v>1310</v>
          </cell>
          <cell r="D266">
            <v>0</v>
          </cell>
        </row>
        <row r="267">
          <cell r="A267">
            <v>1310</v>
          </cell>
          <cell r="D267">
            <v>-2989.83</v>
          </cell>
        </row>
        <row r="268">
          <cell r="A268">
            <v>1310</v>
          </cell>
          <cell r="D268">
            <v>0</v>
          </cell>
        </row>
        <row r="269">
          <cell r="A269">
            <v>1310</v>
          </cell>
          <cell r="D269">
            <v>1541.48</v>
          </cell>
        </row>
        <row r="270">
          <cell r="A270">
            <v>1310</v>
          </cell>
          <cell r="D270">
            <v>0</v>
          </cell>
        </row>
        <row r="271">
          <cell r="A271">
            <v>1310</v>
          </cell>
          <cell r="D271">
            <v>0</v>
          </cell>
        </row>
        <row r="272">
          <cell r="A272">
            <v>1310</v>
          </cell>
          <cell r="D272">
            <v>0</v>
          </cell>
        </row>
        <row r="273">
          <cell r="A273">
            <v>1310</v>
          </cell>
          <cell r="D273">
            <v>-5809.31</v>
          </cell>
        </row>
        <row r="274">
          <cell r="A274">
            <v>1310</v>
          </cell>
          <cell r="D274">
            <v>0</v>
          </cell>
        </row>
        <row r="275">
          <cell r="A275">
            <v>1310</v>
          </cell>
          <cell r="D275">
            <v>0</v>
          </cell>
        </row>
        <row r="276">
          <cell r="A276">
            <v>1310</v>
          </cell>
          <cell r="D276">
            <v>-20.16</v>
          </cell>
        </row>
        <row r="277">
          <cell r="A277">
            <v>1310</v>
          </cell>
          <cell r="D277">
            <v>0</v>
          </cell>
        </row>
        <row r="278">
          <cell r="A278">
            <v>1310</v>
          </cell>
          <cell r="D278">
            <v>0</v>
          </cell>
        </row>
        <row r="279">
          <cell r="A279">
            <v>1310</v>
          </cell>
          <cell r="D279">
            <v>0</v>
          </cell>
        </row>
        <row r="280">
          <cell r="A280">
            <v>1310</v>
          </cell>
          <cell r="D280">
            <v>-3096.86</v>
          </cell>
        </row>
        <row r="281">
          <cell r="A281">
            <v>1310</v>
          </cell>
          <cell r="D281">
            <v>0</v>
          </cell>
        </row>
        <row r="282">
          <cell r="A282">
            <v>1310</v>
          </cell>
          <cell r="D282">
            <v>280.48</v>
          </cell>
        </row>
        <row r="283">
          <cell r="A283">
            <v>1310</v>
          </cell>
          <cell r="D283">
            <v>0</v>
          </cell>
        </row>
        <row r="284">
          <cell r="A284">
            <v>1310</v>
          </cell>
          <cell r="D284">
            <v>0</v>
          </cell>
        </row>
        <row r="285">
          <cell r="A285">
            <v>1310</v>
          </cell>
          <cell r="D285">
            <v>0</v>
          </cell>
        </row>
        <row r="286">
          <cell r="A286">
            <v>1310</v>
          </cell>
          <cell r="D286">
            <v>1088.51</v>
          </cell>
        </row>
        <row r="287">
          <cell r="A287">
            <v>1310</v>
          </cell>
          <cell r="D287">
            <v>1209.44</v>
          </cell>
        </row>
        <row r="288">
          <cell r="A288">
            <v>1310</v>
          </cell>
          <cell r="D288">
            <v>-2443.75</v>
          </cell>
        </row>
        <row r="289">
          <cell r="A289">
            <v>1310</v>
          </cell>
          <cell r="D289">
            <v>0</v>
          </cell>
        </row>
        <row r="290">
          <cell r="A290">
            <v>1310</v>
          </cell>
          <cell r="D290">
            <v>0</v>
          </cell>
        </row>
        <row r="291">
          <cell r="A291">
            <v>1310</v>
          </cell>
          <cell r="D291">
            <v>217.01</v>
          </cell>
        </row>
        <row r="292">
          <cell r="A292">
            <v>1310</v>
          </cell>
          <cell r="D292">
            <v>-2587.39</v>
          </cell>
        </row>
        <row r="293">
          <cell r="A293">
            <v>1310</v>
          </cell>
          <cell r="D293">
            <v>221.7</v>
          </cell>
        </row>
        <row r="294">
          <cell r="A294">
            <v>1310</v>
          </cell>
          <cell r="D294">
            <v>0</v>
          </cell>
        </row>
        <row r="295">
          <cell r="A295">
            <v>1310</v>
          </cell>
          <cell r="D295">
            <v>-448.99</v>
          </cell>
        </row>
        <row r="296">
          <cell r="A296">
            <v>1310</v>
          </cell>
          <cell r="D296">
            <v>0</v>
          </cell>
        </row>
        <row r="297">
          <cell r="A297">
            <v>1310</v>
          </cell>
          <cell r="D297">
            <v>0</v>
          </cell>
        </row>
        <row r="298">
          <cell r="A298">
            <v>1310</v>
          </cell>
          <cell r="D298">
            <v>0</v>
          </cell>
        </row>
        <row r="299">
          <cell r="A299">
            <v>1310</v>
          </cell>
          <cell r="D299">
            <v>-151.22999999999999</v>
          </cell>
        </row>
        <row r="300">
          <cell r="A300">
            <v>1310</v>
          </cell>
          <cell r="D300">
            <v>-558.24</v>
          </cell>
        </row>
        <row r="301">
          <cell r="A301">
            <v>1310</v>
          </cell>
          <cell r="D301">
            <v>0</v>
          </cell>
        </row>
        <row r="302">
          <cell r="A302">
            <v>1310</v>
          </cell>
          <cell r="D302">
            <v>0</v>
          </cell>
        </row>
        <row r="303">
          <cell r="A303">
            <v>1310</v>
          </cell>
          <cell r="D303">
            <v>697.61</v>
          </cell>
        </row>
        <row r="304">
          <cell r="A304">
            <v>1310</v>
          </cell>
          <cell r="D304">
            <v>0</v>
          </cell>
        </row>
        <row r="305">
          <cell r="A305">
            <v>1310</v>
          </cell>
          <cell r="D305">
            <v>0</v>
          </cell>
        </row>
        <row r="306">
          <cell r="A306">
            <v>1310</v>
          </cell>
          <cell r="D306">
            <v>60.79</v>
          </cell>
        </row>
        <row r="307">
          <cell r="A307">
            <v>1310</v>
          </cell>
          <cell r="D307">
            <v>0</v>
          </cell>
        </row>
        <row r="308">
          <cell r="A308">
            <v>1310</v>
          </cell>
          <cell r="D308">
            <v>0</v>
          </cell>
        </row>
        <row r="309">
          <cell r="A309">
            <v>1310</v>
          </cell>
          <cell r="D309">
            <v>0</v>
          </cell>
        </row>
        <row r="310">
          <cell r="A310">
            <v>1310</v>
          </cell>
          <cell r="D310">
            <v>0</v>
          </cell>
        </row>
        <row r="311">
          <cell r="A311">
            <v>1310</v>
          </cell>
          <cell r="D311">
            <v>0</v>
          </cell>
        </row>
        <row r="312">
          <cell r="A312">
            <v>1310</v>
          </cell>
          <cell r="D312">
            <v>0</v>
          </cell>
        </row>
        <row r="313">
          <cell r="A313">
            <v>1310</v>
          </cell>
          <cell r="D313">
            <v>0</v>
          </cell>
        </row>
        <row r="314">
          <cell r="A314">
            <v>1310</v>
          </cell>
          <cell r="D314">
            <v>8141.07</v>
          </cell>
        </row>
        <row r="315">
          <cell r="A315">
            <v>1310</v>
          </cell>
          <cell r="D315">
            <v>0</v>
          </cell>
        </row>
        <row r="316">
          <cell r="A316">
            <v>1310</v>
          </cell>
          <cell r="D316">
            <v>-2774.67</v>
          </cell>
        </row>
        <row r="317">
          <cell r="A317">
            <v>1310</v>
          </cell>
          <cell r="D317">
            <v>0</v>
          </cell>
        </row>
        <row r="318">
          <cell r="A318">
            <v>1310</v>
          </cell>
          <cell r="D318">
            <v>0</v>
          </cell>
        </row>
        <row r="319">
          <cell r="A319">
            <v>1310</v>
          </cell>
          <cell r="D319">
            <v>0</v>
          </cell>
        </row>
        <row r="320">
          <cell r="A320">
            <v>1310</v>
          </cell>
          <cell r="D320">
            <v>314.77</v>
          </cell>
        </row>
        <row r="321">
          <cell r="A321">
            <v>1310</v>
          </cell>
          <cell r="D321">
            <v>0</v>
          </cell>
        </row>
        <row r="322">
          <cell r="A322">
            <v>1310</v>
          </cell>
          <cell r="D322">
            <v>0</v>
          </cell>
        </row>
        <row r="323">
          <cell r="A323">
            <v>1310</v>
          </cell>
          <cell r="D323">
            <v>0</v>
          </cell>
        </row>
        <row r="324">
          <cell r="A324">
            <v>1310</v>
          </cell>
          <cell r="D324">
            <v>0</v>
          </cell>
        </row>
        <row r="325">
          <cell r="A325">
            <v>1310</v>
          </cell>
          <cell r="D325">
            <v>0</v>
          </cell>
        </row>
        <row r="326">
          <cell r="A326">
            <v>1310</v>
          </cell>
          <cell r="D326">
            <v>0</v>
          </cell>
        </row>
        <row r="327">
          <cell r="A327">
            <v>1310</v>
          </cell>
          <cell r="D327">
            <v>0</v>
          </cell>
        </row>
        <row r="328">
          <cell r="A328">
            <v>1310</v>
          </cell>
          <cell r="D328">
            <v>0</v>
          </cell>
        </row>
        <row r="329">
          <cell r="A329">
            <v>1310</v>
          </cell>
          <cell r="D329">
            <v>309.18</v>
          </cell>
        </row>
        <row r="330">
          <cell r="A330">
            <v>1310</v>
          </cell>
          <cell r="D330">
            <v>0</v>
          </cell>
        </row>
        <row r="331">
          <cell r="A331">
            <v>1310</v>
          </cell>
          <cell r="D331">
            <v>0</v>
          </cell>
        </row>
        <row r="332">
          <cell r="A332">
            <v>1310</v>
          </cell>
          <cell r="D332">
            <v>0</v>
          </cell>
        </row>
        <row r="333">
          <cell r="A333">
            <v>1310</v>
          </cell>
          <cell r="D333">
            <v>19.8</v>
          </cell>
        </row>
        <row r="334">
          <cell r="A334">
            <v>1310</v>
          </cell>
          <cell r="D334">
            <v>24.5</v>
          </cell>
        </row>
        <row r="335">
          <cell r="A335">
            <v>1310</v>
          </cell>
          <cell r="D335">
            <v>-798.08</v>
          </cell>
        </row>
        <row r="336">
          <cell r="A336">
            <v>1310</v>
          </cell>
          <cell r="D336">
            <v>0</v>
          </cell>
        </row>
        <row r="337">
          <cell r="A337">
            <v>1310</v>
          </cell>
          <cell r="D337">
            <v>0</v>
          </cell>
        </row>
        <row r="338">
          <cell r="A338">
            <v>1310</v>
          </cell>
          <cell r="D338">
            <v>0</v>
          </cell>
        </row>
        <row r="339">
          <cell r="A339">
            <v>1310</v>
          </cell>
          <cell r="D339">
            <v>-100.07</v>
          </cell>
        </row>
        <row r="340">
          <cell r="A340">
            <v>1310</v>
          </cell>
          <cell r="D340">
            <v>44.8</v>
          </cell>
        </row>
        <row r="341">
          <cell r="A341">
            <v>1310</v>
          </cell>
          <cell r="D341">
            <v>0</v>
          </cell>
        </row>
        <row r="342">
          <cell r="A342">
            <v>1310</v>
          </cell>
          <cell r="D342">
            <v>-62.57</v>
          </cell>
        </row>
        <row r="343">
          <cell r="A343">
            <v>1310</v>
          </cell>
          <cell r="D343">
            <v>0</v>
          </cell>
        </row>
        <row r="344">
          <cell r="A344">
            <v>1310</v>
          </cell>
          <cell r="D344">
            <v>0</v>
          </cell>
        </row>
        <row r="345">
          <cell r="A345">
            <v>1310</v>
          </cell>
          <cell r="D345">
            <v>0</v>
          </cell>
        </row>
        <row r="346">
          <cell r="A346">
            <v>1310</v>
          </cell>
          <cell r="D346">
            <v>-19.95</v>
          </cell>
        </row>
        <row r="347">
          <cell r="A347">
            <v>1310</v>
          </cell>
          <cell r="D347">
            <v>-766.61</v>
          </cell>
        </row>
        <row r="348">
          <cell r="A348">
            <v>1310</v>
          </cell>
          <cell r="D348">
            <v>0</v>
          </cell>
        </row>
        <row r="349">
          <cell r="A349">
            <v>1310</v>
          </cell>
          <cell r="D349">
            <v>0</v>
          </cell>
        </row>
        <row r="350">
          <cell r="A350">
            <v>1310</v>
          </cell>
          <cell r="D350">
            <v>-448.02</v>
          </cell>
        </row>
        <row r="351">
          <cell r="A351">
            <v>1310</v>
          </cell>
          <cell r="D351">
            <v>0</v>
          </cell>
        </row>
        <row r="352">
          <cell r="A352">
            <v>1310</v>
          </cell>
          <cell r="D352">
            <v>0</v>
          </cell>
        </row>
        <row r="353">
          <cell r="A353">
            <v>1310</v>
          </cell>
          <cell r="D353">
            <v>202.02</v>
          </cell>
        </row>
        <row r="354">
          <cell r="A354">
            <v>1310</v>
          </cell>
          <cell r="D354">
            <v>0</v>
          </cell>
        </row>
        <row r="355">
          <cell r="A355">
            <v>1310</v>
          </cell>
          <cell r="D355">
            <v>0</v>
          </cell>
        </row>
        <row r="356">
          <cell r="A356">
            <v>1310</v>
          </cell>
          <cell r="D356">
            <v>0</v>
          </cell>
        </row>
        <row r="357">
          <cell r="A357">
            <v>1310</v>
          </cell>
          <cell r="D357">
            <v>0</v>
          </cell>
        </row>
        <row r="358">
          <cell r="A358">
            <v>1310</v>
          </cell>
          <cell r="D358">
            <v>0</v>
          </cell>
        </row>
        <row r="359">
          <cell r="A359">
            <v>1310</v>
          </cell>
          <cell r="D359">
            <v>0</v>
          </cell>
        </row>
        <row r="360">
          <cell r="A360" t="str">
            <v>Inventory - Work-in-process, Gross</v>
          </cell>
          <cell r="D360">
            <v>142676.43</v>
          </cell>
        </row>
        <row r="361">
          <cell r="A361">
            <v>1325</v>
          </cell>
          <cell r="D361">
            <v>-532221</v>
          </cell>
        </row>
        <row r="362">
          <cell r="A362" t="str">
            <v>Inventory Reserve</v>
          </cell>
          <cell r="D362">
            <v>-532221</v>
          </cell>
        </row>
        <row r="363">
          <cell r="A363">
            <v>1405</v>
          </cell>
          <cell r="D363">
            <v>0</v>
          </cell>
        </row>
        <row r="364">
          <cell r="A364">
            <v>1405</v>
          </cell>
          <cell r="D364">
            <v>52.87</v>
          </cell>
        </row>
        <row r="365">
          <cell r="A365">
            <v>1405</v>
          </cell>
          <cell r="D365">
            <v>164236.96</v>
          </cell>
        </row>
        <row r="366">
          <cell r="A366">
            <v>1405</v>
          </cell>
          <cell r="D366">
            <v>8089.29</v>
          </cell>
        </row>
        <row r="367">
          <cell r="A367">
            <v>1405</v>
          </cell>
          <cell r="D367">
            <v>0</v>
          </cell>
        </row>
        <row r="368">
          <cell r="A368">
            <v>1405</v>
          </cell>
          <cell r="D368">
            <v>0</v>
          </cell>
        </row>
        <row r="369">
          <cell r="A369">
            <v>1405</v>
          </cell>
          <cell r="D369">
            <v>0</v>
          </cell>
        </row>
        <row r="370">
          <cell r="A370">
            <v>1405</v>
          </cell>
          <cell r="D370">
            <v>0</v>
          </cell>
        </row>
        <row r="371">
          <cell r="A371">
            <v>1405</v>
          </cell>
          <cell r="D371">
            <v>-60789.29</v>
          </cell>
        </row>
        <row r="372">
          <cell r="A372">
            <v>1405</v>
          </cell>
          <cell r="D372">
            <v>0</v>
          </cell>
        </row>
        <row r="373">
          <cell r="A373">
            <v>1405</v>
          </cell>
          <cell r="D373">
            <v>-62513</v>
          </cell>
        </row>
        <row r="374">
          <cell r="A374" t="str">
            <v>VAT Receivable</v>
          </cell>
          <cell r="D374">
            <v>49076.829999999987</v>
          </cell>
        </row>
        <row r="375">
          <cell r="A375">
            <v>1410</v>
          </cell>
          <cell r="D375">
            <v>888.47</v>
          </cell>
        </row>
        <row r="376">
          <cell r="A376">
            <v>1410</v>
          </cell>
          <cell r="D376">
            <v>0</v>
          </cell>
        </row>
        <row r="377">
          <cell r="A377">
            <v>1410</v>
          </cell>
          <cell r="D377">
            <v>0</v>
          </cell>
        </row>
        <row r="378">
          <cell r="A378">
            <v>1410</v>
          </cell>
          <cell r="D378">
            <v>0</v>
          </cell>
        </row>
        <row r="379">
          <cell r="A379">
            <v>1410</v>
          </cell>
          <cell r="D379">
            <v>0</v>
          </cell>
        </row>
        <row r="380">
          <cell r="A380" t="str">
            <v>Prepaid Insurance</v>
          </cell>
          <cell r="D380">
            <v>888.47</v>
          </cell>
        </row>
        <row r="381">
          <cell r="A381">
            <v>1420</v>
          </cell>
          <cell r="D381">
            <v>0</v>
          </cell>
        </row>
        <row r="382">
          <cell r="A382" t="str">
            <v>Prepaid Salary Advances</v>
          </cell>
          <cell r="D382">
            <v>0</v>
          </cell>
        </row>
        <row r="383">
          <cell r="A383">
            <v>1430</v>
          </cell>
          <cell r="D383">
            <v>0</v>
          </cell>
        </row>
        <row r="384">
          <cell r="A384">
            <v>1430</v>
          </cell>
          <cell r="D384">
            <v>0</v>
          </cell>
        </row>
        <row r="385">
          <cell r="A385">
            <v>1430</v>
          </cell>
          <cell r="D385">
            <v>19817.07</v>
          </cell>
        </row>
        <row r="386">
          <cell r="A386">
            <v>1430</v>
          </cell>
          <cell r="D386">
            <v>0</v>
          </cell>
        </row>
        <row r="387">
          <cell r="A387" t="str">
            <v>Other Prepaid Expenses</v>
          </cell>
          <cell r="D387">
            <v>19817.07</v>
          </cell>
        </row>
        <row r="388">
          <cell r="A388">
            <v>1435</v>
          </cell>
          <cell r="D388">
            <v>0</v>
          </cell>
        </row>
        <row r="389">
          <cell r="A389" t="str">
            <v>Current Notes Receivable</v>
          </cell>
          <cell r="D389">
            <v>0</v>
          </cell>
        </row>
        <row r="390">
          <cell r="A390">
            <v>1500</v>
          </cell>
          <cell r="D390">
            <v>451714.38</v>
          </cell>
        </row>
        <row r="391">
          <cell r="A391">
            <v>1510</v>
          </cell>
          <cell r="D391">
            <v>1618652.07</v>
          </cell>
        </row>
        <row r="392">
          <cell r="A392">
            <v>1510</v>
          </cell>
          <cell r="D392">
            <v>0</v>
          </cell>
        </row>
        <row r="393">
          <cell r="A393">
            <v>1510</v>
          </cell>
          <cell r="D393">
            <v>197925.39</v>
          </cell>
        </row>
        <row r="394">
          <cell r="A394">
            <v>1520</v>
          </cell>
          <cell r="D394">
            <v>1593602.31</v>
          </cell>
        </row>
        <row r="395">
          <cell r="A395">
            <v>1520</v>
          </cell>
          <cell r="D395">
            <v>0</v>
          </cell>
        </row>
        <row r="396">
          <cell r="A396">
            <v>1520</v>
          </cell>
          <cell r="D396">
            <v>802884.23</v>
          </cell>
        </row>
        <row r="397">
          <cell r="A397">
            <v>1520</v>
          </cell>
          <cell r="D397">
            <v>512938.59</v>
          </cell>
        </row>
        <row r="398">
          <cell r="A398">
            <v>1520</v>
          </cell>
          <cell r="D398">
            <v>505209.05</v>
          </cell>
        </row>
        <row r="399">
          <cell r="A399">
            <v>1520</v>
          </cell>
          <cell r="D399">
            <v>631545.46</v>
          </cell>
        </row>
        <row r="400">
          <cell r="A400">
            <v>1520</v>
          </cell>
          <cell r="D400">
            <v>95284.56</v>
          </cell>
        </row>
        <row r="401">
          <cell r="A401" t="str">
            <v>PPE at Cost</v>
          </cell>
          <cell r="D401">
            <v>6409756.04</v>
          </cell>
        </row>
        <row r="402">
          <cell r="A402">
            <v>1560</v>
          </cell>
          <cell r="D402">
            <v>-1082626.04</v>
          </cell>
        </row>
        <row r="403">
          <cell r="A403">
            <v>1560</v>
          </cell>
          <cell r="D403">
            <v>0</v>
          </cell>
        </row>
        <row r="404">
          <cell r="A404">
            <v>1560</v>
          </cell>
          <cell r="D404">
            <v>-126470.38</v>
          </cell>
        </row>
        <row r="405">
          <cell r="A405">
            <v>1570</v>
          </cell>
          <cell r="D405">
            <v>0</v>
          </cell>
        </row>
        <row r="406">
          <cell r="A406">
            <v>1570</v>
          </cell>
          <cell r="D406">
            <v>-1423390.22</v>
          </cell>
        </row>
        <row r="407">
          <cell r="A407">
            <v>1570</v>
          </cell>
          <cell r="D407">
            <v>0</v>
          </cell>
        </row>
        <row r="408">
          <cell r="A408">
            <v>1570</v>
          </cell>
          <cell r="D408">
            <v>-771370.16</v>
          </cell>
        </row>
        <row r="409">
          <cell r="A409">
            <v>1570</v>
          </cell>
          <cell r="D409">
            <v>-500307.19</v>
          </cell>
        </row>
        <row r="410">
          <cell r="A410">
            <v>1570</v>
          </cell>
          <cell r="D410">
            <v>-440869.79</v>
          </cell>
        </row>
        <row r="411">
          <cell r="A411">
            <v>1570</v>
          </cell>
          <cell r="D411">
            <v>-510301.84</v>
          </cell>
        </row>
        <row r="412">
          <cell r="A412">
            <v>1570</v>
          </cell>
          <cell r="D412">
            <v>-69553.69</v>
          </cell>
        </row>
        <row r="413">
          <cell r="A413" t="str">
            <v>Accumulated Depreciation</v>
          </cell>
          <cell r="D413">
            <v>-4924889.3099999996</v>
          </cell>
        </row>
        <row r="414">
          <cell r="A414">
            <v>1610</v>
          </cell>
          <cell r="D414">
            <v>0</v>
          </cell>
        </row>
        <row r="415">
          <cell r="A415" t="str">
            <v>Long-term Deferred Tax Assets</v>
          </cell>
          <cell r="D415">
            <v>0</v>
          </cell>
        </row>
        <row r="416">
          <cell r="A416">
            <v>1650</v>
          </cell>
          <cell r="D416">
            <v>0</v>
          </cell>
        </row>
        <row r="417">
          <cell r="A417" t="str">
            <v>Other Investments</v>
          </cell>
          <cell r="D417">
            <v>0</v>
          </cell>
        </row>
        <row r="418">
          <cell r="A418">
            <v>1660</v>
          </cell>
          <cell r="D418">
            <v>0</v>
          </cell>
        </row>
        <row r="419">
          <cell r="A419" t="str">
            <v>Notes Receivable</v>
          </cell>
          <cell r="D419">
            <v>0</v>
          </cell>
        </row>
        <row r="420">
          <cell r="A420">
            <v>1690</v>
          </cell>
          <cell r="D420">
            <v>1235.29</v>
          </cell>
        </row>
        <row r="421">
          <cell r="A421">
            <v>1690</v>
          </cell>
          <cell r="D421">
            <v>0</v>
          </cell>
        </row>
        <row r="422">
          <cell r="A422">
            <v>1690</v>
          </cell>
          <cell r="D422">
            <v>0</v>
          </cell>
        </row>
        <row r="423">
          <cell r="A423">
            <v>1690</v>
          </cell>
          <cell r="D423">
            <v>0</v>
          </cell>
        </row>
        <row r="424">
          <cell r="A424">
            <v>1690</v>
          </cell>
          <cell r="D424">
            <v>0</v>
          </cell>
        </row>
        <row r="425">
          <cell r="A425" t="str">
            <v>Deferred Charges and Other</v>
          </cell>
          <cell r="D425">
            <v>1235.29</v>
          </cell>
        </row>
        <row r="426">
          <cell r="A426">
            <v>1700</v>
          </cell>
          <cell r="D426">
            <v>0</v>
          </cell>
        </row>
        <row r="427">
          <cell r="A427">
            <v>1700</v>
          </cell>
          <cell r="D427">
            <v>0</v>
          </cell>
        </row>
        <row r="428">
          <cell r="A428" t="str">
            <v>Intangible Assets Acquired</v>
          </cell>
          <cell r="D428">
            <v>0</v>
          </cell>
        </row>
        <row r="429">
          <cell r="A429">
            <v>1710</v>
          </cell>
          <cell r="D429">
            <v>0</v>
          </cell>
        </row>
        <row r="430">
          <cell r="A430">
            <v>1710</v>
          </cell>
          <cell r="D430">
            <v>981147.25</v>
          </cell>
        </row>
        <row r="431">
          <cell r="A431">
            <v>1710</v>
          </cell>
          <cell r="D431">
            <v>-141753.76999999999</v>
          </cell>
        </row>
        <row r="432">
          <cell r="A432">
            <v>1710</v>
          </cell>
          <cell r="D432">
            <v>35492.629999999997</v>
          </cell>
        </row>
        <row r="433">
          <cell r="A433">
            <v>1710</v>
          </cell>
          <cell r="D433">
            <v>0</v>
          </cell>
        </row>
        <row r="434">
          <cell r="A434">
            <v>1710</v>
          </cell>
          <cell r="D434">
            <v>0</v>
          </cell>
        </row>
        <row r="435">
          <cell r="A435">
            <v>1710</v>
          </cell>
          <cell r="D435">
            <v>14103.03</v>
          </cell>
        </row>
        <row r="436">
          <cell r="A436">
            <v>1710</v>
          </cell>
          <cell r="D436">
            <v>-927349.79</v>
          </cell>
        </row>
        <row r="437">
          <cell r="A437">
            <v>1710</v>
          </cell>
          <cell r="D437">
            <v>0</v>
          </cell>
        </row>
        <row r="438">
          <cell r="A438">
            <v>1710</v>
          </cell>
          <cell r="D438">
            <v>16809.07</v>
          </cell>
        </row>
        <row r="439">
          <cell r="A439">
            <v>1710</v>
          </cell>
          <cell r="D439">
            <v>641514.06000000006</v>
          </cell>
        </row>
        <row r="440">
          <cell r="A440">
            <v>1710</v>
          </cell>
          <cell r="D440">
            <v>1775447</v>
          </cell>
        </row>
        <row r="441">
          <cell r="A441">
            <v>1710</v>
          </cell>
          <cell r="D441">
            <v>-225441</v>
          </cell>
        </row>
        <row r="442">
          <cell r="A442">
            <v>1710</v>
          </cell>
          <cell r="D442">
            <v>0</v>
          </cell>
        </row>
        <row r="443">
          <cell r="A443">
            <v>1710</v>
          </cell>
          <cell r="D443">
            <v>550438</v>
          </cell>
        </row>
        <row r="444">
          <cell r="A444">
            <v>1710</v>
          </cell>
          <cell r="D444">
            <v>17708</v>
          </cell>
        </row>
        <row r="445">
          <cell r="A445" t="str">
            <v>Investment in Sub</v>
          </cell>
          <cell r="D445">
            <v>2738114.48</v>
          </cell>
        </row>
        <row r="446">
          <cell r="A446">
            <v>1720</v>
          </cell>
          <cell r="D446">
            <v>419293.53</v>
          </cell>
        </row>
        <row r="447">
          <cell r="A447">
            <v>1720</v>
          </cell>
          <cell r="D447">
            <v>0</v>
          </cell>
        </row>
        <row r="448">
          <cell r="A448">
            <v>1720</v>
          </cell>
          <cell r="D448">
            <v>0</v>
          </cell>
        </row>
        <row r="449">
          <cell r="A449" t="str">
            <v>Goodwill</v>
          </cell>
          <cell r="D449">
            <v>419293.53</v>
          </cell>
        </row>
        <row r="451">
          <cell r="A451" t="str">
            <v>ASSETS</v>
          </cell>
          <cell r="D451">
            <v>11287072.399999997</v>
          </cell>
        </row>
        <row r="453">
          <cell r="A453">
            <v>2020</v>
          </cell>
          <cell r="D453">
            <v>0</v>
          </cell>
        </row>
        <row r="454">
          <cell r="A454">
            <v>2020</v>
          </cell>
          <cell r="D454">
            <v>0</v>
          </cell>
        </row>
        <row r="455">
          <cell r="A455" t="str">
            <v>Current Mat. - Long-term Obligations</v>
          </cell>
          <cell r="D455">
            <v>0</v>
          </cell>
        </row>
        <row r="456">
          <cell r="A456">
            <v>2040</v>
          </cell>
          <cell r="D456">
            <v>154280.73000000001</v>
          </cell>
        </row>
        <row r="457">
          <cell r="A457" t="str">
            <v>Current Mat. - Intercompany Debt</v>
          </cell>
          <cell r="D457">
            <v>154280.73000000001</v>
          </cell>
        </row>
        <row r="458">
          <cell r="A458">
            <v>2100</v>
          </cell>
          <cell r="D458">
            <v>0</v>
          </cell>
        </row>
        <row r="459">
          <cell r="A459">
            <v>2100</v>
          </cell>
          <cell r="D459">
            <v>0</v>
          </cell>
        </row>
        <row r="460">
          <cell r="A460">
            <v>2100</v>
          </cell>
          <cell r="D460">
            <v>0</v>
          </cell>
        </row>
        <row r="461">
          <cell r="A461">
            <v>2100</v>
          </cell>
          <cell r="D461">
            <v>272352.01</v>
          </cell>
        </row>
        <row r="462">
          <cell r="A462">
            <v>2100</v>
          </cell>
          <cell r="D462">
            <v>0</v>
          </cell>
        </row>
        <row r="463">
          <cell r="A463">
            <v>2100</v>
          </cell>
          <cell r="D463">
            <v>-47593.54</v>
          </cell>
        </row>
        <row r="464">
          <cell r="A464">
            <v>2100</v>
          </cell>
          <cell r="D464">
            <v>117550.98</v>
          </cell>
        </row>
        <row r="465">
          <cell r="A465">
            <v>2100</v>
          </cell>
          <cell r="D465">
            <v>-4258.1499999999996</v>
          </cell>
        </row>
        <row r="466">
          <cell r="A466" t="str">
            <v>Accts. Payable - Trade</v>
          </cell>
          <cell r="D466">
            <v>338051.3</v>
          </cell>
        </row>
        <row r="467">
          <cell r="A467">
            <v>2200</v>
          </cell>
          <cell r="D467">
            <v>0</v>
          </cell>
        </row>
        <row r="468">
          <cell r="A468">
            <v>2200</v>
          </cell>
          <cell r="D468">
            <v>75340.91</v>
          </cell>
        </row>
        <row r="469">
          <cell r="A469">
            <v>2200</v>
          </cell>
          <cell r="D469">
            <v>-42580.23</v>
          </cell>
        </row>
        <row r="470">
          <cell r="A470">
            <v>2200</v>
          </cell>
          <cell r="D470">
            <v>-25.07</v>
          </cell>
        </row>
        <row r="471">
          <cell r="A471">
            <v>2200</v>
          </cell>
          <cell r="D471">
            <v>0</v>
          </cell>
        </row>
        <row r="472">
          <cell r="A472">
            <v>2200</v>
          </cell>
          <cell r="D472">
            <v>0</v>
          </cell>
        </row>
        <row r="473">
          <cell r="A473">
            <v>2200</v>
          </cell>
          <cell r="D473">
            <v>0</v>
          </cell>
        </row>
        <row r="474">
          <cell r="A474">
            <v>2200</v>
          </cell>
          <cell r="D474">
            <v>-1173.6600000000001</v>
          </cell>
        </row>
        <row r="475">
          <cell r="A475">
            <v>2200</v>
          </cell>
          <cell r="D475">
            <v>-2418.85</v>
          </cell>
        </row>
        <row r="476">
          <cell r="A476">
            <v>2200</v>
          </cell>
          <cell r="D476">
            <v>0</v>
          </cell>
        </row>
        <row r="477">
          <cell r="A477">
            <v>2200</v>
          </cell>
          <cell r="D477">
            <v>-15259.38</v>
          </cell>
        </row>
        <row r="478">
          <cell r="A478">
            <v>2200</v>
          </cell>
          <cell r="D478">
            <v>0</v>
          </cell>
        </row>
        <row r="479">
          <cell r="A479">
            <v>2200</v>
          </cell>
          <cell r="D479">
            <v>0</v>
          </cell>
        </row>
        <row r="480">
          <cell r="A480" t="str">
            <v>Accrued P/R &amp; Employee Benefits</v>
          </cell>
          <cell r="D480">
            <v>13883.720000000003</v>
          </cell>
        </row>
        <row r="481">
          <cell r="A481">
            <v>2210</v>
          </cell>
          <cell r="D481">
            <v>0</v>
          </cell>
        </row>
        <row r="482">
          <cell r="A482">
            <v>2210</v>
          </cell>
          <cell r="D482">
            <v>173493.64</v>
          </cell>
        </row>
        <row r="483">
          <cell r="A483" t="str">
            <v>Accrued Vacation</v>
          </cell>
          <cell r="D483">
            <v>173493.64</v>
          </cell>
        </row>
        <row r="484">
          <cell r="A484">
            <v>2220</v>
          </cell>
          <cell r="D484">
            <v>0</v>
          </cell>
        </row>
        <row r="485">
          <cell r="A485">
            <v>2220</v>
          </cell>
          <cell r="D485">
            <v>0</v>
          </cell>
        </row>
        <row r="486">
          <cell r="A486">
            <v>2220</v>
          </cell>
          <cell r="D486">
            <v>95480.13</v>
          </cell>
        </row>
        <row r="487">
          <cell r="A487" t="str">
            <v>Accrued Bonus</v>
          </cell>
          <cell r="D487">
            <v>95480.13</v>
          </cell>
        </row>
        <row r="488">
          <cell r="A488">
            <v>2240</v>
          </cell>
          <cell r="D488">
            <v>0</v>
          </cell>
        </row>
        <row r="489">
          <cell r="A489" t="str">
            <v>Accrued Med &amp; Dental Ins. - Non-Corp. Plans</v>
          </cell>
          <cell r="D489">
            <v>0</v>
          </cell>
        </row>
        <row r="490">
          <cell r="A490">
            <v>2260</v>
          </cell>
          <cell r="D490">
            <v>107490.77</v>
          </cell>
        </row>
        <row r="491">
          <cell r="A491">
            <v>2260</v>
          </cell>
          <cell r="D491">
            <v>0</v>
          </cell>
        </row>
        <row r="492">
          <cell r="A492" t="str">
            <v>Accrued Payroll Taxes</v>
          </cell>
          <cell r="D492">
            <v>107490.77</v>
          </cell>
        </row>
        <row r="493">
          <cell r="A493">
            <v>2310</v>
          </cell>
          <cell r="D493">
            <v>-628649</v>
          </cell>
        </row>
        <row r="494">
          <cell r="A494" t="str">
            <v>Accrued Foreign Income Taxes</v>
          </cell>
          <cell r="D494">
            <v>-628649</v>
          </cell>
        </row>
        <row r="495">
          <cell r="A495">
            <v>2410</v>
          </cell>
          <cell r="D495">
            <v>0</v>
          </cell>
        </row>
        <row r="496">
          <cell r="A496" t="str">
            <v>Deferred Revenue</v>
          </cell>
          <cell r="D496">
            <v>0</v>
          </cell>
        </row>
        <row r="497">
          <cell r="A497">
            <v>2420</v>
          </cell>
          <cell r="D497">
            <v>-25000</v>
          </cell>
        </row>
        <row r="498">
          <cell r="A498" t="str">
            <v>Billings in Excess of Cost &amp; Fees</v>
          </cell>
          <cell r="D498">
            <v>-25000</v>
          </cell>
        </row>
        <row r="499">
          <cell r="A499">
            <v>2425</v>
          </cell>
          <cell r="D499">
            <v>8500</v>
          </cell>
        </row>
        <row r="500">
          <cell r="A500" t="str">
            <v>Accrued Interest</v>
          </cell>
          <cell r="D500">
            <v>8500</v>
          </cell>
        </row>
        <row r="501">
          <cell r="A501">
            <v>2430</v>
          </cell>
          <cell r="D501">
            <v>-17953.57</v>
          </cell>
        </row>
        <row r="502">
          <cell r="A502">
            <v>2430</v>
          </cell>
          <cell r="D502">
            <v>2066.75</v>
          </cell>
        </row>
        <row r="503">
          <cell r="A503" t="str">
            <v>Accrued Commissions</v>
          </cell>
          <cell r="D503">
            <v>-15886.82</v>
          </cell>
        </row>
        <row r="504">
          <cell r="A504">
            <v>2402</v>
          </cell>
          <cell r="D504">
            <v>0</v>
          </cell>
        </row>
        <row r="505">
          <cell r="A505" t="str">
            <v>Restructuring Reserves</v>
          </cell>
          <cell r="D505">
            <v>0</v>
          </cell>
        </row>
        <row r="506">
          <cell r="A506">
            <v>2405</v>
          </cell>
          <cell r="D506">
            <v>0</v>
          </cell>
        </row>
        <row r="507">
          <cell r="A507" t="str">
            <v>Accrued Installation &amp; Warranty Costs</v>
          </cell>
          <cell r="D507">
            <v>0</v>
          </cell>
        </row>
        <row r="508">
          <cell r="A508">
            <v>2435</v>
          </cell>
        </row>
        <row r="509">
          <cell r="A509" t="str">
            <v>Unrealised IC Profit</v>
          </cell>
          <cell r="D509">
            <v>0</v>
          </cell>
        </row>
        <row r="510">
          <cell r="A510">
            <v>2445</v>
          </cell>
          <cell r="D510">
            <v>63112.04</v>
          </cell>
        </row>
        <row r="511">
          <cell r="A511" t="str">
            <v>Accrued Audit Expense</v>
          </cell>
          <cell r="D511">
            <v>63112.04</v>
          </cell>
        </row>
        <row r="512">
          <cell r="A512">
            <v>2535</v>
          </cell>
          <cell r="D512">
            <v>0</v>
          </cell>
        </row>
        <row r="513">
          <cell r="A513">
            <v>2535</v>
          </cell>
          <cell r="D513">
            <v>16778.7</v>
          </cell>
        </row>
        <row r="514">
          <cell r="A514">
            <v>2535</v>
          </cell>
          <cell r="D514">
            <v>0</v>
          </cell>
        </row>
        <row r="515">
          <cell r="A515" t="str">
            <v>Other Accrued Expenses</v>
          </cell>
          <cell r="D515">
            <v>16778.7</v>
          </cell>
        </row>
        <row r="516">
          <cell r="A516">
            <v>2720</v>
          </cell>
          <cell r="D516">
            <v>0</v>
          </cell>
        </row>
        <row r="517">
          <cell r="A517" t="str">
            <v>Capital Lease Obligation</v>
          </cell>
          <cell r="D517">
            <v>0</v>
          </cell>
        </row>
        <row r="518">
          <cell r="A518">
            <v>2730</v>
          </cell>
          <cell r="D518">
            <v>0</v>
          </cell>
        </row>
        <row r="519">
          <cell r="A519" t="str">
            <v>LT Notes Payable</v>
          </cell>
          <cell r="D519">
            <v>0</v>
          </cell>
        </row>
        <row r="520">
          <cell r="A520">
            <v>3100</v>
          </cell>
          <cell r="D520">
            <v>58981</v>
          </cell>
        </row>
        <row r="521">
          <cell r="A521">
            <v>3100</v>
          </cell>
          <cell r="D521">
            <v>31759</v>
          </cell>
        </row>
        <row r="522">
          <cell r="A522" t="str">
            <v>Common Stock</v>
          </cell>
          <cell r="D522">
            <v>90740</v>
          </cell>
        </row>
        <row r="523">
          <cell r="A523">
            <v>3200</v>
          </cell>
          <cell r="D523">
            <v>10.43</v>
          </cell>
        </row>
        <row r="524">
          <cell r="A524">
            <v>3200</v>
          </cell>
          <cell r="D524">
            <v>1800000</v>
          </cell>
        </row>
        <row r="525">
          <cell r="A525" t="str">
            <v>Capital in Excess of Par Value</v>
          </cell>
          <cell r="D525">
            <v>1800010.43</v>
          </cell>
        </row>
        <row r="526">
          <cell r="A526" t="str">
            <v>RE_BB_CFWD</v>
          </cell>
          <cell r="D526">
            <v>9220704.4100000001</v>
          </cell>
        </row>
        <row r="527">
          <cell r="A527" t="str">
            <v>3310</v>
          </cell>
          <cell r="D527">
            <v>-340000</v>
          </cell>
        </row>
        <row r="528">
          <cell r="A528" t="str">
            <v>3310</v>
          </cell>
          <cell r="D528">
            <v>0</v>
          </cell>
        </row>
        <row r="529">
          <cell r="D529">
            <v>423887.39999999868</v>
          </cell>
        </row>
        <row r="530">
          <cell r="A530" t="str">
            <v>Retained Earnings</v>
          </cell>
          <cell r="D530">
            <v>9304591.8099999987</v>
          </cell>
        </row>
        <row r="531">
          <cell r="A531">
            <v>3500</v>
          </cell>
          <cell r="D531">
            <v>-209804</v>
          </cell>
        </row>
        <row r="532">
          <cell r="A532" t="str">
            <v>Cumulative Translation Adjustment</v>
          </cell>
          <cell r="D532">
            <v>-209804</v>
          </cell>
        </row>
        <row r="534">
          <cell r="A534" t="str">
            <v>LIABILITIES+EQUITIES</v>
          </cell>
          <cell r="D534">
            <v>11287073.449999999</v>
          </cell>
        </row>
        <row r="536">
          <cell r="A536" t="str">
            <v>4000.International</v>
          </cell>
          <cell r="D536">
            <v>2074.1799999999998</v>
          </cell>
        </row>
        <row r="537">
          <cell r="A537" t="str">
            <v>4000.International</v>
          </cell>
          <cell r="D537">
            <v>0</v>
          </cell>
        </row>
        <row r="538">
          <cell r="A538" t="str">
            <v>4000.International</v>
          </cell>
          <cell r="D538">
            <v>96103.72</v>
          </cell>
        </row>
        <row r="539">
          <cell r="A539" t="str">
            <v>4000.International</v>
          </cell>
          <cell r="D539">
            <v>26692</v>
          </cell>
        </row>
        <row r="540">
          <cell r="A540" t="str">
            <v>4000.International</v>
          </cell>
          <cell r="D540">
            <v>160582.26</v>
          </cell>
        </row>
        <row r="541">
          <cell r="A541" t="str">
            <v>4000.International</v>
          </cell>
          <cell r="D541">
            <v>0</v>
          </cell>
        </row>
        <row r="542">
          <cell r="A542" t="str">
            <v>4000.International</v>
          </cell>
          <cell r="D542">
            <v>513317.95</v>
          </cell>
        </row>
        <row r="543">
          <cell r="A543" t="str">
            <v>4000.International</v>
          </cell>
          <cell r="D543">
            <v>0</v>
          </cell>
        </row>
        <row r="544">
          <cell r="A544" t="str">
            <v>4000.International</v>
          </cell>
          <cell r="D544">
            <v>1152649.72</v>
          </cell>
        </row>
        <row r="545">
          <cell r="A545" t="str">
            <v>4000.International</v>
          </cell>
          <cell r="D545">
            <v>8431.74</v>
          </cell>
        </row>
        <row r="546">
          <cell r="A546" t="str">
            <v>4000.International</v>
          </cell>
          <cell r="D546">
            <v>23296.77</v>
          </cell>
        </row>
        <row r="547">
          <cell r="A547" t="str">
            <v>4000.International</v>
          </cell>
          <cell r="D547">
            <v>1762.31</v>
          </cell>
        </row>
        <row r="548">
          <cell r="A548" t="str">
            <v>4000.International</v>
          </cell>
          <cell r="D548">
            <v>0</v>
          </cell>
        </row>
        <row r="549">
          <cell r="A549" t="str">
            <v>4000.International</v>
          </cell>
          <cell r="D549">
            <v>255</v>
          </cell>
        </row>
        <row r="550">
          <cell r="A550" t="str">
            <v>4000.International</v>
          </cell>
          <cell r="D550">
            <v>0</v>
          </cell>
        </row>
        <row r="551">
          <cell r="A551" t="str">
            <v>4000.International</v>
          </cell>
          <cell r="D551">
            <v>97591.69</v>
          </cell>
        </row>
        <row r="552">
          <cell r="A552" t="str">
            <v>4000.International</v>
          </cell>
          <cell r="D552">
            <v>5394.92</v>
          </cell>
        </row>
        <row r="553">
          <cell r="A553" t="str">
            <v>4000.International</v>
          </cell>
          <cell r="D553">
            <v>143821.94</v>
          </cell>
        </row>
        <row r="554">
          <cell r="A554" t="str">
            <v>4000.International</v>
          </cell>
          <cell r="D554">
            <v>21901.71</v>
          </cell>
        </row>
        <row r="555">
          <cell r="A555" t="str">
            <v>4000.International</v>
          </cell>
          <cell r="D555">
            <v>0</v>
          </cell>
        </row>
        <row r="556">
          <cell r="A556" t="str">
            <v>4000.International</v>
          </cell>
          <cell r="D556">
            <v>2758.48</v>
          </cell>
        </row>
        <row r="557">
          <cell r="A557" t="str">
            <v>4000.International</v>
          </cell>
          <cell r="D557">
            <v>216013.84</v>
          </cell>
        </row>
        <row r="558">
          <cell r="A558" t="str">
            <v>4000.International</v>
          </cell>
          <cell r="D558">
            <v>145777.76999999999</v>
          </cell>
        </row>
        <row r="559">
          <cell r="A559" t="str">
            <v>4000.International</v>
          </cell>
          <cell r="D559">
            <v>388955.55</v>
          </cell>
        </row>
        <row r="560">
          <cell r="A560" t="str">
            <v>4000.International</v>
          </cell>
          <cell r="D560">
            <v>39633.46</v>
          </cell>
        </row>
        <row r="561">
          <cell r="A561" t="str">
            <v>4000.International</v>
          </cell>
          <cell r="D561">
            <v>3766.46</v>
          </cell>
        </row>
        <row r="562">
          <cell r="A562" t="str">
            <v>4000.International</v>
          </cell>
          <cell r="D562">
            <v>81543.09</v>
          </cell>
        </row>
        <row r="563">
          <cell r="A563" t="str">
            <v>4000.International</v>
          </cell>
          <cell r="D563">
            <v>344053.66</v>
          </cell>
        </row>
        <row r="564">
          <cell r="A564" t="str">
            <v>4000.International</v>
          </cell>
          <cell r="D564">
            <v>147609.07</v>
          </cell>
        </row>
        <row r="565">
          <cell r="A565" t="str">
            <v>4000.International</v>
          </cell>
          <cell r="D565">
            <v>2790.3</v>
          </cell>
        </row>
        <row r="566">
          <cell r="A566" t="str">
            <v>4000.International</v>
          </cell>
          <cell r="D566">
            <v>0</v>
          </cell>
        </row>
        <row r="567">
          <cell r="A567" t="str">
            <v>4000.International</v>
          </cell>
          <cell r="D567">
            <v>32863.39</v>
          </cell>
        </row>
        <row r="568">
          <cell r="A568" t="str">
            <v>4000.International</v>
          </cell>
          <cell r="D568">
            <v>0</v>
          </cell>
        </row>
        <row r="569">
          <cell r="A569" t="str">
            <v>4000.International</v>
          </cell>
          <cell r="D569">
            <v>9484.25</v>
          </cell>
        </row>
        <row r="570">
          <cell r="A570" t="str">
            <v>4000.International</v>
          </cell>
          <cell r="D570">
            <v>11754.42</v>
          </cell>
        </row>
        <row r="571">
          <cell r="A571" t="str">
            <v>4000.International</v>
          </cell>
          <cell r="D571">
            <v>211614.71</v>
          </cell>
        </row>
        <row r="572">
          <cell r="A572" t="str">
            <v>4000.International</v>
          </cell>
          <cell r="D572">
            <v>391841</v>
          </cell>
        </row>
        <row r="573">
          <cell r="A573" t="str">
            <v>4000.International</v>
          </cell>
          <cell r="D573">
            <v>0</v>
          </cell>
        </row>
        <row r="574">
          <cell r="A574" t="str">
            <v>4000.International</v>
          </cell>
          <cell r="D574">
            <v>238005.35</v>
          </cell>
        </row>
        <row r="575">
          <cell r="A575" t="str">
            <v>4000.International</v>
          </cell>
          <cell r="D575">
            <v>3249.48</v>
          </cell>
        </row>
        <row r="576">
          <cell r="A576" t="str">
            <v>4000.International</v>
          </cell>
          <cell r="D576">
            <v>0</v>
          </cell>
        </row>
        <row r="577">
          <cell r="A577" t="str">
            <v>4000.International</v>
          </cell>
          <cell r="D577">
            <v>57152.73</v>
          </cell>
        </row>
        <row r="578">
          <cell r="A578" t="str">
            <v>4000.International</v>
          </cell>
          <cell r="D578">
            <v>0</v>
          </cell>
        </row>
        <row r="579">
          <cell r="A579" t="str">
            <v>4000.International</v>
          </cell>
          <cell r="D579">
            <v>-74884.600000000006</v>
          </cell>
        </row>
        <row r="580">
          <cell r="A580" t="str">
            <v>4000.International</v>
          </cell>
          <cell r="D580">
            <v>655.12</v>
          </cell>
        </row>
        <row r="581">
          <cell r="A581" t="str">
            <v>4000.International</v>
          </cell>
          <cell r="D581">
            <v>189.1</v>
          </cell>
        </row>
        <row r="582">
          <cell r="A582" t="str">
            <v>Gross Sales</v>
          </cell>
          <cell r="D582">
            <v>4508702.54</v>
          </cell>
        </row>
        <row r="583">
          <cell r="A583" t="str">
            <v>4000.International</v>
          </cell>
          <cell r="D583">
            <v>0</v>
          </cell>
        </row>
        <row r="584">
          <cell r="A584" t="str">
            <v>4000.International</v>
          </cell>
          <cell r="D584">
            <v>0</v>
          </cell>
        </row>
        <row r="585">
          <cell r="A585" t="str">
            <v>4000.International</v>
          </cell>
          <cell r="D585">
            <v>646.88</v>
          </cell>
        </row>
        <row r="586">
          <cell r="A586" t="str">
            <v>4000.International</v>
          </cell>
          <cell r="D586">
            <v>0</v>
          </cell>
        </row>
        <row r="587">
          <cell r="A587" t="str">
            <v>4000.International</v>
          </cell>
          <cell r="D587">
            <v>-312311</v>
          </cell>
        </row>
        <row r="588">
          <cell r="A588" t="str">
            <v>4000.International</v>
          </cell>
          <cell r="D588">
            <v>65848.02</v>
          </cell>
        </row>
        <row r="589">
          <cell r="A589" t="str">
            <v>4000.International</v>
          </cell>
          <cell r="D589">
            <v>288.58</v>
          </cell>
        </row>
        <row r="590">
          <cell r="A590" t="str">
            <v>4000.International</v>
          </cell>
          <cell r="D590">
            <v>0</v>
          </cell>
        </row>
        <row r="591">
          <cell r="A591" t="str">
            <v>4000.International</v>
          </cell>
          <cell r="D591">
            <v>0</v>
          </cell>
        </row>
        <row r="592">
          <cell r="A592" t="str">
            <v>4000.International</v>
          </cell>
          <cell r="D592">
            <v>-604.67999999999995</v>
          </cell>
        </row>
        <row r="593">
          <cell r="A593" t="str">
            <v>Net Sales</v>
          </cell>
          <cell r="D593">
            <v>4262570.34</v>
          </cell>
        </row>
        <row r="595">
          <cell r="A595" t="str">
            <v>4100.Other</v>
          </cell>
          <cell r="D595">
            <v>0</v>
          </cell>
        </row>
        <row r="596">
          <cell r="A596" t="str">
            <v>4100.Other</v>
          </cell>
          <cell r="D596">
            <v>0</v>
          </cell>
        </row>
        <row r="597">
          <cell r="A597" t="str">
            <v>4100.Other</v>
          </cell>
          <cell r="D597">
            <v>-21952.42</v>
          </cell>
        </row>
        <row r="598">
          <cell r="A598" t="str">
            <v>4100.Other</v>
          </cell>
          <cell r="D598">
            <v>-15673.62</v>
          </cell>
        </row>
        <row r="599">
          <cell r="A599" t="str">
            <v>4100.Other</v>
          </cell>
          <cell r="D599">
            <v>-71422.39</v>
          </cell>
        </row>
        <row r="600">
          <cell r="A600" t="str">
            <v>4100.Other</v>
          </cell>
          <cell r="D600">
            <v>0</v>
          </cell>
        </row>
        <row r="601">
          <cell r="A601" t="str">
            <v>4100.Other</v>
          </cell>
          <cell r="D601">
            <v>-129891.87</v>
          </cell>
        </row>
        <row r="602">
          <cell r="A602" t="str">
            <v>4100.Other</v>
          </cell>
          <cell r="D602">
            <v>0</v>
          </cell>
        </row>
        <row r="603">
          <cell r="A603" t="str">
            <v>4100.Other</v>
          </cell>
          <cell r="D603">
            <v>-235460.33</v>
          </cell>
        </row>
        <row r="604">
          <cell r="A604" t="str">
            <v>4100.Other</v>
          </cell>
          <cell r="D604">
            <v>-3901.8</v>
          </cell>
        </row>
        <row r="605">
          <cell r="A605" t="str">
            <v>4100.Other</v>
          </cell>
          <cell r="D605">
            <v>-7638.3</v>
          </cell>
        </row>
        <row r="606">
          <cell r="A606" t="str">
            <v>4100.Other</v>
          </cell>
          <cell r="D606">
            <v>-632.78</v>
          </cell>
        </row>
        <row r="607">
          <cell r="A607" t="str">
            <v>4100.Other</v>
          </cell>
          <cell r="D607">
            <v>0</v>
          </cell>
        </row>
        <row r="608">
          <cell r="A608" t="str">
            <v>4100.Other</v>
          </cell>
          <cell r="D608">
            <v>-177.97</v>
          </cell>
        </row>
        <row r="609">
          <cell r="A609" t="str">
            <v>4100.Other</v>
          </cell>
          <cell r="D609">
            <v>0</v>
          </cell>
        </row>
        <row r="610">
          <cell r="A610" t="str">
            <v>4100.Other</v>
          </cell>
          <cell r="D610">
            <v>-47174.69</v>
          </cell>
        </row>
        <row r="611">
          <cell r="A611" t="str">
            <v>4100.Other</v>
          </cell>
          <cell r="D611">
            <v>-1301.27</v>
          </cell>
        </row>
        <row r="612">
          <cell r="A612" t="str">
            <v>4100.Other</v>
          </cell>
          <cell r="D612">
            <v>-33987.72</v>
          </cell>
        </row>
        <row r="613">
          <cell r="A613" t="str">
            <v>4100.Other</v>
          </cell>
          <cell r="D613">
            <v>-13833.15</v>
          </cell>
        </row>
        <row r="614">
          <cell r="A614" t="str">
            <v>4100.Other</v>
          </cell>
          <cell r="D614">
            <v>0</v>
          </cell>
        </row>
        <row r="615">
          <cell r="A615" t="str">
            <v>4100.Other</v>
          </cell>
          <cell r="D615">
            <v>-545.47</v>
          </cell>
        </row>
        <row r="616">
          <cell r="A616" t="str">
            <v>4100.Other</v>
          </cell>
          <cell r="D616">
            <v>-45263.14</v>
          </cell>
        </row>
        <row r="617">
          <cell r="A617" t="str">
            <v>4100.Other</v>
          </cell>
          <cell r="D617">
            <v>-26943.78</v>
          </cell>
        </row>
        <row r="618">
          <cell r="A618" t="str">
            <v>4100.Other</v>
          </cell>
          <cell r="D618">
            <v>-183223.15</v>
          </cell>
        </row>
        <row r="619">
          <cell r="A619" t="str">
            <v>4100.Other</v>
          </cell>
          <cell r="D619">
            <v>-24999.64</v>
          </cell>
        </row>
        <row r="620">
          <cell r="A620" t="str">
            <v>4100.Other</v>
          </cell>
          <cell r="D620">
            <v>-2569.8000000000002</v>
          </cell>
        </row>
        <row r="621">
          <cell r="A621" t="str">
            <v>4100.Other</v>
          </cell>
          <cell r="D621">
            <v>-12781.73</v>
          </cell>
        </row>
        <row r="622">
          <cell r="A622" t="str">
            <v>4100.Other</v>
          </cell>
          <cell r="D622">
            <v>-78077.86</v>
          </cell>
        </row>
        <row r="623">
          <cell r="A623" t="str">
            <v>4100.Other</v>
          </cell>
          <cell r="D623">
            <v>-23927.11</v>
          </cell>
        </row>
        <row r="624">
          <cell r="A624" t="str">
            <v>4100.Other</v>
          </cell>
          <cell r="D624">
            <v>-963.48</v>
          </cell>
        </row>
        <row r="625">
          <cell r="A625" t="str">
            <v>4100.Other</v>
          </cell>
          <cell r="D625">
            <v>0</v>
          </cell>
        </row>
        <row r="626">
          <cell r="A626" t="str">
            <v>4100.Other</v>
          </cell>
          <cell r="D626">
            <v>0</v>
          </cell>
        </row>
        <row r="627">
          <cell r="A627" t="str">
            <v>4100.Other</v>
          </cell>
          <cell r="D627">
            <v>0</v>
          </cell>
        </row>
        <row r="628">
          <cell r="A628" t="str">
            <v>4100.Other</v>
          </cell>
          <cell r="D628">
            <v>-4742.37</v>
          </cell>
        </row>
        <row r="629">
          <cell r="A629" t="str">
            <v>4100.Other</v>
          </cell>
          <cell r="D629">
            <v>-1786.4</v>
          </cell>
        </row>
        <row r="630">
          <cell r="A630" t="str">
            <v>4100.Other</v>
          </cell>
          <cell r="D630">
            <v>-74696.77</v>
          </cell>
        </row>
        <row r="631">
          <cell r="A631" t="str">
            <v>4100.Other</v>
          </cell>
          <cell r="D631">
            <v>0</v>
          </cell>
        </row>
        <row r="632">
          <cell r="A632" t="str">
            <v>4100.Other</v>
          </cell>
          <cell r="D632">
            <v>0</v>
          </cell>
        </row>
        <row r="633">
          <cell r="A633" t="str">
            <v>4100.Other</v>
          </cell>
          <cell r="D633">
            <v>-135834.51</v>
          </cell>
        </row>
        <row r="634">
          <cell r="A634" t="str">
            <v>4100.Other</v>
          </cell>
          <cell r="D634">
            <v>-1144.58</v>
          </cell>
        </row>
        <row r="635">
          <cell r="A635" t="str">
            <v>4100.Other</v>
          </cell>
          <cell r="D635">
            <v>0</v>
          </cell>
        </row>
        <row r="636">
          <cell r="A636" t="str">
            <v>4100.Other</v>
          </cell>
          <cell r="D636" t="str">
            <v xml:space="preserve">           </v>
          </cell>
        </row>
        <row r="637">
          <cell r="A637" t="str">
            <v>4100.Other</v>
          </cell>
          <cell r="D637">
            <v>0</v>
          </cell>
        </row>
        <row r="638">
          <cell r="A638" t="str">
            <v>4100.Other</v>
          </cell>
          <cell r="D638">
            <v>23976.799999999999</v>
          </cell>
        </row>
        <row r="639">
          <cell r="A639" t="str">
            <v>4100.Other</v>
          </cell>
          <cell r="D639">
            <v>-317.79000000000002</v>
          </cell>
        </row>
        <row r="640">
          <cell r="A640" t="str">
            <v>4100.Other</v>
          </cell>
          <cell r="D640">
            <v>-6354.64</v>
          </cell>
        </row>
        <row r="641">
          <cell r="A641" t="str">
            <v>4100.Other</v>
          </cell>
          <cell r="D641">
            <v>0</v>
          </cell>
        </row>
        <row r="642">
          <cell r="A642" t="str">
            <v>Total Direct Materials</v>
          </cell>
          <cell r="D642">
            <v>-1183243.73</v>
          </cell>
        </row>
        <row r="643">
          <cell r="A643" t="str">
            <v>4100.Other</v>
          </cell>
          <cell r="D643">
            <v>0</v>
          </cell>
        </row>
        <row r="644">
          <cell r="A644" t="str">
            <v>4100.Other</v>
          </cell>
          <cell r="D644">
            <v>0</v>
          </cell>
        </row>
        <row r="645">
          <cell r="A645" t="str">
            <v>4100.Other</v>
          </cell>
          <cell r="D645">
            <v>-29646.560000000001</v>
          </cell>
        </row>
        <row r="646">
          <cell r="A646" t="str">
            <v>4100.Other</v>
          </cell>
          <cell r="D646">
            <v>0</v>
          </cell>
        </row>
        <row r="647">
          <cell r="A647" t="str">
            <v>4100.Other</v>
          </cell>
          <cell r="D647">
            <v>-4537.32</v>
          </cell>
        </row>
        <row r="648">
          <cell r="A648" t="str">
            <v>4100.Other</v>
          </cell>
          <cell r="D648">
            <v>0</v>
          </cell>
        </row>
        <row r="649">
          <cell r="A649" t="str">
            <v>4100.Other</v>
          </cell>
          <cell r="D649">
            <v>-172.94</v>
          </cell>
        </row>
        <row r="650">
          <cell r="A650" t="str">
            <v>4100.Other</v>
          </cell>
          <cell r="D650">
            <v>0</v>
          </cell>
        </row>
        <row r="651">
          <cell r="A651" t="str">
            <v>4100.Other</v>
          </cell>
          <cell r="D651">
            <v>-57555.360000000001</v>
          </cell>
        </row>
        <row r="652">
          <cell r="A652" t="str">
            <v>4100.Other</v>
          </cell>
          <cell r="D652">
            <v>0</v>
          </cell>
        </row>
        <row r="653">
          <cell r="A653" t="str">
            <v>4100.Other</v>
          </cell>
          <cell r="D653">
            <v>-180.18</v>
          </cell>
        </row>
        <row r="654">
          <cell r="A654" t="str">
            <v>4100.Other</v>
          </cell>
          <cell r="D654">
            <v>-48.55</v>
          </cell>
        </row>
        <row r="655">
          <cell r="A655" t="str">
            <v>4100.Other</v>
          </cell>
          <cell r="D655">
            <v>0</v>
          </cell>
        </row>
        <row r="656">
          <cell r="A656" t="str">
            <v>4100.Other</v>
          </cell>
          <cell r="D656">
            <v>0</v>
          </cell>
        </row>
        <row r="657">
          <cell r="A657" t="str">
            <v>4100.Other</v>
          </cell>
          <cell r="D657">
            <v>0</v>
          </cell>
        </row>
        <row r="658">
          <cell r="A658" t="str">
            <v>4100.Other</v>
          </cell>
          <cell r="D658">
            <v>-12542.78</v>
          </cell>
        </row>
        <row r="659">
          <cell r="A659" t="str">
            <v>4100.Other</v>
          </cell>
          <cell r="D659">
            <v>-1069.95</v>
          </cell>
        </row>
        <row r="660">
          <cell r="A660" t="str">
            <v>4100.Other</v>
          </cell>
          <cell r="D660">
            <v>-28051.88</v>
          </cell>
        </row>
        <row r="661">
          <cell r="A661" t="str">
            <v>4100.Other</v>
          </cell>
          <cell r="D661">
            <v>0</v>
          </cell>
        </row>
        <row r="662">
          <cell r="A662" t="str">
            <v>4100.Other</v>
          </cell>
          <cell r="D662">
            <v>0</v>
          </cell>
        </row>
        <row r="663">
          <cell r="A663" t="str">
            <v>4100.Other</v>
          </cell>
          <cell r="D663">
            <v>-586.94000000000005</v>
          </cell>
        </row>
        <row r="664">
          <cell r="A664" t="str">
            <v>4100.Other</v>
          </cell>
          <cell r="D664">
            <v>-15883.52</v>
          </cell>
        </row>
        <row r="665">
          <cell r="A665" t="str">
            <v>4100.Other</v>
          </cell>
          <cell r="D665">
            <v>-19962.439999999999</v>
          </cell>
        </row>
        <row r="666">
          <cell r="A666" t="str">
            <v>4100.Other</v>
          </cell>
          <cell r="D666">
            <v>-21249.22</v>
          </cell>
        </row>
        <row r="667">
          <cell r="A667" t="str">
            <v>4100.Other</v>
          </cell>
          <cell r="D667">
            <v>-161.33000000000001</v>
          </cell>
        </row>
        <row r="668">
          <cell r="A668" t="str">
            <v>4100.Other</v>
          </cell>
          <cell r="D668">
            <v>0</v>
          </cell>
        </row>
        <row r="669">
          <cell r="A669" t="str">
            <v>4100.Other</v>
          </cell>
          <cell r="D669">
            <v>-10165.709999999999</v>
          </cell>
        </row>
        <row r="670">
          <cell r="A670" t="str">
            <v>4100.Other</v>
          </cell>
          <cell r="D670">
            <v>-41019.629999999997</v>
          </cell>
        </row>
        <row r="671">
          <cell r="A671" t="str">
            <v>4100.Other</v>
          </cell>
          <cell r="D671">
            <v>-25047.63</v>
          </cell>
        </row>
        <row r="672">
          <cell r="A672" t="str">
            <v>4100.Other</v>
          </cell>
          <cell r="D672">
            <v>0</v>
          </cell>
        </row>
        <row r="673">
          <cell r="A673" t="str">
            <v>4100.Other</v>
          </cell>
          <cell r="D673">
            <v>0</v>
          </cell>
        </row>
        <row r="674">
          <cell r="A674" t="str">
            <v>4100.Other</v>
          </cell>
          <cell r="D674">
            <v>0</v>
          </cell>
        </row>
        <row r="675">
          <cell r="A675" t="str">
            <v>4100.Other</v>
          </cell>
          <cell r="D675">
            <v>0</v>
          </cell>
        </row>
        <row r="676">
          <cell r="A676" t="str">
            <v>4100.Other</v>
          </cell>
          <cell r="D676">
            <v>-5184.45</v>
          </cell>
        </row>
        <row r="677">
          <cell r="A677" t="str">
            <v>4100.Other</v>
          </cell>
          <cell r="D677">
            <v>-1332.61</v>
          </cell>
        </row>
        <row r="678">
          <cell r="A678" t="str">
            <v>4100.Other</v>
          </cell>
          <cell r="D678">
            <v>-22371.119999999999</v>
          </cell>
        </row>
        <row r="679">
          <cell r="A679" t="str">
            <v>4100.Other</v>
          </cell>
          <cell r="D679">
            <v>0</v>
          </cell>
        </row>
        <row r="680">
          <cell r="A680" t="str">
            <v>4100.Other</v>
          </cell>
          <cell r="D680">
            <v>0</v>
          </cell>
        </row>
        <row r="681">
          <cell r="A681" t="str">
            <v>4100.Other</v>
          </cell>
          <cell r="D681">
            <v>-3492.8</v>
          </cell>
        </row>
        <row r="682">
          <cell r="A682" t="str">
            <v>4100.Other</v>
          </cell>
          <cell r="D682">
            <v>0</v>
          </cell>
        </row>
        <row r="683">
          <cell r="A683" t="str">
            <v>4100.Other</v>
          </cell>
          <cell r="D683">
            <v>0</v>
          </cell>
        </row>
        <row r="684">
          <cell r="A684" t="str">
            <v>4100.Other</v>
          </cell>
          <cell r="D684">
            <v>0</v>
          </cell>
        </row>
        <row r="685">
          <cell r="A685" t="str">
            <v>4100.Other</v>
          </cell>
          <cell r="D685">
            <v>0</v>
          </cell>
        </row>
        <row r="686">
          <cell r="A686" t="str">
            <v>4100.Other</v>
          </cell>
          <cell r="D686">
            <v>0</v>
          </cell>
        </row>
        <row r="687">
          <cell r="A687" t="str">
            <v>4100.Other</v>
          </cell>
          <cell r="D687">
            <v>0</v>
          </cell>
        </row>
        <row r="688">
          <cell r="A688" t="str">
            <v>4100.Other</v>
          </cell>
          <cell r="D688">
            <v>0</v>
          </cell>
        </row>
        <row r="689">
          <cell r="A689" t="str">
            <v>4100.Other</v>
          </cell>
          <cell r="D689">
            <v>0</v>
          </cell>
        </row>
        <row r="690">
          <cell r="A690" t="str">
            <v>Total Direct Burden</v>
          </cell>
          <cell r="D690">
            <v>-300262.91999999993</v>
          </cell>
        </row>
        <row r="691">
          <cell r="A691" t="str">
            <v>4100.Other</v>
          </cell>
          <cell r="D691">
            <v>0</v>
          </cell>
        </row>
        <row r="692">
          <cell r="A692" t="str">
            <v>4100.Other</v>
          </cell>
          <cell r="D692">
            <v>0</v>
          </cell>
        </row>
        <row r="693">
          <cell r="A693" t="str">
            <v>4100.Other</v>
          </cell>
          <cell r="D693">
            <v>-7075.44</v>
          </cell>
        </row>
        <row r="694">
          <cell r="A694" t="str">
            <v>4100.Other</v>
          </cell>
          <cell r="D694">
            <v>0</v>
          </cell>
        </row>
        <row r="695">
          <cell r="A695" t="str">
            <v>4100.Other</v>
          </cell>
          <cell r="D695">
            <v>-1638.61</v>
          </cell>
        </row>
        <row r="696">
          <cell r="A696" t="str">
            <v>4100.Other</v>
          </cell>
          <cell r="D696">
            <v>0</v>
          </cell>
        </row>
        <row r="697">
          <cell r="A697" t="str">
            <v>4100.Other</v>
          </cell>
          <cell r="D697">
            <v>-1623.28</v>
          </cell>
        </row>
        <row r="698">
          <cell r="A698" t="str">
            <v>4100.Other</v>
          </cell>
          <cell r="D698">
            <v>0</v>
          </cell>
        </row>
        <row r="699">
          <cell r="A699" t="str">
            <v>4100.Other</v>
          </cell>
          <cell r="D699">
            <v>-14358.17</v>
          </cell>
        </row>
        <row r="700">
          <cell r="A700" t="str">
            <v>4100.Other</v>
          </cell>
          <cell r="D700">
            <v>0</v>
          </cell>
        </row>
        <row r="701">
          <cell r="A701" t="str">
            <v>4100.Other</v>
          </cell>
          <cell r="D701">
            <v>0</v>
          </cell>
        </row>
        <row r="702">
          <cell r="A702" t="str">
            <v>4100.Other</v>
          </cell>
          <cell r="D702">
            <v>0</v>
          </cell>
        </row>
        <row r="703">
          <cell r="A703" t="str">
            <v>4100.Other</v>
          </cell>
          <cell r="D703">
            <v>0</v>
          </cell>
        </row>
        <row r="704">
          <cell r="A704" t="str">
            <v>4100.Other</v>
          </cell>
          <cell r="D704">
            <v>0</v>
          </cell>
        </row>
        <row r="705">
          <cell r="A705" t="str">
            <v>4100.Other</v>
          </cell>
          <cell r="D705">
            <v>0</v>
          </cell>
        </row>
        <row r="706">
          <cell r="A706" t="str">
            <v>4100.Other</v>
          </cell>
          <cell r="D706">
            <v>-1996.18</v>
          </cell>
        </row>
        <row r="707">
          <cell r="A707" t="str">
            <v>4100.Other</v>
          </cell>
          <cell r="D707">
            <v>-154.97</v>
          </cell>
        </row>
        <row r="708">
          <cell r="A708" t="str">
            <v>4100.Other</v>
          </cell>
          <cell r="D708">
            <v>-7048.01</v>
          </cell>
        </row>
        <row r="709">
          <cell r="A709" t="str">
            <v>4100.Other</v>
          </cell>
          <cell r="D709">
            <v>0</v>
          </cell>
        </row>
        <row r="710">
          <cell r="A710" t="str">
            <v>4100.Other</v>
          </cell>
          <cell r="D710">
            <v>0</v>
          </cell>
        </row>
        <row r="711">
          <cell r="A711" t="str">
            <v>4100.Other</v>
          </cell>
          <cell r="D711">
            <v>-274.22000000000003</v>
          </cell>
        </row>
        <row r="712">
          <cell r="A712" t="str">
            <v>4100.Other</v>
          </cell>
          <cell r="D712">
            <v>-995.13</v>
          </cell>
        </row>
        <row r="713">
          <cell r="A713" t="str">
            <v>4100.Other</v>
          </cell>
          <cell r="D713">
            <v>-4390.95</v>
          </cell>
        </row>
        <row r="714">
          <cell r="A714" t="str">
            <v>4100.Other</v>
          </cell>
          <cell r="D714">
            <v>-4781.3</v>
          </cell>
        </row>
        <row r="715">
          <cell r="A715" t="str">
            <v>4100.Other</v>
          </cell>
          <cell r="D715">
            <v>0</v>
          </cell>
        </row>
        <row r="716">
          <cell r="A716" t="str">
            <v>4100.Other</v>
          </cell>
          <cell r="D716">
            <v>0</v>
          </cell>
        </row>
        <row r="717">
          <cell r="A717" t="str">
            <v>4100.Other</v>
          </cell>
          <cell r="D717">
            <v>-450.14</v>
          </cell>
        </row>
        <row r="718">
          <cell r="A718" t="str">
            <v>4100.Other</v>
          </cell>
          <cell r="D718">
            <v>-268.67</v>
          </cell>
        </row>
        <row r="719">
          <cell r="A719" t="str">
            <v>4100.Other</v>
          </cell>
          <cell r="D719">
            <v>-2897.45</v>
          </cell>
        </row>
        <row r="720">
          <cell r="A720" t="str">
            <v>4100.Other</v>
          </cell>
          <cell r="D720">
            <v>0</v>
          </cell>
        </row>
        <row r="721">
          <cell r="A721" t="str">
            <v>4100.Other</v>
          </cell>
          <cell r="D721">
            <v>0</v>
          </cell>
        </row>
        <row r="722">
          <cell r="A722" t="str">
            <v>4100.Other</v>
          </cell>
          <cell r="D722">
            <v>6040.25</v>
          </cell>
        </row>
        <row r="723">
          <cell r="A723" t="str">
            <v>4100.Other</v>
          </cell>
          <cell r="D723">
            <v>0</v>
          </cell>
        </row>
        <row r="724">
          <cell r="A724" t="str">
            <v>4100.Other</v>
          </cell>
          <cell r="D724">
            <v>0</v>
          </cell>
        </row>
        <row r="725">
          <cell r="A725" t="str">
            <v>4100.Other</v>
          </cell>
          <cell r="D725">
            <v>-6.65</v>
          </cell>
        </row>
        <row r="726">
          <cell r="A726" t="str">
            <v>4100.Other</v>
          </cell>
          <cell r="D726">
            <v>-2399.87</v>
          </cell>
        </row>
        <row r="727">
          <cell r="A727" t="str">
            <v>4100.Other</v>
          </cell>
          <cell r="D727">
            <v>-121748.41</v>
          </cell>
        </row>
        <row r="728">
          <cell r="A728" t="str">
            <v>4100.Other</v>
          </cell>
          <cell r="D728">
            <v>0</v>
          </cell>
        </row>
        <row r="729">
          <cell r="A729" t="str">
            <v>4100.Other</v>
          </cell>
          <cell r="D729">
            <v>-113.05</v>
          </cell>
        </row>
        <row r="730">
          <cell r="A730" t="str">
            <v>4100.Other</v>
          </cell>
          <cell r="D730">
            <v>0</v>
          </cell>
        </row>
        <row r="731">
          <cell r="A731" t="str">
            <v>4100.Other</v>
          </cell>
          <cell r="D731">
            <v>0</v>
          </cell>
        </row>
        <row r="732">
          <cell r="A732" t="str">
            <v>4100.Other</v>
          </cell>
          <cell r="D732">
            <v>0</v>
          </cell>
        </row>
        <row r="733">
          <cell r="A733" t="str">
            <v>4100.Other</v>
          </cell>
          <cell r="D733">
            <v>0</v>
          </cell>
        </row>
        <row r="734">
          <cell r="A734" t="str">
            <v>4100.Other</v>
          </cell>
          <cell r="D734">
            <v>0</v>
          </cell>
        </row>
        <row r="735">
          <cell r="A735" t="str">
            <v>4100.Other</v>
          </cell>
          <cell r="D735">
            <v>0</v>
          </cell>
        </row>
        <row r="736">
          <cell r="A736" t="str">
            <v>4100.Other</v>
          </cell>
          <cell r="D736">
            <v>0</v>
          </cell>
        </row>
        <row r="737">
          <cell r="A737" t="str">
            <v>4100.Other</v>
          </cell>
          <cell r="D737">
            <v>0</v>
          </cell>
        </row>
        <row r="738">
          <cell r="A738" t="str">
            <v>Total Services</v>
          </cell>
          <cell r="D738">
            <v>-166180.25</v>
          </cell>
        </row>
        <row r="739">
          <cell r="A739" t="str">
            <v>4100.Other</v>
          </cell>
          <cell r="D739">
            <v>-19125.2</v>
          </cell>
        </row>
        <row r="740">
          <cell r="A740" t="str">
            <v>4100.Other</v>
          </cell>
          <cell r="D740">
            <v>0</v>
          </cell>
        </row>
        <row r="741">
          <cell r="A741" t="str">
            <v>4100.Other</v>
          </cell>
          <cell r="D741">
            <v>-3155.4</v>
          </cell>
        </row>
        <row r="742">
          <cell r="A742" t="str">
            <v>4100.Other</v>
          </cell>
          <cell r="D742">
            <v>0</v>
          </cell>
        </row>
        <row r="743">
          <cell r="A743" t="str">
            <v>4100.Other</v>
          </cell>
          <cell r="D743">
            <v>-2889.43</v>
          </cell>
        </row>
        <row r="744">
          <cell r="A744" t="str">
            <v>4100.Other</v>
          </cell>
          <cell r="D744">
            <v>0</v>
          </cell>
        </row>
        <row r="745">
          <cell r="A745" t="str">
            <v>4100.Other</v>
          </cell>
          <cell r="D745">
            <v>-5742.46</v>
          </cell>
        </row>
        <row r="746">
          <cell r="A746" t="str">
            <v>4100.Other</v>
          </cell>
          <cell r="D746">
            <v>0</v>
          </cell>
        </row>
        <row r="747">
          <cell r="A747" t="str">
            <v>4100.Other</v>
          </cell>
          <cell r="D747">
            <v>-9435.7099999999991</v>
          </cell>
        </row>
        <row r="748">
          <cell r="A748" t="str">
            <v>4100.Other</v>
          </cell>
          <cell r="D748">
            <v>158.16</v>
          </cell>
        </row>
        <row r="749">
          <cell r="A749" t="str">
            <v>4100.Other</v>
          </cell>
          <cell r="D749">
            <v>0</v>
          </cell>
        </row>
        <row r="750">
          <cell r="A750" t="str">
            <v>4100.Other</v>
          </cell>
          <cell r="D750">
            <v>0</v>
          </cell>
        </row>
        <row r="751">
          <cell r="A751" t="str">
            <v>4100.Other</v>
          </cell>
          <cell r="D751">
            <v>0</v>
          </cell>
        </row>
        <row r="752">
          <cell r="A752" t="str">
            <v>4100.Other</v>
          </cell>
          <cell r="D752">
            <v>0</v>
          </cell>
        </row>
        <row r="753">
          <cell r="A753" t="str">
            <v>4100.Other</v>
          </cell>
          <cell r="D753">
            <v>0</v>
          </cell>
        </row>
        <row r="754">
          <cell r="A754" t="str">
            <v>4100.Other</v>
          </cell>
          <cell r="D754">
            <v>0</v>
          </cell>
        </row>
        <row r="755">
          <cell r="A755" t="str">
            <v>4100.Other</v>
          </cell>
          <cell r="D755">
            <v>0</v>
          </cell>
        </row>
        <row r="756">
          <cell r="A756" t="str">
            <v>4100.Other</v>
          </cell>
          <cell r="D756">
            <v>3207.93</v>
          </cell>
        </row>
        <row r="757">
          <cell r="A757" t="str">
            <v>4100.Other</v>
          </cell>
          <cell r="D757">
            <v>245.8</v>
          </cell>
        </row>
        <row r="758">
          <cell r="A758" t="str">
            <v>4100.Other</v>
          </cell>
          <cell r="D758">
            <v>0</v>
          </cell>
        </row>
        <row r="759">
          <cell r="A759" t="str">
            <v>4100.Other</v>
          </cell>
          <cell r="D759">
            <v>0</v>
          </cell>
        </row>
        <row r="760">
          <cell r="A760" t="str">
            <v>4100.Other</v>
          </cell>
          <cell r="D760">
            <v>82.7</v>
          </cell>
        </row>
        <row r="761">
          <cell r="A761" t="str">
            <v>4100.Other</v>
          </cell>
          <cell r="D761">
            <v>-209.55</v>
          </cell>
        </row>
        <row r="762">
          <cell r="A762" t="str">
            <v>4100.Other</v>
          </cell>
          <cell r="D762">
            <v>0</v>
          </cell>
        </row>
        <row r="763">
          <cell r="A763" t="str">
            <v>4100.Other</v>
          </cell>
          <cell r="D763">
            <v>326.25</v>
          </cell>
        </row>
        <row r="764">
          <cell r="A764" t="str">
            <v>4100.Other</v>
          </cell>
          <cell r="D764">
            <v>0</v>
          </cell>
        </row>
        <row r="765">
          <cell r="A765" t="str">
            <v>4100.Other</v>
          </cell>
          <cell r="D765">
            <v>-345.99</v>
          </cell>
        </row>
        <row r="766">
          <cell r="A766" t="str">
            <v>4100.Other</v>
          </cell>
          <cell r="D766">
            <v>-284.14</v>
          </cell>
        </row>
        <row r="767">
          <cell r="A767" t="str">
            <v>4100.Other</v>
          </cell>
          <cell r="D767">
            <v>0</v>
          </cell>
        </row>
        <row r="768">
          <cell r="A768" t="str">
            <v>4100.Other</v>
          </cell>
          <cell r="D768">
            <v>0</v>
          </cell>
        </row>
        <row r="769">
          <cell r="A769" t="str">
            <v>4100.Other</v>
          </cell>
          <cell r="D769">
            <v>-398.86</v>
          </cell>
        </row>
        <row r="770">
          <cell r="A770" t="str">
            <v>4100.Other</v>
          </cell>
          <cell r="D770">
            <v>0</v>
          </cell>
        </row>
        <row r="771">
          <cell r="A771" t="str">
            <v>4100.Other</v>
          </cell>
          <cell r="D771">
            <v>0</v>
          </cell>
        </row>
        <row r="772">
          <cell r="A772" t="str">
            <v>4100.Other</v>
          </cell>
          <cell r="D772">
            <v>0</v>
          </cell>
        </row>
        <row r="773">
          <cell r="A773" t="str">
            <v>4100.Other</v>
          </cell>
          <cell r="D773">
            <v>0</v>
          </cell>
        </row>
        <row r="774">
          <cell r="A774" t="str">
            <v>4100.Other</v>
          </cell>
          <cell r="D774">
            <v>203.77</v>
          </cell>
        </row>
        <row r="775">
          <cell r="A775" t="str">
            <v>4100.Other</v>
          </cell>
          <cell r="D775">
            <v>0</v>
          </cell>
        </row>
        <row r="776">
          <cell r="A776" t="str">
            <v>4100.Other</v>
          </cell>
          <cell r="D776">
            <v>0</v>
          </cell>
        </row>
        <row r="777">
          <cell r="A777" t="str">
            <v>4100.Other</v>
          </cell>
          <cell r="D777">
            <v>-789.11</v>
          </cell>
        </row>
        <row r="778">
          <cell r="A778" t="str">
            <v>4100.Other</v>
          </cell>
          <cell r="D778">
            <v>0</v>
          </cell>
        </row>
        <row r="779">
          <cell r="A779" t="str">
            <v>4100.Other</v>
          </cell>
          <cell r="D779">
            <v>7805.76</v>
          </cell>
        </row>
        <row r="780">
          <cell r="A780" t="str">
            <v>4100.Other</v>
          </cell>
          <cell r="D780">
            <v>0</v>
          </cell>
        </row>
        <row r="781">
          <cell r="A781" t="str">
            <v>4100.Other</v>
          </cell>
          <cell r="D781">
            <v>0</v>
          </cell>
        </row>
        <row r="782">
          <cell r="A782" t="str">
            <v>4100.Other</v>
          </cell>
          <cell r="D782">
            <v>0</v>
          </cell>
        </row>
        <row r="783">
          <cell r="A783" t="str">
            <v>4100.Other</v>
          </cell>
          <cell r="D783">
            <v>-22869.84</v>
          </cell>
        </row>
        <row r="784">
          <cell r="A784" t="str">
            <v>4100.Other</v>
          </cell>
          <cell r="D784">
            <v>0</v>
          </cell>
        </row>
        <row r="785">
          <cell r="A785" t="str">
            <v>4100.Other</v>
          </cell>
          <cell r="D785">
            <v>0</v>
          </cell>
        </row>
        <row r="786">
          <cell r="A786" t="str">
            <v>Total Adjustment to Inventory</v>
          </cell>
          <cell r="D786">
            <v>-53215.319999999992</v>
          </cell>
        </row>
        <row r="787">
          <cell r="A787" t="str">
            <v>4100.Other</v>
          </cell>
          <cell r="D787">
            <v>0</v>
          </cell>
        </row>
        <row r="788">
          <cell r="A788" t="str">
            <v>4100.Other</v>
          </cell>
          <cell r="D788">
            <v>0</v>
          </cell>
        </row>
        <row r="789">
          <cell r="A789" t="str">
            <v>4100.Other</v>
          </cell>
          <cell r="D789">
            <v>0</v>
          </cell>
        </row>
        <row r="790">
          <cell r="A790" t="str">
            <v>4100.Other</v>
          </cell>
          <cell r="D790">
            <v>0</v>
          </cell>
        </row>
        <row r="791">
          <cell r="A791" t="str">
            <v>4100.Other</v>
          </cell>
          <cell r="D791">
            <v>0</v>
          </cell>
        </row>
        <row r="792">
          <cell r="A792" t="str">
            <v>4100.Other</v>
          </cell>
          <cell r="D792">
            <v>0</v>
          </cell>
        </row>
        <row r="793">
          <cell r="A793" t="str">
            <v>4100.Other</v>
          </cell>
          <cell r="D793">
            <v>0</v>
          </cell>
        </row>
        <row r="794">
          <cell r="A794" t="str">
            <v>4100.Other</v>
          </cell>
          <cell r="D794">
            <v>0</v>
          </cell>
        </row>
        <row r="795">
          <cell r="A795" t="str">
            <v>4100.Other</v>
          </cell>
          <cell r="D795">
            <v>0</v>
          </cell>
        </row>
        <row r="796">
          <cell r="A796" t="str">
            <v>4100.Other</v>
          </cell>
          <cell r="D796">
            <v>179.6</v>
          </cell>
        </row>
        <row r="797">
          <cell r="A797" t="str">
            <v>4100.Other</v>
          </cell>
          <cell r="D797">
            <v>0</v>
          </cell>
        </row>
        <row r="798">
          <cell r="A798" t="str">
            <v>4100.Other</v>
          </cell>
          <cell r="D798">
            <v>327.23</v>
          </cell>
        </row>
        <row r="799">
          <cell r="A799" t="str">
            <v>4100.Other</v>
          </cell>
          <cell r="D799">
            <v>0</v>
          </cell>
        </row>
        <row r="800">
          <cell r="A800" t="str">
            <v>4100.Other</v>
          </cell>
          <cell r="D800">
            <v>324.7</v>
          </cell>
        </row>
        <row r="801">
          <cell r="A801" t="str">
            <v>4100.Other</v>
          </cell>
          <cell r="D801">
            <v>0</v>
          </cell>
        </row>
        <row r="802">
          <cell r="A802" t="str">
            <v>4100.Other</v>
          </cell>
          <cell r="D802">
            <v>-2223.92</v>
          </cell>
        </row>
        <row r="803">
          <cell r="A803" t="str">
            <v>4100.Other</v>
          </cell>
          <cell r="D803">
            <v>0</v>
          </cell>
        </row>
        <row r="804">
          <cell r="A804" t="str">
            <v>4100.Other</v>
          </cell>
          <cell r="D804">
            <v>-153.78</v>
          </cell>
        </row>
        <row r="805">
          <cell r="A805" t="str">
            <v>4100.Other</v>
          </cell>
          <cell r="D805">
            <v>0.01</v>
          </cell>
        </row>
        <row r="806">
          <cell r="A806" t="str">
            <v>4100.Other</v>
          </cell>
          <cell r="D806">
            <v>0</v>
          </cell>
        </row>
        <row r="807">
          <cell r="A807" t="str">
            <v>4100.Other</v>
          </cell>
          <cell r="D807">
            <v>0</v>
          </cell>
        </row>
        <row r="808">
          <cell r="A808" t="str">
            <v>4100.Other</v>
          </cell>
          <cell r="D808">
            <v>0</v>
          </cell>
        </row>
        <row r="809">
          <cell r="A809" t="str">
            <v>4100.Other</v>
          </cell>
          <cell r="D809">
            <v>170.42</v>
          </cell>
        </row>
        <row r="810">
          <cell r="A810" t="str">
            <v>4100.Other</v>
          </cell>
          <cell r="D810">
            <v>0</v>
          </cell>
        </row>
        <row r="811">
          <cell r="A811" t="str">
            <v>4100.Other</v>
          </cell>
          <cell r="D811">
            <v>-49.33</v>
          </cell>
        </row>
        <row r="812">
          <cell r="A812" t="str">
            <v>4100.Other</v>
          </cell>
          <cell r="D812">
            <v>0</v>
          </cell>
        </row>
        <row r="813">
          <cell r="A813" t="str">
            <v>4100.Other</v>
          </cell>
          <cell r="D813">
            <v>0</v>
          </cell>
        </row>
        <row r="814">
          <cell r="A814" t="str">
            <v>4100.Other</v>
          </cell>
          <cell r="D814">
            <v>-0.01</v>
          </cell>
        </row>
        <row r="815">
          <cell r="A815" t="str">
            <v>4100.Other</v>
          </cell>
          <cell r="D815">
            <v>-162.08000000000001</v>
          </cell>
        </row>
        <row r="816">
          <cell r="A816" t="str">
            <v>4100.Other</v>
          </cell>
          <cell r="D816">
            <v>-1637.91</v>
          </cell>
        </row>
        <row r="817">
          <cell r="A817" t="str">
            <v>4100.Other</v>
          </cell>
          <cell r="D817">
            <v>-599.05999999999995</v>
          </cell>
        </row>
        <row r="818">
          <cell r="A818" t="str">
            <v>4100.Other</v>
          </cell>
          <cell r="D818">
            <v>-0.01</v>
          </cell>
        </row>
        <row r="819">
          <cell r="A819" t="str">
            <v>4100.Other</v>
          </cell>
          <cell r="D819">
            <v>-0.01</v>
          </cell>
        </row>
        <row r="820">
          <cell r="A820" t="str">
            <v>4100.Other</v>
          </cell>
          <cell r="D820">
            <v>37.340000000000003</v>
          </cell>
        </row>
        <row r="821">
          <cell r="A821" t="str">
            <v>4100.Other</v>
          </cell>
          <cell r="D821">
            <v>-601.5</v>
          </cell>
        </row>
        <row r="822">
          <cell r="A822" t="str">
            <v>4100.Other</v>
          </cell>
          <cell r="D822">
            <v>-53.66</v>
          </cell>
        </row>
        <row r="823">
          <cell r="A823" t="str">
            <v>4100.Other</v>
          </cell>
          <cell r="D823">
            <v>0</v>
          </cell>
        </row>
        <row r="824">
          <cell r="A824" t="str">
            <v>4100.Other</v>
          </cell>
          <cell r="D824">
            <v>0</v>
          </cell>
        </row>
        <row r="825">
          <cell r="A825" t="str">
            <v>4100.Other</v>
          </cell>
          <cell r="D825">
            <v>0</v>
          </cell>
        </row>
        <row r="826">
          <cell r="A826" t="str">
            <v>4100.Other</v>
          </cell>
          <cell r="D826">
            <v>0</v>
          </cell>
        </row>
        <row r="827">
          <cell r="A827" t="str">
            <v>4100.Other</v>
          </cell>
          <cell r="D827">
            <v>-0.01</v>
          </cell>
        </row>
        <row r="828">
          <cell r="A828" t="str">
            <v>4100.Other</v>
          </cell>
          <cell r="D828">
            <v>-79.430000000000007</v>
          </cell>
        </row>
        <row r="829">
          <cell r="A829" t="str">
            <v>4100.Other</v>
          </cell>
          <cell r="D829">
            <v>-134.27000000000001</v>
          </cell>
        </row>
        <row r="830">
          <cell r="A830" t="str">
            <v>4100.Other</v>
          </cell>
          <cell r="D830">
            <v>0</v>
          </cell>
        </row>
        <row r="831">
          <cell r="A831" t="str">
            <v>4100.Other</v>
          </cell>
          <cell r="D831">
            <v>0</v>
          </cell>
        </row>
        <row r="832">
          <cell r="A832" t="str">
            <v>4100.Other</v>
          </cell>
          <cell r="D832">
            <v>-7738.37</v>
          </cell>
        </row>
        <row r="833">
          <cell r="A833" t="str">
            <v>4100.Other</v>
          </cell>
          <cell r="D833">
            <v>0</v>
          </cell>
        </row>
        <row r="834">
          <cell r="A834" t="str">
            <v>4100.Other</v>
          </cell>
          <cell r="D834">
            <v>0</v>
          </cell>
        </row>
        <row r="835">
          <cell r="A835" t="str">
            <v>4100.Other</v>
          </cell>
          <cell r="D835">
            <v>-10572.59</v>
          </cell>
        </row>
        <row r="836">
          <cell r="A836" t="str">
            <v>4100.Other</v>
          </cell>
          <cell r="D836">
            <v>0</v>
          </cell>
        </row>
        <row r="837">
          <cell r="A837" t="str">
            <v>4100.Other</v>
          </cell>
          <cell r="D837">
            <v>0</v>
          </cell>
        </row>
        <row r="838">
          <cell r="A838" t="str">
            <v>4100.Other</v>
          </cell>
          <cell r="D838">
            <v>0</v>
          </cell>
        </row>
        <row r="839">
          <cell r="A839" t="str">
            <v>4100.Other</v>
          </cell>
          <cell r="D839">
            <v>0</v>
          </cell>
        </row>
        <row r="840">
          <cell r="A840" t="str">
            <v>4100.Other</v>
          </cell>
          <cell r="D840">
            <v>0</v>
          </cell>
        </row>
        <row r="841">
          <cell r="A841" t="str">
            <v>Total Variances Production Material</v>
          </cell>
          <cell r="D841">
            <v>-22966.639999999999</v>
          </cell>
        </row>
        <row r="842">
          <cell r="A842" t="str">
            <v>4100.Other</v>
          </cell>
          <cell r="D842">
            <v>0</v>
          </cell>
        </row>
        <row r="843">
          <cell r="A843" t="str">
            <v>4100.Other</v>
          </cell>
          <cell r="D843">
            <v>0</v>
          </cell>
        </row>
        <row r="844">
          <cell r="A844" t="str">
            <v>4100.Other</v>
          </cell>
          <cell r="D844">
            <v>26046.89</v>
          </cell>
        </row>
        <row r="845">
          <cell r="A845" t="str">
            <v>4100.Other</v>
          </cell>
          <cell r="D845">
            <v>0</v>
          </cell>
        </row>
        <row r="846">
          <cell r="A846" t="str">
            <v>4100.Other</v>
          </cell>
          <cell r="D846">
            <v>3895.73</v>
          </cell>
        </row>
        <row r="847">
          <cell r="A847" t="str">
            <v>4100.Other</v>
          </cell>
          <cell r="D847">
            <v>0</v>
          </cell>
        </row>
        <row r="848">
          <cell r="A848" t="str">
            <v>4100.Other</v>
          </cell>
          <cell r="D848">
            <v>633.34</v>
          </cell>
        </row>
        <row r="849">
          <cell r="A849" t="str">
            <v>4100.Other</v>
          </cell>
          <cell r="D849">
            <v>0</v>
          </cell>
        </row>
        <row r="850">
          <cell r="A850" t="str">
            <v>4100.Other</v>
          </cell>
          <cell r="D850">
            <v>180403.75</v>
          </cell>
        </row>
        <row r="851">
          <cell r="A851" t="str">
            <v>4100.Other</v>
          </cell>
          <cell r="D851">
            <v>0</v>
          </cell>
        </row>
        <row r="852">
          <cell r="A852" t="str">
            <v>4100.Other</v>
          </cell>
          <cell r="D852">
            <v>179.28</v>
          </cell>
        </row>
        <row r="853">
          <cell r="A853" t="str">
            <v>4100.Other</v>
          </cell>
          <cell r="D853">
            <v>4.68</v>
          </cell>
        </row>
        <row r="854">
          <cell r="A854" t="str">
            <v>4100.Other</v>
          </cell>
          <cell r="D854">
            <v>0</v>
          </cell>
        </row>
        <row r="855">
          <cell r="A855" t="str">
            <v>4100.Other</v>
          </cell>
          <cell r="D855">
            <v>0</v>
          </cell>
        </row>
        <row r="856">
          <cell r="A856" t="str">
            <v>4100.Other</v>
          </cell>
          <cell r="D856">
            <v>0</v>
          </cell>
        </row>
        <row r="857">
          <cell r="A857" t="str">
            <v>4100.Other</v>
          </cell>
          <cell r="D857">
            <v>-9485.64</v>
          </cell>
        </row>
        <row r="858">
          <cell r="A858" t="str">
            <v>4100.Other</v>
          </cell>
          <cell r="D858">
            <v>40.450000000000003</v>
          </cell>
        </row>
        <row r="859">
          <cell r="A859" t="str">
            <v>4100.Other</v>
          </cell>
          <cell r="D859">
            <v>1068.22</v>
          </cell>
        </row>
        <row r="860">
          <cell r="A860" t="str">
            <v>4100.Other</v>
          </cell>
          <cell r="D860">
            <v>0</v>
          </cell>
        </row>
        <row r="861">
          <cell r="A861" t="str">
            <v>4100.Other</v>
          </cell>
          <cell r="D861">
            <v>0</v>
          </cell>
        </row>
        <row r="862">
          <cell r="A862" t="str">
            <v>4100.Other</v>
          </cell>
          <cell r="D862">
            <v>-385.46</v>
          </cell>
        </row>
        <row r="863">
          <cell r="A863" t="str">
            <v>4100.Other</v>
          </cell>
          <cell r="D863">
            <v>1676.44</v>
          </cell>
        </row>
        <row r="864">
          <cell r="A864" t="str">
            <v>4100.Other</v>
          </cell>
          <cell r="D864">
            <v>2937.87</v>
          </cell>
        </row>
        <row r="865">
          <cell r="A865" t="str">
            <v>4100.Other</v>
          </cell>
          <cell r="D865">
            <v>1888.22</v>
          </cell>
        </row>
        <row r="866">
          <cell r="A866" t="str">
            <v>4100.Other</v>
          </cell>
          <cell r="D866">
            <v>135.63</v>
          </cell>
        </row>
        <row r="867">
          <cell r="A867" t="str">
            <v>4100.Other</v>
          </cell>
          <cell r="D867">
            <v>31.08</v>
          </cell>
        </row>
        <row r="868">
          <cell r="A868" t="str">
            <v>4100.Other</v>
          </cell>
          <cell r="D868">
            <v>1967.78</v>
          </cell>
        </row>
        <row r="869">
          <cell r="A869" t="str">
            <v>4100.Other</v>
          </cell>
          <cell r="D869">
            <v>10478.549999999999</v>
          </cell>
        </row>
        <row r="870">
          <cell r="A870" t="str">
            <v>4100.Other</v>
          </cell>
          <cell r="D870">
            <v>2375.16</v>
          </cell>
        </row>
        <row r="871">
          <cell r="A871" t="str">
            <v>4100.Other</v>
          </cell>
          <cell r="D871">
            <v>0</v>
          </cell>
        </row>
        <row r="872">
          <cell r="A872" t="str">
            <v>4100.Other</v>
          </cell>
          <cell r="D872">
            <v>0</v>
          </cell>
        </row>
        <row r="873">
          <cell r="A873" t="str">
            <v>4100.Other</v>
          </cell>
          <cell r="D873">
            <v>0</v>
          </cell>
        </row>
        <row r="874">
          <cell r="A874" t="str">
            <v>4100.Other</v>
          </cell>
          <cell r="D874">
            <v>0</v>
          </cell>
        </row>
        <row r="875">
          <cell r="A875" t="str">
            <v>4100.Other</v>
          </cell>
          <cell r="D875">
            <v>243.62</v>
          </cell>
        </row>
        <row r="876">
          <cell r="A876" t="str">
            <v>4100.Other</v>
          </cell>
          <cell r="D876">
            <v>26.38</v>
          </cell>
        </row>
        <row r="877">
          <cell r="A877" t="str">
            <v>4100.Other</v>
          </cell>
          <cell r="D877">
            <v>203.95</v>
          </cell>
        </row>
        <row r="878">
          <cell r="A878" t="str">
            <v>4100.Other</v>
          </cell>
          <cell r="D878">
            <v>0</v>
          </cell>
        </row>
        <row r="879">
          <cell r="A879" t="str">
            <v>4100.Other</v>
          </cell>
          <cell r="D879">
            <v>0</v>
          </cell>
        </row>
        <row r="880">
          <cell r="A880" t="str">
            <v>4100.Other</v>
          </cell>
          <cell r="D880">
            <v>-205.96</v>
          </cell>
        </row>
        <row r="881">
          <cell r="A881" t="str">
            <v>4100.Other</v>
          </cell>
          <cell r="D881">
            <v>0</v>
          </cell>
        </row>
        <row r="882">
          <cell r="A882" t="str">
            <v>4100.Other</v>
          </cell>
          <cell r="D882">
            <v>0</v>
          </cell>
        </row>
        <row r="883">
          <cell r="A883" t="str">
            <v>4100.Other</v>
          </cell>
          <cell r="D883">
            <v>-1683.57</v>
          </cell>
        </row>
        <row r="884">
          <cell r="A884" t="str">
            <v>4100.Other</v>
          </cell>
          <cell r="D884">
            <v>0</v>
          </cell>
        </row>
        <row r="885">
          <cell r="A885" t="str">
            <v>4100.Other</v>
          </cell>
          <cell r="D885">
            <v>0</v>
          </cell>
        </row>
        <row r="886">
          <cell r="A886" t="str">
            <v>4100.Other</v>
          </cell>
          <cell r="D886">
            <v>0</v>
          </cell>
        </row>
        <row r="887">
          <cell r="A887" t="str">
            <v>4100.Other</v>
          </cell>
          <cell r="D887">
            <v>0</v>
          </cell>
        </row>
        <row r="888">
          <cell r="A888" t="str">
            <v>4100.Other</v>
          </cell>
          <cell r="D888">
            <v>0</v>
          </cell>
        </row>
        <row r="889">
          <cell r="A889" t="str">
            <v>Total Variances Production Burden</v>
          </cell>
          <cell r="D889">
            <v>222476.38999999998</v>
          </cell>
        </row>
        <row r="890">
          <cell r="A890" t="str">
            <v>4100.Other</v>
          </cell>
          <cell r="D890">
            <v>0</v>
          </cell>
        </row>
        <row r="891">
          <cell r="A891" t="str">
            <v>4100.Other</v>
          </cell>
          <cell r="D891">
            <v>0</v>
          </cell>
        </row>
        <row r="892">
          <cell r="A892" t="str">
            <v>4100.Other</v>
          </cell>
          <cell r="D892">
            <v>-3949.98</v>
          </cell>
        </row>
        <row r="893">
          <cell r="A893" t="str">
            <v>4100.Other</v>
          </cell>
          <cell r="D893">
            <v>0</v>
          </cell>
        </row>
        <row r="894">
          <cell r="A894" t="str">
            <v>4100.Other</v>
          </cell>
          <cell r="D894">
            <v>76.61</v>
          </cell>
        </row>
        <row r="895">
          <cell r="A895" t="str">
            <v>4100.Other</v>
          </cell>
          <cell r="D895">
            <v>0</v>
          </cell>
        </row>
        <row r="896">
          <cell r="A896" t="str">
            <v>4100.Other</v>
          </cell>
          <cell r="D896">
            <v>450.9</v>
          </cell>
        </row>
        <row r="897">
          <cell r="A897" t="str">
            <v>4100.Other</v>
          </cell>
          <cell r="D897">
            <v>0</v>
          </cell>
        </row>
        <row r="898">
          <cell r="A898" t="str">
            <v>4100.Other</v>
          </cell>
          <cell r="D898">
            <v>12858.38</v>
          </cell>
        </row>
        <row r="899">
          <cell r="A899" t="str">
            <v>4100.Other</v>
          </cell>
          <cell r="D899">
            <v>0</v>
          </cell>
        </row>
        <row r="900">
          <cell r="A900" t="str">
            <v>4100.Other</v>
          </cell>
          <cell r="D900">
            <v>0</v>
          </cell>
        </row>
        <row r="901">
          <cell r="A901" t="str">
            <v>4100.Other</v>
          </cell>
          <cell r="D901">
            <v>0</v>
          </cell>
        </row>
        <row r="902">
          <cell r="A902" t="str">
            <v>4100.Other</v>
          </cell>
          <cell r="D902">
            <v>0</v>
          </cell>
        </row>
        <row r="903">
          <cell r="A903" t="str">
            <v>4100.Other</v>
          </cell>
          <cell r="D903">
            <v>0</v>
          </cell>
        </row>
        <row r="904">
          <cell r="A904" t="str">
            <v>4100.Other</v>
          </cell>
          <cell r="D904">
            <v>0</v>
          </cell>
        </row>
        <row r="905">
          <cell r="A905" t="str">
            <v>4100.Other</v>
          </cell>
          <cell r="D905">
            <v>0.05</v>
          </cell>
        </row>
        <row r="906">
          <cell r="A906" t="str">
            <v>4100.Other</v>
          </cell>
          <cell r="D906">
            <v>-0.02</v>
          </cell>
        </row>
        <row r="907">
          <cell r="A907" t="str">
            <v>4100.Other</v>
          </cell>
          <cell r="D907">
            <v>54.93</v>
          </cell>
        </row>
        <row r="908">
          <cell r="A908" t="str">
            <v>4100.Other</v>
          </cell>
          <cell r="D908">
            <v>0</v>
          </cell>
        </row>
        <row r="909">
          <cell r="A909" t="str">
            <v>4100.Other</v>
          </cell>
          <cell r="D909">
            <v>0</v>
          </cell>
        </row>
        <row r="910">
          <cell r="A910" t="str">
            <v>4100.Other</v>
          </cell>
          <cell r="D910">
            <v>0</v>
          </cell>
        </row>
        <row r="911">
          <cell r="A911" t="str">
            <v>4100.Other</v>
          </cell>
          <cell r="D911">
            <v>0</v>
          </cell>
        </row>
        <row r="912">
          <cell r="A912" t="str">
            <v>4100.Other</v>
          </cell>
          <cell r="D912">
            <v>-516.42999999999995</v>
          </cell>
        </row>
        <row r="913">
          <cell r="A913" t="str">
            <v>4100.Other</v>
          </cell>
          <cell r="D913">
            <v>13.5</v>
          </cell>
        </row>
        <row r="914">
          <cell r="A914" t="str">
            <v>4100.Other</v>
          </cell>
          <cell r="D914">
            <v>0</v>
          </cell>
        </row>
        <row r="915">
          <cell r="A915" t="str">
            <v>4100.Other</v>
          </cell>
          <cell r="D915">
            <v>0</v>
          </cell>
        </row>
        <row r="916">
          <cell r="A916" t="str">
            <v>4100.Other</v>
          </cell>
          <cell r="D916">
            <v>0</v>
          </cell>
        </row>
        <row r="917">
          <cell r="A917" t="str">
            <v>4100.Other</v>
          </cell>
          <cell r="D917">
            <v>5.26</v>
          </cell>
        </row>
        <row r="918">
          <cell r="A918" t="str">
            <v>4100.Other</v>
          </cell>
          <cell r="D918">
            <v>-173.4</v>
          </cell>
        </row>
        <row r="919">
          <cell r="A919" t="str">
            <v>4100.Other</v>
          </cell>
          <cell r="D919">
            <v>0</v>
          </cell>
        </row>
        <row r="920">
          <cell r="A920" t="str">
            <v>4100.Other</v>
          </cell>
          <cell r="D920">
            <v>0</v>
          </cell>
        </row>
        <row r="921">
          <cell r="A921" t="str">
            <v>4100.Other</v>
          </cell>
          <cell r="D921">
            <v>0</v>
          </cell>
        </row>
        <row r="922">
          <cell r="A922" t="str">
            <v>4100.Other</v>
          </cell>
          <cell r="D922">
            <v>0</v>
          </cell>
        </row>
        <row r="923">
          <cell r="A923" t="str">
            <v>4100.Other</v>
          </cell>
          <cell r="D923">
            <v>0</v>
          </cell>
        </row>
        <row r="924">
          <cell r="A924" t="str">
            <v>4100.Other</v>
          </cell>
          <cell r="D924">
            <v>0</v>
          </cell>
        </row>
        <row r="925">
          <cell r="A925" t="str">
            <v>4100.Other</v>
          </cell>
          <cell r="D925">
            <v>42.52</v>
          </cell>
        </row>
        <row r="926">
          <cell r="A926" t="str">
            <v>4100.Other</v>
          </cell>
          <cell r="D926">
            <v>0</v>
          </cell>
        </row>
        <row r="927">
          <cell r="A927" t="str">
            <v>4100.Other</v>
          </cell>
          <cell r="D927">
            <v>0</v>
          </cell>
        </row>
        <row r="928">
          <cell r="A928" t="str">
            <v>4100.Other</v>
          </cell>
          <cell r="D928">
            <v>20.52</v>
          </cell>
        </row>
        <row r="929">
          <cell r="A929" t="str">
            <v>4100.Other</v>
          </cell>
          <cell r="D929">
            <v>0</v>
          </cell>
        </row>
        <row r="930">
          <cell r="A930" t="str">
            <v>4100.Other</v>
          </cell>
          <cell r="D930">
            <v>0</v>
          </cell>
        </row>
        <row r="931">
          <cell r="A931" t="str">
            <v>4100.Other</v>
          </cell>
          <cell r="D931">
            <v>-1255.3599999999999</v>
          </cell>
        </row>
        <row r="932">
          <cell r="A932" t="str">
            <v>4100.Other</v>
          </cell>
          <cell r="D932">
            <v>0</v>
          </cell>
        </row>
        <row r="933">
          <cell r="A933" t="str">
            <v>4100.Other</v>
          </cell>
          <cell r="D933">
            <v>0</v>
          </cell>
        </row>
        <row r="934">
          <cell r="A934" t="str">
            <v>4100.Other</v>
          </cell>
          <cell r="D934">
            <v>0</v>
          </cell>
        </row>
        <row r="935">
          <cell r="A935" t="str">
            <v>4100.Other</v>
          </cell>
          <cell r="D935">
            <v>0</v>
          </cell>
        </row>
        <row r="936">
          <cell r="A936" t="str">
            <v>4100.Other</v>
          </cell>
          <cell r="D936">
            <v>0</v>
          </cell>
        </row>
        <row r="937">
          <cell r="A937" t="str">
            <v>Total Variances Production Services</v>
          </cell>
          <cell r="D937">
            <v>7627.4800000000005</v>
          </cell>
        </row>
        <row r="938">
          <cell r="A938" t="str">
            <v>4100.Other</v>
          </cell>
          <cell r="D938">
            <v>0</v>
          </cell>
        </row>
        <row r="939">
          <cell r="A939" t="str">
            <v>4100.Other</v>
          </cell>
          <cell r="D939">
            <v>0</v>
          </cell>
        </row>
        <row r="940">
          <cell r="A940" t="str">
            <v>4100.Other</v>
          </cell>
          <cell r="D940">
            <v>121888.14</v>
          </cell>
        </row>
        <row r="941">
          <cell r="A941" t="str">
            <v>4100.Other</v>
          </cell>
          <cell r="D941">
            <v>0</v>
          </cell>
        </row>
        <row r="942">
          <cell r="A942" t="str">
            <v>4100.Other</v>
          </cell>
          <cell r="D942">
            <v>-592.12</v>
          </cell>
        </row>
        <row r="943">
          <cell r="A943" t="str">
            <v>4100.Other</v>
          </cell>
          <cell r="D943">
            <v>0</v>
          </cell>
        </row>
        <row r="944">
          <cell r="A944" t="str">
            <v>4100.Other</v>
          </cell>
          <cell r="D944">
            <v>-894.23</v>
          </cell>
        </row>
        <row r="945">
          <cell r="A945" t="str">
            <v>4100.Other</v>
          </cell>
          <cell r="D945">
            <v>-786.06</v>
          </cell>
        </row>
        <row r="946">
          <cell r="A946" t="str">
            <v>4100.Other</v>
          </cell>
          <cell r="D946">
            <v>-323.08999999999997</v>
          </cell>
        </row>
        <row r="947">
          <cell r="A947" t="str">
            <v>4100.Other</v>
          </cell>
          <cell r="D947">
            <v>-1517.53</v>
          </cell>
        </row>
        <row r="948">
          <cell r="A948" t="str">
            <v>4100.Other</v>
          </cell>
          <cell r="D948">
            <v>-5613.09</v>
          </cell>
        </row>
        <row r="949">
          <cell r="A949" t="str">
            <v>4100.Other</v>
          </cell>
          <cell r="D949">
            <v>0</v>
          </cell>
        </row>
        <row r="950">
          <cell r="A950" t="str">
            <v>4100.Other</v>
          </cell>
          <cell r="D950">
            <v>-6138.73</v>
          </cell>
        </row>
        <row r="951">
          <cell r="A951" t="str">
            <v>4100.Other</v>
          </cell>
          <cell r="D951">
            <v>-4146.91</v>
          </cell>
        </row>
        <row r="952">
          <cell r="A952" t="str">
            <v>4100.Other</v>
          </cell>
          <cell r="D952">
            <v>-2125.33</v>
          </cell>
        </row>
        <row r="953">
          <cell r="A953" t="str">
            <v>4100.Other</v>
          </cell>
          <cell r="D953">
            <v>-5931.83</v>
          </cell>
        </row>
        <row r="954">
          <cell r="A954" t="str">
            <v>4100.Other</v>
          </cell>
          <cell r="D954">
            <v>-1791.39</v>
          </cell>
        </row>
        <row r="955">
          <cell r="A955" t="str">
            <v>4100.Other</v>
          </cell>
          <cell r="D955">
            <v>-1430.51</v>
          </cell>
        </row>
        <row r="956">
          <cell r="A956" t="str">
            <v>4100.Other</v>
          </cell>
          <cell r="D956">
            <v>-8474.34</v>
          </cell>
        </row>
        <row r="957">
          <cell r="A957" t="str">
            <v>4100.Other</v>
          </cell>
          <cell r="D957">
            <v>-25273.96</v>
          </cell>
        </row>
        <row r="958">
          <cell r="A958" t="str">
            <v>4100.Other</v>
          </cell>
          <cell r="D958">
            <v>0</v>
          </cell>
        </row>
        <row r="959">
          <cell r="A959" t="str">
            <v>4100.Other</v>
          </cell>
          <cell r="D959">
            <v>-371.03</v>
          </cell>
        </row>
        <row r="960">
          <cell r="A960" t="str">
            <v>4100.Other</v>
          </cell>
          <cell r="D960">
            <v>-20</v>
          </cell>
        </row>
        <row r="961">
          <cell r="A961" t="str">
            <v>4100.Other</v>
          </cell>
          <cell r="D961">
            <v>-205.47</v>
          </cell>
        </row>
        <row r="962">
          <cell r="A962" t="str">
            <v>4100.Other</v>
          </cell>
          <cell r="D962">
            <v>-1616.43</v>
          </cell>
        </row>
        <row r="963">
          <cell r="A963" t="str">
            <v>4100.Other</v>
          </cell>
          <cell r="D963">
            <v>0</v>
          </cell>
        </row>
        <row r="964">
          <cell r="A964" t="str">
            <v>4100.Other</v>
          </cell>
          <cell r="D964">
            <v>-128.5</v>
          </cell>
        </row>
        <row r="965">
          <cell r="A965" t="str">
            <v>4100.Other</v>
          </cell>
          <cell r="D965">
            <v>-2562</v>
          </cell>
        </row>
        <row r="966">
          <cell r="A966" t="str">
            <v>4100.Other</v>
          </cell>
          <cell r="D966">
            <v>-355.68</v>
          </cell>
        </row>
        <row r="967">
          <cell r="A967" t="str">
            <v>4100.Other</v>
          </cell>
          <cell r="D967">
            <v>0</v>
          </cell>
        </row>
        <row r="968">
          <cell r="A968" t="str">
            <v>4100.Other</v>
          </cell>
          <cell r="D968">
            <v>-506.74</v>
          </cell>
        </row>
        <row r="969">
          <cell r="A969" t="str">
            <v>4100.Other</v>
          </cell>
          <cell r="D969">
            <v>-373.4</v>
          </cell>
        </row>
        <row r="970">
          <cell r="A970" t="str">
            <v>4100.Other</v>
          </cell>
          <cell r="D970">
            <v>-5836</v>
          </cell>
        </row>
        <row r="971">
          <cell r="A971" t="str">
            <v>4100.Other</v>
          </cell>
          <cell r="D971">
            <v>-1059.5</v>
          </cell>
        </row>
        <row r="972">
          <cell r="A972" t="str">
            <v>4100.Other</v>
          </cell>
          <cell r="D972">
            <v>-533.9</v>
          </cell>
        </row>
        <row r="973">
          <cell r="A973" t="str">
            <v>4100.Other</v>
          </cell>
          <cell r="D973">
            <v>-509.7</v>
          </cell>
        </row>
        <row r="974">
          <cell r="A974" t="str">
            <v>4100.Other</v>
          </cell>
          <cell r="D974">
            <v>0</v>
          </cell>
        </row>
        <row r="975">
          <cell r="A975" t="str">
            <v>4100.Other</v>
          </cell>
          <cell r="D975">
            <v>0</v>
          </cell>
        </row>
        <row r="976">
          <cell r="A976" t="str">
            <v>4100.Other</v>
          </cell>
          <cell r="D976">
            <v>-301.33999999999997</v>
          </cell>
        </row>
        <row r="977">
          <cell r="A977" t="str">
            <v>4100.Other</v>
          </cell>
          <cell r="D977">
            <v>-2009.71</v>
          </cell>
        </row>
        <row r="978">
          <cell r="A978" t="str">
            <v>4100.Other</v>
          </cell>
          <cell r="D978">
            <v>388.56</v>
          </cell>
        </row>
        <row r="979">
          <cell r="A979" t="str">
            <v>Miscellaneous</v>
          </cell>
          <cell r="D979">
            <v>40848.180000000029</v>
          </cell>
        </row>
        <row r="980">
          <cell r="A980" t="str">
            <v>MATERIALS</v>
          </cell>
          <cell r="D980">
            <v>-1454916.8099999998</v>
          </cell>
        </row>
        <row r="981">
          <cell r="A981" t="str">
            <v>4110</v>
          </cell>
          <cell r="D981">
            <v>0</v>
          </cell>
        </row>
        <row r="982">
          <cell r="A982" t="str">
            <v>4110</v>
          </cell>
          <cell r="D982">
            <v>0</v>
          </cell>
        </row>
        <row r="983">
          <cell r="A983" t="str">
            <v>4110</v>
          </cell>
          <cell r="D983">
            <v>-8832.14</v>
          </cell>
        </row>
        <row r="984">
          <cell r="A984" t="str">
            <v>4110</v>
          </cell>
          <cell r="D984">
            <v>0</v>
          </cell>
        </row>
        <row r="985">
          <cell r="A985" t="str">
            <v>4110</v>
          </cell>
          <cell r="D985">
            <v>-1669.88</v>
          </cell>
        </row>
        <row r="986">
          <cell r="A986" t="str">
            <v>4110</v>
          </cell>
          <cell r="D986">
            <v>0</v>
          </cell>
        </row>
        <row r="987">
          <cell r="A987" t="str">
            <v>4110</v>
          </cell>
          <cell r="D987">
            <v>-211.94</v>
          </cell>
        </row>
        <row r="988">
          <cell r="A988" t="str">
            <v>4110</v>
          </cell>
          <cell r="D988">
            <v>0</v>
          </cell>
        </row>
        <row r="989">
          <cell r="A989" t="str">
            <v>4110</v>
          </cell>
          <cell r="D989">
            <v>-24029.68</v>
          </cell>
        </row>
        <row r="990">
          <cell r="A990" t="str">
            <v>4110</v>
          </cell>
          <cell r="D990">
            <v>0</v>
          </cell>
        </row>
        <row r="991">
          <cell r="A991" t="str">
            <v>4110</v>
          </cell>
          <cell r="D991">
            <v>-175.6</v>
          </cell>
        </row>
        <row r="992">
          <cell r="A992" t="str">
            <v>4110</v>
          </cell>
          <cell r="D992">
            <v>-38.18</v>
          </cell>
        </row>
        <row r="993">
          <cell r="A993" t="str">
            <v>4110</v>
          </cell>
          <cell r="D993">
            <v>0</v>
          </cell>
        </row>
        <row r="994">
          <cell r="A994" t="str">
            <v>4110</v>
          </cell>
          <cell r="D994">
            <v>0</v>
          </cell>
        </row>
        <row r="995">
          <cell r="A995" t="str">
            <v>4110</v>
          </cell>
          <cell r="D995">
            <v>0</v>
          </cell>
        </row>
        <row r="996">
          <cell r="A996" t="str">
            <v>4110</v>
          </cell>
          <cell r="D996">
            <v>-7109.51</v>
          </cell>
        </row>
        <row r="997">
          <cell r="A997" t="str">
            <v>4110</v>
          </cell>
          <cell r="D997">
            <v>-369.64</v>
          </cell>
        </row>
        <row r="998">
          <cell r="A998" t="str">
            <v>4110</v>
          </cell>
          <cell r="D998">
            <v>-10114.219999999999</v>
          </cell>
        </row>
        <row r="999">
          <cell r="A999" t="str">
            <v>4110</v>
          </cell>
          <cell r="D999">
            <v>0</v>
          </cell>
        </row>
        <row r="1000">
          <cell r="A1000" t="str">
            <v>4110</v>
          </cell>
          <cell r="D1000">
            <v>0</v>
          </cell>
        </row>
        <row r="1001">
          <cell r="A1001" t="str">
            <v>4110</v>
          </cell>
          <cell r="D1001">
            <v>-175.69</v>
          </cell>
        </row>
        <row r="1002">
          <cell r="A1002" t="str">
            <v>4110</v>
          </cell>
          <cell r="D1002">
            <v>-9442.0300000000007</v>
          </cell>
        </row>
        <row r="1003">
          <cell r="A1003" t="str">
            <v>4110</v>
          </cell>
          <cell r="D1003">
            <v>-10263.709999999999</v>
          </cell>
        </row>
        <row r="1004">
          <cell r="A1004" t="str">
            <v>4110</v>
          </cell>
          <cell r="D1004">
            <v>-9025.16</v>
          </cell>
        </row>
        <row r="1005">
          <cell r="A1005" t="str">
            <v>4110</v>
          </cell>
          <cell r="D1005">
            <v>-128.09</v>
          </cell>
        </row>
        <row r="1006">
          <cell r="A1006" t="str">
            <v>4110</v>
          </cell>
          <cell r="D1006">
            <v>0</v>
          </cell>
        </row>
        <row r="1007">
          <cell r="A1007" t="str">
            <v>4110</v>
          </cell>
          <cell r="D1007">
            <v>-5260.01</v>
          </cell>
        </row>
        <row r="1008">
          <cell r="A1008" t="str">
            <v>4110</v>
          </cell>
          <cell r="D1008">
            <v>-24372.65</v>
          </cell>
        </row>
        <row r="1009">
          <cell r="A1009" t="str">
            <v>4110</v>
          </cell>
          <cell r="D1009">
            <v>-9155.36</v>
          </cell>
        </row>
        <row r="1010">
          <cell r="A1010" t="str">
            <v>4110</v>
          </cell>
          <cell r="D1010">
            <v>0</v>
          </cell>
        </row>
        <row r="1011">
          <cell r="A1011" t="str">
            <v>4110</v>
          </cell>
          <cell r="D1011">
            <v>0</v>
          </cell>
        </row>
        <row r="1012">
          <cell r="A1012" t="str">
            <v>4110</v>
          </cell>
          <cell r="D1012">
            <v>0</v>
          </cell>
        </row>
        <row r="1013">
          <cell r="A1013" t="str">
            <v>4110</v>
          </cell>
          <cell r="D1013">
            <v>0</v>
          </cell>
        </row>
        <row r="1014">
          <cell r="A1014" t="str">
            <v>4110</v>
          </cell>
          <cell r="D1014">
            <v>-1637.47</v>
          </cell>
        </row>
        <row r="1015">
          <cell r="A1015" t="str">
            <v>4110</v>
          </cell>
          <cell r="D1015">
            <v>-720.72</v>
          </cell>
        </row>
        <row r="1016">
          <cell r="A1016" t="str">
            <v>4110</v>
          </cell>
          <cell r="D1016">
            <v>-14218.67</v>
          </cell>
        </row>
        <row r="1017">
          <cell r="A1017" t="str">
            <v>4110</v>
          </cell>
          <cell r="D1017">
            <v>0</v>
          </cell>
        </row>
        <row r="1018">
          <cell r="A1018" t="str">
            <v>4110</v>
          </cell>
          <cell r="D1018">
            <v>0</v>
          </cell>
        </row>
        <row r="1019">
          <cell r="A1019" t="str">
            <v>4110</v>
          </cell>
          <cell r="D1019">
            <v>-3392.73</v>
          </cell>
        </row>
        <row r="1020">
          <cell r="A1020" t="str">
            <v>4110</v>
          </cell>
          <cell r="D1020">
            <v>0</v>
          </cell>
        </row>
        <row r="1021">
          <cell r="A1021" t="str">
            <v>4110</v>
          </cell>
          <cell r="D1021">
            <v>0</v>
          </cell>
        </row>
        <row r="1022">
          <cell r="A1022" t="str">
            <v>4110</v>
          </cell>
          <cell r="D1022">
            <v>0</v>
          </cell>
        </row>
        <row r="1023">
          <cell r="A1023" t="str">
            <v>4110</v>
          </cell>
          <cell r="D1023">
            <v>0</v>
          </cell>
        </row>
        <row r="1024">
          <cell r="A1024" t="str">
            <v>4110</v>
          </cell>
          <cell r="D1024">
            <v>0</v>
          </cell>
        </row>
        <row r="1025">
          <cell r="A1025" t="str">
            <v>4110</v>
          </cell>
          <cell r="D1025">
            <v>0</v>
          </cell>
        </row>
        <row r="1026">
          <cell r="A1026" t="str">
            <v>4110</v>
          </cell>
          <cell r="D1026">
            <v>0</v>
          </cell>
        </row>
        <row r="1027">
          <cell r="A1027" t="str">
            <v>4110</v>
          </cell>
          <cell r="D1027">
            <v>0</v>
          </cell>
        </row>
        <row r="1028">
          <cell r="A1028" t="str">
            <v>Total Labor</v>
          </cell>
          <cell r="D1028">
            <v>-140343.08000000002</v>
          </cell>
        </row>
        <row r="1029">
          <cell r="A1029" t="str">
            <v>4110</v>
          </cell>
          <cell r="D1029">
            <v>0</v>
          </cell>
        </row>
        <row r="1030">
          <cell r="A1030" t="str">
            <v>4110</v>
          </cell>
          <cell r="D1030">
            <v>0</v>
          </cell>
        </row>
        <row r="1031">
          <cell r="A1031" t="str">
            <v>4110</v>
          </cell>
          <cell r="D1031">
            <v>7024.79</v>
          </cell>
        </row>
        <row r="1032">
          <cell r="A1032" t="str">
            <v>4110</v>
          </cell>
          <cell r="D1032">
            <v>0</v>
          </cell>
        </row>
        <row r="1033">
          <cell r="A1033" t="str">
            <v>4110</v>
          </cell>
          <cell r="D1033">
            <v>1830.04</v>
          </cell>
        </row>
        <row r="1034">
          <cell r="A1034" t="str">
            <v>4110</v>
          </cell>
          <cell r="D1034">
            <v>0</v>
          </cell>
        </row>
        <row r="1035">
          <cell r="A1035" t="str">
            <v>4110</v>
          </cell>
          <cell r="D1035">
            <v>524.77</v>
          </cell>
        </row>
        <row r="1036">
          <cell r="A1036" t="str">
            <v>4110</v>
          </cell>
          <cell r="D1036">
            <v>0</v>
          </cell>
        </row>
        <row r="1037">
          <cell r="A1037" t="str">
            <v>4110</v>
          </cell>
          <cell r="D1037">
            <v>72935.48</v>
          </cell>
        </row>
        <row r="1038">
          <cell r="A1038" t="str">
            <v>4110</v>
          </cell>
          <cell r="D1038">
            <v>0</v>
          </cell>
        </row>
        <row r="1039">
          <cell r="A1039" t="str">
            <v>4110</v>
          </cell>
          <cell r="D1039">
            <v>174.31</v>
          </cell>
        </row>
        <row r="1040">
          <cell r="A1040" t="str">
            <v>4110</v>
          </cell>
          <cell r="D1040">
            <v>5.35</v>
          </cell>
        </row>
        <row r="1041">
          <cell r="A1041" t="str">
            <v>4110</v>
          </cell>
          <cell r="D1041">
            <v>0</v>
          </cell>
        </row>
        <row r="1042">
          <cell r="A1042" t="str">
            <v>4110</v>
          </cell>
          <cell r="D1042">
            <v>0</v>
          </cell>
        </row>
        <row r="1043">
          <cell r="A1043" t="str">
            <v>4110</v>
          </cell>
          <cell r="D1043">
            <v>0</v>
          </cell>
        </row>
        <row r="1044">
          <cell r="A1044" t="str">
            <v>4110</v>
          </cell>
          <cell r="D1044">
            <v>-18739.349999999999</v>
          </cell>
        </row>
        <row r="1045">
          <cell r="A1045" t="str">
            <v>4110</v>
          </cell>
          <cell r="D1045">
            <v>36.11</v>
          </cell>
        </row>
        <row r="1046">
          <cell r="A1046" t="str">
            <v>4110</v>
          </cell>
          <cell r="D1046">
            <v>1013.04</v>
          </cell>
        </row>
        <row r="1047">
          <cell r="A1047" t="str">
            <v>4110</v>
          </cell>
          <cell r="D1047">
            <v>0</v>
          </cell>
        </row>
        <row r="1048">
          <cell r="A1048" t="str">
            <v>4110</v>
          </cell>
          <cell r="D1048">
            <v>0</v>
          </cell>
        </row>
        <row r="1049">
          <cell r="A1049" t="str">
            <v>4110</v>
          </cell>
          <cell r="D1049">
            <v>-69.17</v>
          </cell>
        </row>
        <row r="1050">
          <cell r="A1050" t="str">
            <v>4110</v>
          </cell>
          <cell r="D1050">
            <v>2436.7199999999998</v>
          </cell>
        </row>
        <row r="1051">
          <cell r="A1051" t="str">
            <v>4110</v>
          </cell>
          <cell r="D1051">
            <v>2125</v>
          </cell>
        </row>
        <row r="1052">
          <cell r="A1052" t="str">
            <v>4110</v>
          </cell>
          <cell r="D1052">
            <v>2242.62</v>
          </cell>
        </row>
        <row r="1053">
          <cell r="A1053" t="str">
            <v>4110</v>
          </cell>
          <cell r="D1053">
            <v>116.22</v>
          </cell>
        </row>
        <row r="1054">
          <cell r="A1054" t="str">
            <v>4110</v>
          </cell>
          <cell r="D1054">
            <v>29.37</v>
          </cell>
        </row>
        <row r="1055">
          <cell r="A1055" t="str">
            <v>4110</v>
          </cell>
          <cell r="D1055">
            <v>1869.56</v>
          </cell>
        </row>
        <row r="1056">
          <cell r="A1056" t="str">
            <v>4110</v>
          </cell>
          <cell r="D1056">
            <v>10439.870000000001</v>
          </cell>
        </row>
        <row r="1057">
          <cell r="A1057" t="str">
            <v>4110</v>
          </cell>
          <cell r="D1057">
            <v>1875.65</v>
          </cell>
        </row>
        <row r="1058">
          <cell r="A1058" t="str">
            <v>4110</v>
          </cell>
          <cell r="D1058">
            <v>0</v>
          </cell>
        </row>
        <row r="1059">
          <cell r="A1059" t="str">
            <v>4110</v>
          </cell>
          <cell r="D1059">
            <v>0</v>
          </cell>
        </row>
        <row r="1060">
          <cell r="A1060" t="str">
            <v>4110</v>
          </cell>
          <cell r="D1060">
            <v>0</v>
          </cell>
        </row>
        <row r="1061">
          <cell r="A1061" t="str">
            <v>4110</v>
          </cell>
          <cell r="D1061">
            <v>0</v>
          </cell>
        </row>
        <row r="1062">
          <cell r="A1062" t="str">
            <v>4110</v>
          </cell>
          <cell r="D1062">
            <v>290.32</v>
          </cell>
        </row>
        <row r="1063">
          <cell r="A1063" t="str">
            <v>4110</v>
          </cell>
          <cell r="D1063">
            <v>24.01</v>
          </cell>
        </row>
        <row r="1064">
          <cell r="A1064" t="str">
            <v>4110</v>
          </cell>
          <cell r="D1064">
            <v>972.63</v>
          </cell>
        </row>
        <row r="1065">
          <cell r="A1065" t="str">
            <v>4110</v>
          </cell>
          <cell r="D1065">
            <v>0</v>
          </cell>
        </row>
        <row r="1066">
          <cell r="A1066" t="str">
            <v>4110</v>
          </cell>
          <cell r="D1066">
            <v>0</v>
          </cell>
        </row>
        <row r="1067">
          <cell r="A1067" t="str">
            <v>4110</v>
          </cell>
          <cell r="D1067">
            <v>559.61</v>
          </cell>
        </row>
        <row r="1068">
          <cell r="A1068" t="str">
            <v>4110</v>
          </cell>
          <cell r="D1068">
            <v>0</v>
          </cell>
        </row>
        <row r="1069">
          <cell r="A1069" t="str">
            <v>4110</v>
          </cell>
          <cell r="D1069">
            <v>0</v>
          </cell>
        </row>
        <row r="1070">
          <cell r="A1070" t="str">
            <v>4110</v>
          </cell>
          <cell r="D1070">
            <v>-405.82</v>
          </cell>
        </row>
        <row r="1071">
          <cell r="A1071" t="str">
            <v>4110</v>
          </cell>
          <cell r="D1071">
            <v>0</v>
          </cell>
        </row>
        <row r="1072">
          <cell r="A1072" t="str">
            <v>4110</v>
          </cell>
          <cell r="D1072">
            <v>0</v>
          </cell>
        </row>
        <row r="1073">
          <cell r="A1073" t="str">
            <v>4110</v>
          </cell>
          <cell r="D1073">
            <v>0</v>
          </cell>
        </row>
        <row r="1074">
          <cell r="A1074" t="str">
            <v>4110</v>
          </cell>
          <cell r="D1074">
            <v>0</v>
          </cell>
        </row>
        <row r="1075">
          <cell r="A1075" t="str">
            <v>4110</v>
          </cell>
          <cell r="D1075">
            <v>0</v>
          </cell>
        </row>
        <row r="1076">
          <cell r="A1076" t="str">
            <v>Total Variances Production Labor</v>
          </cell>
          <cell r="D1076">
            <v>87311.12999999999</v>
          </cell>
        </row>
        <row r="1077">
          <cell r="A1077" t="str">
            <v>4110</v>
          </cell>
          <cell r="D1077">
            <v>-1481.6</v>
          </cell>
        </row>
        <row r="1078">
          <cell r="A1078" t="str">
            <v>4110</v>
          </cell>
          <cell r="D1078">
            <v>-7226.88</v>
          </cell>
        </row>
        <row r="1079">
          <cell r="A1079" t="str">
            <v>4110</v>
          </cell>
          <cell r="D1079">
            <v>-80058.27</v>
          </cell>
        </row>
        <row r="1080">
          <cell r="A1080" t="str">
            <v>Temporary Labor - Production Related</v>
          </cell>
          <cell r="D1080">
            <v>-88766.75</v>
          </cell>
        </row>
        <row r="1081">
          <cell r="A1081" t="str">
            <v>DIRECT LABOR</v>
          </cell>
          <cell r="D1081">
            <v>-141798.70000000001</v>
          </cell>
        </row>
        <row r="1082">
          <cell r="A1082" t="str">
            <v>4120</v>
          </cell>
          <cell r="D1082">
            <v>13995.98</v>
          </cell>
        </row>
        <row r="1083">
          <cell r="A1083" t="str">
            <v>4120</v>
          </cell>
          <cell r="D1083">
            <v>-14593.18</v>
          </cell>
        </row>
        <row r="1084">
          <cell r="A1084" t="str">
            <v>4120</v>
          </cell>
          <cell r="D1084">
            <v>9842.27</v>
          </cell>
        </row>
        <row r="1085">
          <cell r="A1085" t="str">
            <v>4120</v>
          </cell>
          <cell r="D1085">
            <v>-6052.81</v>
          </cell>
        </row>
        <row r="1086">
          <cell r="A1086" t="str">
            <v>Currency Translation (Gain)/Loss - COS</v>
          </cell>
          <cell r="D1086">
            <v>3192.2599999999993</v>
          </cell>
        </row>
        <row r="1087">
          <cell r="A1087" t="str">
            <v>TOTAL DIRECT COSTS</v>
          </cell>
          <cell r="D1087">
            <v>-1593523.2499999986</v>
          </cell>
        </row>
        <row r="1089">
          <cell r="A1089" t="str">
            <v>4130.1000</v>
          </cell>
          <cell r="D1089">
            <v>-287254.52</v>
          </cell>
        </row>
        <row r="1090">
          <cell r="A1090" t="str">
            <v>4130.1000</v>
          </cell>
          <cell r="D1090">
            <v>-134409.31</v>
          </cell>
        </row>
        <row r="1091">
          <cell r="A1091" t="str">
            <v>4130.1000</v>
          </cell>
          <cell r="D1091">
            <v>-64578.93</v>
          </cell>
        </row>
        <row r="1092">
          <cell r="A1092" t="str">
            <v>4130.1000</v>
          </cell>
          <cell r="D1092">
            <v>0</v>
          </cell>
        </row>
        <row r="1093">
          <cell r="A1093" t="str">
            <v>4130.1000</v>
          </cell>
          <cell r="D1093">
            <v>-13161.6</v>
          </cell>
        </row>
        <row r="1094">
          <cell r="A1094" t="str">
            <v>4130.1000</v>
          </cell>
          <cell r="D1094">
            <v>-1512.46</v>
          </cell>
        </row>
        <row r="1095">
          <cell r="A1095" t="str">
            <v>4130.1000</v>
          </cell>
          <cell r="D1095">
            <v>-1139.8699999999999</v>
          </cell>
        </row>
        <row r="1096">
          <cell r="A1096" t="str">
            <v>4130.1000</v>
          </cell>
          <cell r="D1096">
            <v>-874.97</v>
          </cell>
        </row>
        <row r="1097">
          <cell r="A1097" t="str">
            <v>4130.1000</v>
          </cell>
          <cell r="D1097">
            <v>0</v>
          </cell>
        </row>
        <row r="1098">
          <cell r="A1098" t="str">
            <v>4130.1000</v>
          </cell>
          <cell r="D1098">
            <v>-233.16</v>
          </cell>
        </row>
        <row r="1099">
          <cell r="A1099" t="str">
            <v>4130.1000</v>
          </cell>
          <cell r="D1099">
            <v>-22826.05</v>
          </cell>
        </row>
        <row r="1100">
          <cell r="A1100" t="str">
            <v>4130.1000</v>
          </cell>
          <cell r="D1100">
            <v>-10752.78</v>
          </cell>
        </row>
        <row r="1101">
          <cell r="A1101" t="str">
            <v>4130.1000</v>
          </cell>
          <cell r="D1101">
            <v>-5166.34</v>
          </cell>
        </row>
        <row r="1102">
          <cell r="A1102" t="str">
            <v>4130.1000</v>
          </cell>
          <cell r="D1102">
            <v>0</v>
          </cell>
        </row>
        <row r="1103">
          <cell r="A1103" t="str">
            <v>4130.1000</v>
          </cell>
          <cell r="D1103">
            <v>-1052.95</v>
          </cell>
        </row>
        <row r="1104">
          <cell r="A1104" t="str">
            <v>4130.1000</v>
          </cell>
          <cell r="D1104">
            <v>0</v>
          </cell>
        </row>
        <row r="1105">
          <cell r="A1105" t="str">
            <v>4130.1000</v>
          </cell>
          <cell r="D1105">
            <v>0</v>
          </cell>
        </row>
        <row r="1106">
          <cell r="A1106" t="str">
            <v>4130.1000</v>
          </cell>
          <cell r="D1106">
            <v>0</v>
          </cell>
        </row>
        <row r="1107">
          <cell r="A1107" t="str">
            <v>4130.1000</v>
          </cell>
          <cell r="D1107">
            <v>0</v>
          </cell>
        </row>
        <row r="1108">
          <cell r="A1108" t="str">
            <v>4130.1000</v>
          </cell>
          <cell r="D1108">
            <v>0</v>
          </cell>
        </row>
        <row r="1109">
          <cell r="A1109" t="str">
            <v>4130.1000</v>
          </cell>
          <cell r="D1109">
            <v>-976.72</v>
          </cell>
        </row>
        <row r="1110">
          <cell r="A1110" t="str">
            <v>4130.1000</v>
          </cell>
          <cell r="D1110">
            <v>171.5</v>
          </cell>
        </row>
        <row r="1111">
          <cell r="A1111" t="str">
            <v>4130.1000</v>
          </cell>
          <cell r="D1111">
            <v>-137.63999999999999</v>
          </cell>
        </row>
        <row r="1112">
          <cell r="A1112" t="str">
            <v>4130.1000</v>
          </cell>
          <cell r="D1112">
            <v>0</v>
          </cell>
        </row>
        <row r="1113">
          <cell r="A1113" t="str">
            <v>4130.1000</v>
          </cell>
          <cell r="D1113">
            <v>0</v>
          </cell>
        </row>
        <row r="1114">
          <cell r="A1114" t="str">
            <v>4130.1000</v>
          </cell>
          <cell r="D1114">
            <v>0</v>
          </cell>
        </row>
        <row r="1115">
          <cell r="A1115" t="str">
            <v>4130.1000</v>
          </cell>
          <cell r="D1115">
            <v>0</v>
          </cell>
        </row>
        <row r="1116">
          <cell r="A1116" t="str">
            <v>4130.1000</v>
          </cell>
          <cell r="D1116">
            <v>0</v>
          </cell>
        </row>
        <row r="1117">
          <cell r="A1117" t="str">
            <v>4130.1000</v>
          </cell>
          <cell r="D1117">
            <v>0</v>
          </cell>
        </row>
        <row r="1118">
          <cell r="A1118" t="str">
            <v>4130.1000</v>
          </cell>
          <cell r="D1118">
            <v>0</v>
          </cell>
        </row>
        <row r="1119">
          <cell r="A1119" t="str">
            <v>4130.1000</v>
          </cell>
          <cell r="D1119">
            <v>0</v>
          </cell>
        </row>
        <row r="1120">
          <cell r="A1120" t="str">
            <v>4130.1000</v>
          </cell>
          <cell r="D1120">
            <v>0</v>
          </cell>
        </row>
        <row r="1121">
          <cell r="A1121" t="str">
            <v>4130.1000</v>
          </cell>
          <cell r="D1121">
            <v>-9106.15</v>
          </cell>
        </row>
        <row r="1122">
          <cell r="A1122" t="str">
            <v>4130.1000</v>
          </cell>
          <cell r="D1122">
            <v>0</v>
          </cell>
        </row>
        <row r="1123">
          <cell r="A1123" t="str">
            <v>4130.1000</v>
          </cell>
          <cell r="D1123">
            <v>0</v>
          </cell>
        </row>
        <row r="1124">
          <cell r="A1124" t="str">
            <v>Salaries &amp; Wages</v>
          </cell>
          <cell r="D1124">
            <v>-553011.94999999995</v>
          </cell>
        </row>
        <row r="1125">
          <cell r="A1125" t="str">
            <v>4130.Personnel_1015</v>
          </cell>
          <cell r="D1125">
            <v>-38472.9</v>
          </cell>
        </row>
        <row r="1126">
          <cell r="A1126" t="str">
            <v>4130.Personnel_1015</v>
          </cell>
          <cell r="D1126">
            <v>-312.2</v>
          </cell>
        </row>
        <row r="1127">
          <cell r="A1127" t="str">
            <v>4130.Personnel_1015</v>
          </cell>
          <cell r="D1127">
            <v>0</v>
          </cell>
        </row>
        <row r="1128">
          <cell r="A1128" t="str">
            <v>4130.Personnel_1015</v>
          </cell>
          <cell r="D1128">
            <v>0</v>
          </cell>
        </row>
        <row r="1129">
          <cell r="A1129" t="str">
            <v>Management Bonuses</v>
          </cell>
          <cell r="D1129">
            <v>-38785.1</v>
          </cell>
        </row>
        <row r="1130">
          <cell r="A1130" t="str">
            <v>4130.1005</v>
          </cell>
          <cell r="D1130">
            <v>0</v>
          </cell>
        </row>
        <row r="1131">
          <cell r="A1131" t="str">
            <v>4130.1005</v>
          </cell>
          <cell r="D1131">
            <v>0</v>
          </cell>
        </row>
        <row r="1132">
          <cell r="A1132" t="str">
            <v>4130.1005</v>
          </cell>
          <cell r="D1132">
            <v>0</v>
          </cell>
        </row>
        <row r="1133">
          <cell r="A1133" t="str">
            <v>4130.1005</v>
          </cell>
          <cell r="D1133">
            <v>0</v>
          </cell>
        </row>
        <row r="1134">
          <cell r="A1134" t="str">
            <v>4130.1005</v>
          </cell>
          <cell r="D1134">
            <v>0</v>
          </cell>
        </row>
        <row r="1135">
          <cell r="A1135" t="str">
            <v>4130.1005</v>
          </cell>
          <cell r="D1135">
            <v>0</v>
          </cell>
        </row>
        <row r="1136">
          <cell r="A1136" t="str">
            <v>4130.1005</v>
          </cell>
          <cell r="D1136">
            <v>-27832.92</v>
          </cell>
        </row>
        <row r="1137">
          <cell r="A1137" t="str">
            <v>4130.1005</v>
          </cell>
          <cell r="D1137">
            <v>-14674.51</v>
          </cell>
        </row>
        <row r="1138">
          <cell r="A1138" t="str">
            <v>4130.1005</v>
          </cell>
          <cell r="D1138">
            <v>-7719.35</v>
          </cell>
        </row>
        <row r="1139">
          <cell r="A1139" t="str">
            <v>4130.1005</v>
          </cell>
          <cell r="D1139">
            <v>0</v>
          </cell>
        </row>
        <row r="1140">
          <cell r="A1140" t="str">
            <v>4130.1005</v>
          </cell>
          <cell r="D1140">
            <v>-1680.27</v>
          </cell>
        </row>
        <row r="1141">
          <cell r="A1141" t="str">
            <v>4130.1005</v>
          </cell>
          <cell r="D1141">
            <v>-41898.57</v>
          </cell>
        </row>
        <row r="1142">
          <cell r="A1142" t="str">
            <v>4130.1005</v>
          </cell>
          <cell r="D1142">
            <v>-19892.669999999998</v>
          </cell>
        </row>
        <row r="1143">
          <cell r="A1143" t="str">
            <v>4130.1005</v>
          </cell>
          <cell r="D1143">
            <v>-9936.35</v>
          </cell>
        </row>
        <row r="1144">
          <cell r="A1144" t="str">
            <v>4130.1005</v>
          </cell>
          <cell r="D1144">
            <v>0</v>
          </cell>
        </row>
        <row r="1145">
          <cell r="A1145" t="str">
            <v>4130.1005</v>
          </cell>
          <cell r="D1145">
            <v>-1959.9</v>
          </cell>
        </row>
        <row r="1146">
          <cell r="A1146" t="str">
            <v>4130.1005</v>
          </cell>
          <cell r="D1146">
            <v>0</v>
          </cell>
        </row>
        <row r="1147">
          <cell r="A1147" t="str">
            <v>4130.1005</v>
          </cell>
          <cell r="D1147">
            <v>0</v>
          </cell>
        </row>
        <row r="1148">
          <cell r="A1148" t="str">
            <v>4130.1005</v>
          </cell>
          <cell r="D1148">
            <v>0</v>
          </cell>
        </row>
        <row r="1149">
          <cell r="A1149" t="str">
            <v>4130.1005</v>
          </cell>
          <cell r="D1149">
            <v>0</v>
          </cell>
        </row>
        <row r="1150">
          <cell r="A1150" t="str">
            <v>4130.1005</v>
          </cell>
          <cell r="D1150">
            <v>0</v>
          </cell>
        </row>
        <row r="1151">
          <cell r="A1151" t="str">
            <v>4130.1005</v>
          </cell>
          <cell r="D1151">
            <v>0</v>
          </cell>
        </row>
        <row r="1152">
          <cell r="A1152" t="str">
            <v>4130.1005</v>
          </cell>
          <cell r="D1152">
            <v>0</v>
          </cell>
        </row>
        <row r="1153">
          <cell r="A1153" t="str">
            <v>4130.1005</v>
          </cell>
          <cell r="D1153">
            <v>0</v>
          </cell>
        </row>
        <row r="1154">
          <cell r="A1154" t="str">
            <v>4130.1005</v>
          </cell>
          <cell r="D1154">
            <v>0</v>
          </cell>
        </row>
        <row r="1155">
          <cell r="A1155" t="str">
            <v>4130.1005</v>
          </cell>
          <cell r="D1155">
            <v>0</v>
          </cell>
        </row>
        <row r="1156">
          <cell r="A1156" t="str">
            <v>4130.1005</v>
          </cell>
          <cell r="D1156">
            <v>-18686.21</v>
          </cell>
        </row>
        <row r="1157">
          <cell r="A1157" t="str">
            <v>4130.1005</v>
          </cell>
          <cell r="D1157">
            <v>-7402.05</v>
          </cell>
        </row>
        <row r="1158">
          <cell r="A1158" t="str">
            <v>4130.1005</v>
          </cell>
          <cell r="D1158">
            <v>-3748.13</v>
          </cell>
        </row>
        <row r="1159">
          <cell r="A1159" t="str">
            <v>4130.1005</v>
          </cell>
          <cell r="D1159">
            <v>0</v>
          </cell>
        </row>
        <row r="1160">
          <cell r="A1160" t="str">
            <v>4130.1005</v>
          </cell>
          <cell r="D1160">
            <v>-829.31</v>
          </cell>
        </row>
        <row r="1161">
          <cell r="A1161" t="str">
            <v>4130.1005</v>
          </cell>
          <cell r="D1161">
            <v>-953.51</v>
          </cell>
        </row>
        <row r="1162">
          <cell r="A1162" t="str">
            <v>4130.1005</v>
          </cell>
          <cell r="D1162">
            <v>-383.1</v>
          </cell>
        </row>
        <row r="1163">
          <cell r="A1163" t="str">
            <v>4130.1005</v>
          </cell>
          <cell r="D1163">
            <v>-280.95</v>
          </cell>
        </row>
        <row r="1164">
          <cell r="A1164" t="str">
            <v>4130.1005</v>
          </cell>
          <cell r="D1164">
            <v>0</v>
          </cell>
        </row>
        <row r="1165">
          <cell r="A1165" t="str">
            <v>4130.1005</v>
          </cell>
          <cell r="D1165">
            <v>-63.85</v>
          </cell>
        </row>
        <row r="1166">
          <cell r="A1166" t="str">
            <v>4130.1005</v>
          </cell>
          <cell r="D1166">
            <v>-7795.43</v>
          </cell>
        </row>
        <row r="1167">
          <cell r="A1167" t="str">
            <v>4130.1005</v>
          </cell>
          <cell r="D1167">
            <v>-7002.77</v>
          </cell>
        </row>
        <row r="1168">
          <cell r="A1168" t="str">
            <v>4130.1005</v>
          </cell>
          <cell r="D1168">
            <v>-362.46</v>
          </cell>
        </row>
        <row r="1169">
          <cell r="A1169" t="str">
            <v>4130.1005</v>
          </cell>
          <cell r="D1169">
            <v>0</v>
          </cell>
        </row>
        <row r="1170">
          <cell r="A1170" t="str">
            <v>4130.1005</v>
          </cell>
          <cell r="D1170">
            <v>0</v>
          </cell>
        </row>
        <row r="1171">
          <cell r="A1171" t="str">
            <v>4130.1005</v>
          </cell>
          <cell r="D1171">
            <v>-111.1</v>
          </cell>
        </row>
        <row r="1172">
          <cell r="A1172" t="str">
            <v>4130.1005</v>
          </cell>
          <cell r="D1172">
            <v>0</v>
          </cell>
        </row>
        <row r="1173">
          <cell r="A1173" t="str">
            <v>4130.1005</v>
          </cell>
          <cell r="D1173">
            <v>0</v>
          </cell>
        </row>
        <row r="1174">
          <cell r="A1174" t="str">
            <v>4130.1005</v>
          </cell>
          <cell r="D1174">
            <v>0</v>
          </cell>
        </row>
        <row r="1175">
          <cell r="A1175" t="str">
            <v>4130.1005</v>
          </cell>
          <cell r="D1175">
            <v>0</v>
          </cell>
        </row>
        <row r="1176">
          <cell r="A1176" t="str">
            <v>4130.1005</v>
          </cell>
          <cell r="D1176">
            <v>0</v>
          </cell>
        </row>
        <row r="1177">
          <cell r="A1177" t="str">
            <v>4130.1005</v>
          </cell>
          <cell r="D1177">
            <v>0</v>
          </cell>
        </row>
        <row r="1178">
          <cell r="A1178" t="str">
            <v>4130.1005</v>
          </cell>
          <cell r="D1178">
            <v>0</v>
          </cell>
        </row>
        <row r="1179">
          <cell r="A1179" t="str">
            <v>4130.1005</v>
          </cell>
          <cell r="D1179">
            <v>-92.65</v>
          </cell>
        </row>
        <row r="1180">
          <cell r="A1180" t="str">
            <v>4130.1005</v>
          </cell>
          <cell r="D1180">
            <v>0</v>
          </cell>
        </row>
        <row r="1181">
          <cell r="A1181" t="str">
            <v>4130.1005</v>
          </cell>
          <cell r="D1181">
            <v>0</v>
          </cell>
        </row>
        <row r="1182">
          <cell r="A1182" t="str">
            <v>4130.1005</v>
          </cell>
          <cell r="D1182">
            <v>0</v>
          </cell>
        </row>
        <row r="1183">
          <cell r="A1183" t="str">
            <v>4130.1005</v>
          </cell>
          <cell r="D1183">
            <v>0</v>
          </cell>
        </row>
        <row r="1184">
          <cell r="A1184" t="str">
            <v>4130.1005</v>
          </cell>
          <cell r="D1184">
            <v>0</v>
          </cell>
        </row>
        <row r="1185">
          <cell r="A1185" t="str">
            <v>4130.1005</v>
          </cell>
          <cell r="D1185">
            <v>0</v>
          </cell>
        </row>
        <row r="1186">
          <cell r="A1186" t="str">
            <v>4130.1005</v>
          </cell>
          <cell r="D1186">
            <v>0</v>
          </cell>
        </row>
        <row r="1187">
          <cell r="A1187" t="str">
            <v>4130.1005</v>
          </cell>
          <cell r="D1187">
            <v>0</v>
          </cell>
        </row>
        <row r="1188">
          <cell r="A1188" t="str">
            <v>4130.1005</v>
          </cell>
          <cell r="D1188">
            <v>0</v>
          </cell>
        </row>
        <row r="1189">
          <cell r="A1189" t="str">
            <v>4130.1005</v>
          </cell>
          <cell r="D1189">
            <v>0</v>
          </cell>
        </row>
        <row r="1190">
          <cell r="A1190" t="str">
            <v>4130.1005</v>
          </cell>
          <cell r="D1190">
            <v>0</v>
          </cell>
        </row>
        <row r="1191">
          <cell r="A1191" t="str">
            <v>4130.1005</v>
          </cell>
          <cell r="D1191">
            <v>0</v>
          </cell>
        </row>
        <row r="1192">
          <cell r="A1192" t="str">
            <v>4130.1005</v>
          </cell>
          <cell r="D1192">
            <v>0</v>
          </cell>
        </row>
        <row r="1193">
          <cell r="A1193" t="str">
            <v>4130.1005</v>
          </cell>
          <cell r="D1193">
            <v>0</v>
          </cell>
        </row>
        <row r="1194">
          <cell r="A1194" t="str">
            <v>4130.1005</v>
          </cell>
          <cell r="D1194">
            <v>0</v>
          </cell>
        </row>
        <row r="1195">
          <cell r="A1195" t="str">
            <v>4130.1005</v>
          </cell>
          <cell r="D1195">
            <v>0</v>
          </cell>
        </row>
        <row r="1196">
          <cell r="A1196" t="str">
            <v>4130.1005</v>
          </cell>
          <cell r="D1196">
            <v>0</v>
          </cell>
        </row>
        <row r="1197">
          <cell r="A1197" t="str">
            <v>Fringe Benefits</v>
          </cell>
          <cell r="D1197">
            <v>-173306.06</v>
          </cell>
        </row>
        <row r="1198">
          <cell r="A1198" t="str">
            <v>4130.Occupancy_3010</v>
          </cell>
          <cell r="D1198">
            <v>-26771.18</v>
          </cell>
        </row>
        <row r="1199">
          <cell r="A1199" t="str">
            <v>4130.Occupancy_3010</v>
          </cell>
          <cell r="D1199">
            <v>-1337.82</v>
          </cell>
        </row>
        <row r="1200">
          <cell r="A1200" t="str">
            <v>4130.Occupancy_3010</v>
          </cell>
          <cell r="D1200">
            <v>-1337.84</v>
          </cell>
        </row>
        <row r="1201">
          <cell r="A1201" t="str">
            <v>Utilities</v>
          </cell>
          <cell r="D1201">
            <v>-29446.84</v>
          </cell>
        </row>
        <row r="1202">
          <cell r="A1202" t="str">
            <v>4130.1045</v>
          </cell>
          <cell r="D1202">
            <v>-8087.52</v>
          </cell>
        </row>
        <row r="1203">
          <cell r="A1203" t="str">
            <v>4130.1045</v>
          </cell>
          <cell r="D1203">
            <v>-1048.73</v>
          </cell>
        </row>
        <row r="1204">
          <cell r="A1204" t="str">
            <v>4130.1045</v>
          </cell>
          <cell r="D1204">
            <v>-503.84</v>
          </cell>
        </row>
        <row r="1205">
          <cell r="A1205" t="str">
            <v>4130.1045</v>
          </cell>
          <cell r="D1205">
            <v>0</v>
          </cell>
        </row>
        <row r="1206">
          <cell r="A1206" t="str">
            <v>4130.1045</v>
          </cell>
          <cell r="D1206">
            <v>0</v>
          </cell>
        </row>
        <row r="1207">
          <cell r="A1207" t="str">
            <v>Telephone &amp; Fax</v>
          </cell>
          <cell r="D1207">
            <v>-9640.09</v>
          </cell>
        </row>
        <row r="1208">
          <cell r="A1208" t="str">
            <v>4130.GenAdmin_6040</v>
          </cell>
          <cell r="D1208">
            <v>0</v>
          </cell>
        </row>
        <row r="1209">
          <cell r="A1209" t="str">
            <v>4130.GenAdmin_6040</v>
          </cell>
          <cell r="D1209">
            <v>0</v>
          </cell>
        </row>
        <row r="1210">
          <cell r="A1210" t="str">
            <v>4130.GenAdmin_6040</v>
          </cell>
          <cell r="D1210">
            <v>-762.04</v>
          </cell>
        </row>
        <row r="1211">
          <cell r="A1211" t="str">
            <v>Misc. State &amp; Local Taxes</v>
          </cell>
          <cell r="D1211">
            <v>-762.04</v>
          </cell>
        </row>
        <row r="1212">
          <cell r="A1212" t="str">
            <v>4130.GenAdmin_6035</v>
          </cell>
          <cell r="D1212">
            <v>0</v>
          </cell>
        </row>
        <row r="1213">
          <cell r="A1213" t="str">
            <v>4130.GenAdmin_6035</v>
          </cell>
          <cell r="D1213">
            <v>-14462.41</v>
          </cell>
        </row>
        <row r="1214">
          <cell r="A1214" t="str">
            <v>4130.GenAdmin_6035</v>
          </cell>
          <cell r="D1214">
            <v>-741.62</v>
          </cell>
        </row>
        <row r="1215">
          <cell r="A1215" t="str">
            <v>4130.GenAdmin_6035</v>
          </cell>
          <cell r="D1215">
            <v>-741.62</v>
          </cell>
        </row>
        <row r="1216">
          <cell r="A1216" t="str">
            <v>4130.GenAdmin_6035</v>
          </cell>
          <cell r="D1216">
            <v>0</v>
          </cell>
        </row>
        <row r="1217">
          <cell r="A1217" t="str">
            <v>4130.GenAdmin_6035</v>
          </cell>
          <cell r="D1217">
            <v>0</v>
          </cell>
        </row>
        <row r="1218">
          <cell r="A1218" t="str">
            <v>4130.GenAdmin_6035</v>
          </cell>
          <cell r="D1218">
            <v>0</v>
          </cell>
        </row>
        <row r="1219">
          <cell r="A1219" t="str">
            <v>General Insurance</v>
          </cell>
          <cell r="D1219">
            <v>-15945.650000000001</v>
          </cell>
        </row>
        <row r="1220">
          <cell r="A1220" t="str">
            <v>4130.1055</v>
          </cell>
          <cell r="D1220">
            <v>-443.84</v>
          </cell>
        </row>
        <row r="1221">
          <cell r="A1221" t="str">
            <v>4130.1055</v>
          </cell>
          <cell r="D1221">
            <v>-356.37</v>
          </cell>
        </row>
        <row r="1222">
          <cell r="A1222" t="str">
            <v>4130.1055</v>
          </cell>
          <cell r="D1222">
            <v>-21.21</v>
          </cell>
        </row>
        <row r="1223">
          <cell r="A1223" t="str">
            <v>4130.1055</v>
          </cell>
          <cell r="D1223">
            <v>0</v>
          </cell>
        </row>
        <row r="1224">
          <cell r="A1224" t="str">
            <v>4130.1055</v>
          </cell>
          <cell r="D1224">
            <v>0</v>
          </cell>
        </row>
        <row r="1225">
          <cell r="A1225" t="str">
            <v>4130.1055</v>
          </cell>
          <cell r="D1225">
            <v>-25.62</v>
          </cell>
        </row>
        <row r="1226">
          <cell r="A1226" t="str">
            <v>4130.1055</v>
          </cell>
          <cell r="D1226">
            <v>-76.87</v>
          </cell>
        </row>
        <row r="1227">
          <cell r="A1227" t="str">
            <v>4130.1055</v>
          </cell>
          <cell r="D1227">
            <v>-25.62</v>
          </cell>
        </row>
        <row r="1228">
          <cell r="A1228" t="str">
            <v>4130.1055</v>
          </cell>
          <cell r="D1228">
            <v>0</v>
          </cell>
        </row>
        <row r="1229">
          <cell r="A1229" t="str">
            <v>4130.1055</v>
          </cell>
          <cell r="D1229">
            <v>0</v>
          </cell>
        </row>
        <row r="1230">
          <cell r="A1230" t="str">
            <v>4130.1055</v>
          </cell>
          <cell r="D1230">
            <v>-1422.67</v>
          </cell>
        </row>
        <row r="1231">
          <cell r="A1231" t="str">
            <v>4130.1055</v>
          </cell>
          <cell r="D1231">
            <v>-308.82</v>
          </cell>
        </row>
        <row r="1232">
          <cell r="A1232" t="str">
            <v>4130.1055</v>
          </cell>
          <cell r="D1232">
            <v>-394.51</v>
          </cell>
        </row>
        <row r="1233">
          <cell r="A1233" t="str">
            <v>4130.1055</v>
          </cell>
          <cell r="D1233">
            <v>0</v>
          </cell>
        </row>
        <row r="1234">
          <cell r="A1234" t="str">
            <v>4130.1055</v>
          </cell>
          <cell r="D1234">
            <v>0</v>
          </cell>
        </row>
        <row r="1235">
          <cell r="A1235" t="str">
            <v>4130.1055</v>
          </cell>
          <cell r="D1235">
            <v>0</v>
          </cell>
        </row>
        <row r="1236">
          <cell r="A1236" t="str">
            <v>4130.1055</v>
          </cell>
          <cell r="D1236">
            <v>-1344.51</v>
          </cell>
        </row>
        <row r="1237">
          <cell r="A1237" t="str">
            <v>4130.1055</v>
          </cell>
          <cell r="D1237">
            <v>-540.4</v>
          </cell>
        </row>
        <row r="1238">
          <cell r="A1238" t="str">
            <v>4130.1055</v>
          </cell>
          <cell r="D1238">
            <v>0</v>
          </cell>
        </row>
        <row r="1239">
          <cell r="A1239" t="str">
            <v>4130.1055</v>
          </cell>
          <cell r="D1239">
            <v>0</v>
          </cell>
        </row>
        <row r="1240">
          <cell r="A1240" t="str">
            <v>4130.1055</v>
          </cell>
          <cell r="D1240">
            <v>-534.04999999999995</v>
          </cell>
        </row>
        <row r="1241">
          <cell r="A1241" t="str">
            <v>4130.1055</v>
          </cell>
          <cell r="D1241">
            <v>-527.15</v>
          </cell>
        </row>
        <row r="1242">
          <cell r="A1242" t="str">
            <v>4130.1055</v>
          </cell>
          <cell r="D1242">
            <v>0</v>
          </cell>
        </row>
        <row r="1243">
          <cell r="A1243" t="str">
            <v>4130.1055</v>
          </cell>
          <cell r="D1243">
            <v>0</v>
          </cell>
        </row>
        <row r="1244">
          <cell r="A1244" t="str">
            <v>4130.1055</v>
          </cell>
          <cell r="D1244">
            <v>0</v>
          </cell>
        </row>
        <row r="1245">
          <cell r="A1245" t="str">
            <v>Office Supplies</v>
          </cell>
          <cell r="D1245">
            <v>-6021.64</v>
          </cell>
        </row>
        <row r="1246">
          <cell r="A1246" t="str">
            <v>4130.ProdRelated_5015</v>
          </cell>
          <cell r="D1246">
            <v>0</v>
          </cell>
        </row>
        <row r="1247">
          <cell r="A1247" t="str">
            <v>4130.ProdRelated_5015</v>
          </cell>
          <cell r="D1247">
            <v>-584</v>
          </cell>
        </row>
        <row r="1248">
          <cell r="A1248" t="str">
            <v>4130.ProdRelated_5015</v>
          </cell>
          <cell r="D1248">
            <v>-383.56</v>
          </cell>
        </row>
        <row r="1249">
          <cell r="A1249" t="str">
            <v>4130.ProdRelated_5015</v>
          </cell>
          <cell r="D1249">
            <v>-2401.9499999999998</v>
          </cell>
        </row>
        <row r="1250">
          <cell r="A1250" t="str">
            <v>4130.ProdRelated_5015</v>
          </cell>
          <cell r="D1250">
            <v>0</v>
          </cell>
        </row>
        <row r="1251">
          <cell r="A1251" t="str">
            <v>4130.ProdRelated_5015</v>
          </cell>
          <cell r="D1251">
            <v>0</v>
          </cell>
        </row>
        <row r="1252">
          <cell r="A1252" t="str">
            <v>4130.ProdRelated_5015</v>
          </cell>
          <cell r="D1252">
            <v>-421.88</v>
          </cell>
        </row>
        <row r="1253">
          <cell r="A1253" t="str">
            <v>4130.ProdRelated_5015</v>
          </cell>
          <cell r="D1253">
            <v>0</v>
          </cell>
        </row>
        <row r="1254">
          <cell r="A1254" t="str">
            <v>4130.ProdRelated_5015</v>
          </cell>
          <cell r="D1254">
            <v>-704.58</v>
          </cell>
        </row>
        <row r="1255">
          <cell r="A1255" t="str">
            <v>4130.ProdRelated_5015</v>
          </cell>
          <cell r="D1255">
            <v>0</v>
          </cell>
        </row>
        <row r="1256">
          <cell r="A1256" t="str">
            <v>4130.ProdRelated_5015</v>
          </cell>
          <cell r="D1256">
            <v>-1164.19</v>
          </cell>
        </row>
        <row r="1257">
          <cell r="A1257" t="str">
            <v>4130.ProdRelated_5015</v>
          </cell>
          <cell r="D1257">
            <v>0</v>
          </cell>
        </row>
        <row r="1258">
          <cell r="A1258" t="str">
            <v>4130.ProdRelated_5015</v>
          </cell>
          <cell r="D1258">
            <v>0</v>
          </cell>
        </row>
        <row r="1259">
          <cell r="A1259" t="str">
            <v>4130.ProdRelated_5015</v>
          </cell>
          <cell r="D1259">
            <v>0</v>
          </cell>
        </row>
        <row r="1260">
          <cell r="A1260" t="str">
            <v>4130.ProdRelated_5015</v>
          </cell>
          <cell r="D1260">
            <v>0</v>
          </cell>
        </row>
        <row r="1261">
          <cell r="A1261" t="str">
            <v>4130.ProdRelated_5015</v>
          </cell>
          <cell r="D1261">
            <v>0</v>
          </cell>
        </row>
        <row r="1262">
          <cell r="A1262" t="str">
            <v>4130.ProdRelated_5015</v>
          </cell>
          <cell r="D1262">
            <v>-2901.21</v>
          </cell>
        </row>
        <row r="1263">
          <cell r="A1263" t="str">
            <v>4130.ProdRelated_5015</v>
          </cell>
          <cell r="D1263">
            <v>0</v>
          </cell>
        </row>
        <row r="1264">
          <cell r="A1264" t="str">
            <v>Short Lived Tools</v>
          </cell>
          <cell r="D1264">
            <v>-8561.369999999999</v>
          </cell>
        </row>
        <row r="1265">
          <cell r="A1265" t="str">
            <v>4130.ProdRelated_5005</v>
          </cell>
          <cell r="D1265">
            <v>0</v>
          </cell>
        </row>
        <row r="1266">
          <cell r="A1266" t="str">
            <v>4130.ProdRelated_5005</v>
          </cell>
          <cell r="D1266">
            <v>-3468.59</v>
          </cell>
        </row>
        <row r="1267">
          <cell r="A1267" t="str">
            <v>4130.ProdRelated_5005</v>
          </cell>
          <cell r="D1267">
            <v>-1412.84</v>
          </cell>
        </row>
        <row r="1268">
          <cell r="A1268" t="str">
            <v>4130.ProdRelated_5005</v>
          </cell>
          <cell r="D1268">
            <v>-126.61</v>
          </cell>
        </row>
        <row r="1269">
          <cell r="A1269" t="str">
            <v>4130.ProdRelated_5005</v>
          </cell>
          <cell r="D1269">
            <v>-1557</v>
          </cell>
        </row>
        <row r="1270">
          <cell r="A1270" t="str">
            <v>4130.ProdRelated_5005</v>
          </cell>
          <cell r="D1270">
            <v>0</v>
          </cell>
        </row>
        <row r="1271">
          <cell r="A1271" t="str">
            <v>4130.ProdRelated_5005</v>
          </cell>
          <cell r="D1271">
            <v>0</v>
          </cell>
        </row>
        <row r="1272">
          <cell r="A1272" t="str">
            <v>4130.ProdRelated_5005</v>
          </cell>
          <cell r="D1272">
            <v>0</v>
          </cell>
        </row>
        <row r="1273">
          <cell r="A1273" t="str">
            <v>4130.ProdRelated_5005</v>
          </cell>
          <cell r="D1273">
            <v>-4128.03</v>
          </cell>
        </row>
        <row r="1274">
          <cell r="A1274" t="str">
            <v>4130.ProdRelated_5005</v>
          </cell>
          <cell r="D1274">
            <v>0</v>
          </cell>
        </row>
        <row r="1275">
          <cell r="A1275" t="str">
            <v>4130.ProdRelated_5005</v>
          </cell>
          <cell r="D1275">
            <v>-1017.02</v>
          </cell>
        </row>
        <row r="1276">
          <cell r="A1276" t="str">
            <v>4130.ProdRelated_5005</v>
          </cell>
          <cell r="D1276">
            <v>0</v>
          </cell>
        </row>
        <row r="1277">
          <cell r="A1277" t="str">
            <v>4130.ProdRelated_5005</v>
          </cell>
          <cell r="D1277">
            <v>-656.51</v>
          </cell>
        </row>
        <row r="1278">
          <cell r="A1278" t="str">
            <v>4130.ProdRelated_5005</v>
          </cell>
          <cell r="D1278">
            <v>0</v>
          </cell>
        </row>
        <row r="1279">
          <cell r="A1279" t="str">
            <v>4130.ProdRelated_5005</v>
          </cell>
          <cell r="D1279">
            <v>-678.16</v>
          </cell>
        </row>
        <row r="1280">
          <cell r="A1280" t="str">
            <v>4130.ProdRelated_5005</v>
          </cell>
          <cell r="D1280">
            <v>0</v>
          </cell>
        </row>
        <row r="1281">
          <cell r="A1281" t="str">
            <v>4130.ProdRelated_5005</v>
          </cell>
          <cell r="D1281">
            <v>0</v>
          </cell>
        </row>
        <row r="1282">
          <cell r="A1282" t="str">
            <v>Gen. Manufacturing Supplies</v>
          </cell>
          <cell r="D1282">
            <v>-13044.76</v>
          </cell>
        </row>
        <row r="1283">
          <cell r="A1283" t="str">
            <v>4130.Occupancy_3015</v>
          </cell>
          <cell r="D1283">
            <v>-6769.06</v>
          </cell>
        </row>
        <row r="1284">
          <cell r="A1284" t="str">
            <v>4130.Occupancy_3015</v>
          </cell>
          <cell r="D1284">
            <v>-804.48</v>
          </cell>
        </row>
        <row r="1285">
          <cell r="A1285" t="str">
            <v>4130.Occupancy_3015</v>
          </cell>
          <cell r="D1285">
            <v>0</v>
          </cell>
        </row>
        <row r="1286">
          <cell r="A1286" t="str">
            <v>4130.Occupancy_3015</v>
          </cell>
          <cell r="D1286">
            <v>0</v>
          </cell>
        </row>
        <row r="1287">
          <cell r="A1287" t="str">
            <v>4130.Occupancy_3015</v>
          </cell>
          <cell r="D1287">
            <v>0</v>
          </cell>
        </row>
        <row r="1288">
          <cell r="A1288" t="str">
            <v>4130.Occupancy_3015</v>
          </cell>
          <cell r="D1288">
            <v>0</v>
          </cell>
        </row>
        <row r="1289">
          <cell r="A1289" t="str">
            <v>4130.Occupancy_3015</v>
          </cell>
          <cell r="D1289">
            <v>0</v>
          </cell>
        </row>
        <row r="1290">
          <cell r="A1290" t="str">
            <v>4130.Occupancy_3015</v>
          </cell>
          <cell r="D1290">
            <v>0</v>
          </cell>
        </row>
        <row r="1291">
          <cell r="A1291" t="str">
            <v>4130.Occupancy_3015</v>
          </cell>
          <cell r="D1291">
            <v>0</v>
          </cell>
        </row>
        <row r="1292">
          <cell r="A1292" t="str">
            <v>4130.Occupancy_3015</v>
          </cell>
          <cell r="D1292">
            <v>0</v>
          </cell>
        </row>
        <row r="1293">
          <cell r="A1293" t="str">
            <v>4130.Occupancy_3015</v>
          </cell>
          <cell r="D1293">
            <v>0</v>
          </cell>
        </row>
        <row r="1294">
          <cell r="A1294" t="str">
            <v>Building Maintenance</v>
          </cell>
          <cell r="D1294">
            <v>-7573.5400000000009</v>
          </cell>
        </row>
        <row r="1295">
          <cell r="A1295" t="str">
            <v>4130.1025</v>
          </cell>
          <cell r="D1295">
            <v>-802.41</v>
          </cell>
        </row>
        <row r="1296">
          <cell r="A1296" t="str">
            <v>4130.1025</v>
          </cell>
          <cell r="D1296">
            <v>-2252.02</v>
          </cell>
        </row>
        <row r="1297">
          <cell r="A1297" t="str">
            <v>4130.1025</v>
          </cell>
          <cell r="D1297">
            <v>-2764.8</v>
          </cell>
        </row>
        <row r="1298">
          <cell r="A1298" t="str">
            <v>4130.1025</v>
          </cell>
          <cell r="D1298">
            <v>0</v>
          </cell>
        </row>
        <row r="1299">
          <cell r="A1299" t="str">
            <v>4130.1025</v>
          </cell>
          <cell r="D1299">
            <v>-785.81</v>
          </cell>
        </row>
        <row r="1300">
          <cell r="A1300" t="str">
            <v>4130.1025</v>
          </cell>
          <cell r="D1300">
            <v>0</v>
          </cell>
        </row>
        <row r="1301">
          <cell r="A1301" t="str">
            <v>4130.1025</v>
          </cell>
          <cell r="D1301">
            <v>0</v>
          </cell>
        </row>
        <row r="1302">
          <cell r="A1302" t="str">
            <v>4130.1025</v>
          </cell>
          <cell r="D1302">
            <v>0</v>
          </cell>
        </row>
        <row r="1303">
          <cell r="A1303" t="str">
            <v>4130.1025</v>
          </cell>
          <cell r="D1303">
            <v>0</v>
          </cell>
        </row>
        <row r="1304">
          <cell r="A1304" t="str">
            <v>4130.1025</v>
          </cell>
          <cell r="D1304">
            <v>0</v>
          </cell>
        </row>
        <row r="1305">
          <cell r="A1305" t="str">
            <v>4130.1025</v>
          </cell>
          <cell r="D1305">
            <v>-238.41</v>
          </cell>
        </row>
        <row r="1306">
          <cell r="A1306" t="str">
            <v>4130.1025</v>
          </cell>
          <cell r="D1306">
            <v>-440.56</v>
          </cell>
        </row>
        <row r="1307">
          <cell r="A1307" t="str">
            <v>4130.1025</v>
          </cell>
          <cell r="D1307">
            <v>-260</v>
          </cell>
        </row>
        <row r="1308">
          <cell r="A1308" t="str">
            <v>4130.1025</v>
          </cell>
          <cell r="D1308">
            <v>0</v>
          </cell>
        </row>
        <row r="1309">
          <cell r="A1309" t="str">
            <v>4130.1025</v>
          </cell>
          <cell r="D1309">
            <v>-377.61</v>
          </cell>
        </row>
        <row r="1310">
          <cell r="A1310" t="str">
            <v>4130.1025</v>
          </cell>
          <cell r="D1310">
            <v>-355.67</v>
          </cell>
        </row>
        <row r="1311">
          <cell r="A1311" t="str">
            <v>4130.1025</v>
          </cell>
          <cell r="D1311">
            <v>-2535.65</v>
          </cell>
        </row>
        <row r="1312">
          <cell r="A1312" t="str">
            <v>4130.1025</v>
          </cell>
          <cell r="D1312">
            <v>-1151.4000000000001</v>
          </cell>
        </row>
        <row r="1313">
          <cell r="A1313" t="str">
            <v>4130.1025</v>
          </cell>
          <cell r="D1313">
            <v>0</v>
          </cell>
        </row>
        <row r="1314">
          <cell r="A1314" t="str">
            <v>4130.1025</v>
          </cell>
          <cell r="D1314">
            <v>0</v>
          </cell>
        </row>
        <row r="1315">
          <cell r="A1315" t="str">
            <v>4130.1025</v>
          </cell>
          <cell r="D1315">
            <v>-390.6</v>
          </cell>
        </row>
        <row r="1316">
          <cell r="A1316" t="str">
            <v>4130.1025</v>
          </cell>
          <cell r="D1316">
            <v>-1207.78</v>
          </cell>
        </row>
        <row r="1317">
          <cell r="A1317" t="str">
            <v>4130.1025</v>
          </cell>
          <cell r="D1317">
            <v>-135.32</v>
          </cell>
        </row>
        <row r="1318">
          <cell r="A1318" t="str">
            <v>4130.1025</v>
          </cell>
          <cell r="D1318">
            <v>0</v>
          </cell>
        </row>
        <row r="1319">
          <cell r="A1319" t="str">
            <v>4130.1025</v>
          </cell>
          <cell r="D1319">
            <v>-19.3</v>
          </cell>
        </row>
        <row r="1320">
          <cell r="A1320" t="str">
            <v>4130.1025</v>
          </cell>
          <cell r="D1320">
            <v>-88.7</v>
          </cell>
        </row>
        <row r="1321">
          <cell r="A1321" t="str">
            <v>4130.1025</v>
          </cell>
          <cell r="D1321">
            <v>0</v>
          </cell>
        </row>
        <row r="1322">
          <cell r="A1322" t="str">
            <v>4130.1025</v>
          </cell>
          <cell r="D1322">
            <v>0</v>
          </cell>
        </row>
        <row r="1323">
          <cell r="A1323" t="str">
            <v>4130.1025</v>
          </cell>
          <cell r="D1323">
            <v>-8380.31</v>
          </cell>
        </row>
        <row r="1324">
          <cell r="A1324" t="str">
            <v>4130.1025</v>
          </cell>
          <cell r="D1324">
            <v>-4909.95</v>
          </cell>
        </row>
        <row r="1325">
          <cell r="A1325" t="str">
            <v>4130.1025</v>
          </cell>
          <cell r="D1325">
            <v>-3124.09</v>
          </cell>
        </row>
        <row r="1326">
          <cell r="A1326" t="str">
            <v>4130.1025</v>
          </cell>
          <cell r="D1326">
            <v>0</v>
          </cell>
        </row>
        <row r="1327">
          <cell r="A1327" t="str">
            <v>4130.1025</v>
          </cell>
          <cell r="D1327">
            <v>-669.94</v>
          </cell>
        </row>
        <row r="1328">
          <cell r="A1328" t="str">
            <v>Travel Costs</v>
          </cell>
          <cell r="D1328">
            <v>-30890.329999999998</v>
          </cell>
        </row>
        <row r="1329">
          <cell r="A1329" t="str">
            <v>4130.1035</v>
          </cell>
          <cell r="D1329">
            <v>-22560.82</v>
          </cell>
        </row>
        <row r="1330">
          <cell r="A1330" t="str">
            <v>4130.1035</v>
          </cell>
          <cell r="D1330">
            <v>0</v>
          </cell>
        </row>
        <row r="1331">
          <cell r="A1331" t="str">
            <v>4130.1035</v>
          </cell>
          <cell r="D1331">
            <v>0</v>
          </cell>
        </row>
        <row r="1332">
          <cell r="A1332" t="str">
            <v>4130.1035</v>
          </cell>
          <cell r="D1332">
            <v>0</v>
          </cell>
        </row>
        <row r="1333">
          <cell r="A1333" t="str">
            <v>4130.1035</v>
          </cell>
          <cell r="D1333">
            <v>-30845.86</v>
          </cell>
        </row>
        <row r="1334">
          <cell r="A1334" t="str">
            <v>4130.1035</v>
          </cell>
          <cell r="D1334">
            <v>0</v>
          </cell>
        </row>
        <row r="1335">
          <cell r="A1335" t="str">
            <v>4130.1035</v>
          </cell>
          <cell r="D1335">
            <v>0</v>
          </cell>
        </row>
        <row r="1336">
          <cell r="A1336" t="str">
            <v>4130.1035</v>
          </cell>
          <cell r="D1336">
            <v>0</v>
          </cell>
        </row>
        <row r="1337">
          <cell r="A1337" t="str">
            <v>Depreciation</v>
          </cell>
          <cell r="D1337">
            <v>-53406.68</v>
          </cell>
        </row>
        <row r="1338">
          <cell r="A1338" t="str">
            <v>4130.Personnel_1025</v>
          </cell>
          <cell r="D1338">
            <v>-544.66</v>
          </cell>
        </row>
        <row r="1339">
          <cell r="A1339" t="str">
            <v>4130.Personnel_1025</v>
          </cell>
          <cell r="D1339">
            <v>0</v>
          </cell>
        </row>
        <row r="1340">
          <cell r="A1340" t="str">
            <v>4130.Personnel_1025</v>
          </cell>
          <cell r="D1340">
            <v>-199.03</v>
          </cell>
        </row>
        <row r="1341">
          <cell r="A1341" t="str">
            <v>4130.Personnel_1025</v>
          </cell>
          <cell r="D1341">
            <v>0</v>
          </cell>
        </row>
        <row r="1342">
          <cell r="A1342" t="str">
            <v>4130.Personnel_1025</v>
          </cell>
          <cell r="D1342">
            <v>-937.96</v>
          </cell>
        </row>
        <row r="1343">
          <cell r="A1343" t="str">
            <v>4130.Personnel_1025</v>
          </cell>
          <cell r="D1343">
            <v>0</v>
          </cell>
        </row>
        <row r="1344">
          <cell r="A1344" t="str">
            <v>Outside Contractors</v>
          </cell>
          <cell r="D1344">
            <v>-1681.65</v>
          </cell>
        </row>
        <row r="1345">
          <cell r="A1345" t="str">
            <v>4130.ProdRelated_5020</v>
          </cell>
          <cell r="D1345">
            <v>-3796.5</v>
          </cell>
        </row>
        <row r="1346">
          <cell r="A1346" t="str">
            <v>Equipment Service Contracts</v>
          </cell>
          <cell r="D1346">
            <v>-3796.5</v>
          </cell>
        </row>
        <row r="1347">
          <cell r="A1347" t="str">
            <v>4130.Occupancy_3045</v>
          </cell>
          <cell r="D1347">
            <v>-12307.5</v>
          </cell>
        </row>
        <row r="1348">
          <cell r="A1348" t="str">
            <v>4130.Occupancy_3045</v>
          </cell>
          <cell r="D1348">
            <v>-631.15</v>
          </cell>
        </row>
        <row r="1349">
          <cell r="A1349" t="str">
            <v>4130.Occupancy_3045</v>
          </cell>
          <cell r="D1349">
            <v>-631.15</v>
          </cell>
        </row>
        <row r="1350">
          <cell r="A1350" t="str">
            <v>4130.Occupancy_3045</v>
          </cell>
          <cell r="D1350">
            <v>0</v>
          </cell>
        </row>
        <row r="1351">
          <cell r="A1351" t="str">
            <v>4130.Occupancy_3045</v>
          </cell>
          <cell r="D1351">
            <v>0</v>
          </cell>
        </row>
        <row r="1352">
          <cell r="A1352" t="str">
            <v>4130.Occupancy_3045</v>
          </cell>
          <cell r="D1352">
            <v>2020.1</v>
          </cell>
        </row>
        <row r="1353">
          <cell r="A1353" t="str">
            <v>4130.Occupancy_3045</v>
          </cell>
          <cell r="D1353">
            <v>0</v>
          </cell>
        </row>
        <row r="1354">
          <cell r="A1354" t="str">
            <v>Facilities Expense</v>
          </cell>
          <cell r="D1354">
            <v>-11549.699999999999</v>
          </cell>
        </row>
        <row r="1355">
          <cell r="A1355" t="str">
            <v>4130.1065</v>
          </cell>
          <cell r="D1355">
            <v>-34720.019999999997</v>
          </cell>
        </row>
        <row r="1356">
          <cell r="A1356" t="str">
            <v>4130.1065</v>
          </cell>
          <cell r="D1356">
            <v>-34117.61</v>
          </cell>
        </row>
        <row r="1357">
          <cell r="A1357" t="str">
            <v>4130.1065</v>
          </cell>
          <cell r="D1357">
            <v>0</v>
          </cell>
        </row>
        <row r="1358">
          <cell r="A1358" t="str">
            <v>Installation &amp; Warranty Costs</v>
          </cell>
          <cell r="D1358">
            <v>-68837.63</v>
          </cell>
        </row>
        <row r="1359">
          <cell r="A1359" t="str">
            <v>4130.1060</v>
          </cell>
          <cell r="D1359">
            <v>52255</v>
          </cell>
        </row>
        <row r="1360">
          <cell r="A1360" t="str">
            <v>Inventory Obsolenscense Costs</v>
          </cell>
          <cell r="D1360">
            <v>52255</v>
          </cell>
        </row>
        <row r="1361">
          <cell r="A1361" t="str">
            <v>4130.1075</v>
          </cell>
          <cell r="D1361">
            <v>45121.95</v>
          </cell>
        </row>
        <row r="1362">
          <cell r="A1362" t="str">
            <v>4130.1075</v>
          </cell>
          <cell r="D1362">
            <v>59299.63</v>
          </cell>
        </row>
        <row r="1363">
          <cell r="A1363" t="str">
            <v>Inventory Absorption</v>
          </cell>
          <cell r="D1363">
            <v>104421.57999999999</v>
          </cell>
        </row>
        <row r="1364">
          <cell r="A1364" t="str">
            <v>4130.Other.Other</v>
          </cell>
          <cell r="D1364">
            <v>0</v>
          </cell>
        </row>
        <row r="1365">
          <cell r="A1365" t="str">
            <v>4130.Other.Other</v>
          </cell>
          <cell r="D1365">
            <v>-97.46</v>
          </cell>
        </row>
        <row r="1366">
          <cell r="A1366" t="str">
            <v>4130.Other.Other</v>
          </cell>
          <cell r="D1366">
            <v>-88.36</v>
          </cell>
        </row>
        <row r="1367">
          <cell r="A1367" t="str">
            <v>4130.Other.Other</v>
          </cell>
          <cell r="D1367">
            <v>-66.55</v>
          </cell>
        </row>
        <row r="1368">
          <cell r="A1368" t="str">
            <v>4130.Other.Other</v>
          </cell>
          <cell r="D1368">
            <v>0</v>
          </cell>
        </row>
        <row r="1369">
          <cell r="A1369" t="str">
            <v>4130.Other.Other</v>
          </cell>
          <cell r="D1369">
            <v>0</v>
          </cell>
        </row>
        <row r="1370">
          <cell r="A1370" t="str">
            <v>4130.Other.Other</v>
          </cell>
          <cell r="D1370">
            <v>0</v>
          </cell>
        </row>
        <row r="1371">
          <cell r="A1371" t="str">
            <v>4130.Other.Other</v>
          </cell>
          <cell r="D1371">
            <v>-120</v>
          </cell>
        </row>
        <row r="1372">
          <cell r="A1372" t="str">
            <v>4130.Other.Other</v>
          </cell>
          <cell r="D1372">
            <v>-3754.43</v>
          </cell>
        </row>
        <row r="1373">
          <cell r="A1373" t="str">
            <v>4130.Other.Other</v>
          </cell>
          <cell r="D1373">
            <v>0</v>
          </cell>
        </row>
        <row r="1374">
          <cell r="A1374" t="str">
            <v>4130.Other.Other</v>
          </cell>
          <cell r="D1374">
            <v>0</v>
          </cell>
        </row>
        <row r="1375">
          <cell r="A1375" t="str">
            <v>4130.Other.Other</v>
          </cell>
          <cell r="D1375">
            <v>0</v>
          </cell>
        </row>
        <row r="1376">
          <cell r="A1376" t="str">
            <v>4130.Other.Other</v>
          </cell>
          <cell r="D1376">
            <v>0</v>
          </cell>
        </row>
        <row r="1377">
          <cell r="A1377" t="str">
            <v>4130.Other.Other</v>
          </cell>
          <cell r="D1377">
            <v>0</v>
          </cell>
        </row>
        <row r="1378">
          <cell r="A1378" t="str">
            <v>4130.Other.Other</v>
          </cell>
          <cell r="D1378">
            <v>0</v>
          </cell>
        </row>
        <row r="1379">
          <cell r="A1379" t="str">
            <v>4130.Other.Other</v>
          </cell>
          <cell r="D1379">
            <v>0</v>
          </cell>
        </row>
        <row r="1380">
          <cell r="A1380" t="str">
            <v>4130.Other.Other</v>
          </cell>
          <cell r="D1380">
            <v>-94.5</v>
          </cell>
        </row>
        <row r="1381">
          <cell r="A1381" t="str">
            <v>4130.Other.Other</v>
          </cell>
          <cell r="D1381">
            <v>-35</v>
          </cell>
        </row>
        <row r="1382">
          <cell r="A1382" t="str">
            <v>4130.Other.Other</v>
          </cell>
          <cell r="D1382">
            <v>0</v>
          </cell>
        </row>
        <row r="1383">
          <cell r="A1383" t="str">
            <v>4130.Other.Other</v>
          </cell>
          <cell r="D1383">
            <v>0</v>
          </cell>
        </row>
        <row r="1384">
          <cell r="A1384" t="str">
            <v>4130.Other.Other</v>
          </cell>
          <cell r="D1384">
            <v>0</v>
          </cell>
        </row>
        <row r="1385">
          <cell r="A1385" t="str">
            <v>4130.Other.Other</v>
          </cell>
          <cell r="D1385">
            <v>0</v>
          </cell>
        </row>
        <row r="1386">
          <cell r="A1386" t="str">
            <v>4130.Other.Other</v>
          </cell>
          <cell r="D1386">
            <v>-104</v>
          </cell>
        </row>
        <row r="1387">
          <cell r="A1387" t="str">
            <v>4130.Other.Other</v>
          </cell>
          <cell r="D1387">
            <v>0</v>
          </cell>
        </row>
        <row r="1388">
          <cell r="A1388" t="str">
            <v>4130.Other.Other</v>
          </cell>
          <cell r="D1388">
            <v>0</v>
          </cell>
        </row>
        <row r="1389">
          <cell r="A1389" t="str">
            <v>4130.Other.Other</v>
          </cell>
          <cell r="D1389">
            <v>-6706.85</v>
          </cell>
        </row>
        <row r="1390">
          <cell r="A1390" t="str">
            <v>Other</v>
          </cell>
          <cell r="D1390">
            <v>-11067.150000000001</v>
          </cell>
        </row>
        <row r="1391">
          <cell r="A1391" t="str">
            <v>OVERHEAD</v>
          </cell>
          <cell r="D1391">
            <v>-880652.10000000021</v>
          </cell>
        </row>
        <row r="1393">
          <cell r="A1393" t="str">
            <v>4200.1000</v>
          </cell>
          <cell r="D1393">
            <v>-76178.559999999998</v>
          </cell>
        </row>
        <row r="1394">
          <cell r="A1394" t="str">
            <v>4200.1000</v>
          </cell>
          <cell r="D1394">
            <v>0</v>
          </cell>
        </row>
        <row r="1395">
          <cell r="A1395" t="str">
            <v>4200.1000</v>
          </cell>
          <cell r="D1395">
            <v>0</v>
          </cell>
        </row>
        <row r="1396">
          <cell r="A1396" t="str">
            <v>4200.1000</v>
          </cell>
          <cell r="D1396">
            <v>-6094.26</v>
          </cell>
        </row>
        <row r="1397">
          <cell r="A1397" t="str">
            <v>4200.1000</v>
          </cell>
          <cell r="D1397">
            <v>0</v>
          </cell>
        </row>
        <row r="1398">
          <cell r="A1398" t="str">
            <v>4200.1000</v>
          </cell>
          <cell r="D1398">
            <v>0</v>
          </cell>
        </row>
        <row r="1399">
          <cell r="A1399" t="str">
            <v>4200.1000</v>
          </cell>
          <cell r="D1399">
            <v>0</v>
          </cell>
        </row>
        <row r="1400">
          <cell r="A1400" t="str">
            <v>Salaries &amp; Wages</v>
          </cell>
          <cell r="D1400">
            <v>-82272.819999999992</v>
          </cell>
        </row>
        <row r="1401">
          <cell r="A1401" t="str">
            <v>4200.Personnel_1015</v>
          </cell>
          <cell r="D1401">
            <v>-9286.0499999999993</v>
          </cell>
        </row>
        <row r="1402">
          <cell r="A1402" t="str">
            <v>Bonuses</v>
          </cell>
          <cell r="D1402">
            <v>-9286.0499999999993</v>
          </cell>
        </row>
        <row r="1403">
          <cell r="A1403" t="str">
            <v>4200.1005</v>
          </cell>
          <cell r="D1403">
            <v>0</v>
          </cell>
        </row>
        <row r="1404">
          <cell r="A1404" t="str">
            <v>4200.1005</v>
          </cell>
          <cell r="D1404">
            <v>-6929.85</v>
          </cell>
        </row>
        <row r="1405">
          <cell r="A1405" t="str">
            <v>4200.1005</v>
          </cell>
          <cell r="D1405">
            <v>-11944.6</v>
          </cell>
        </row>
        <row r="1406">
          <cell r="A1406" t="str">
            <v>4200.1005</v>
          </cell>
          <cell r="D1406">
            <v>0</v>
          </cell>
        </row>
        <row r="1407">
          <cell r="A1407" t="str">
            <v>4200.1005</v>
          </cell>
          <cell r="D1407">
            <v>348.35</v>
          </cell>
        </row>
        <row r="1408">
          <cell r="A1408" t="str">
            <v>4200.1005</v>
          </cell>
          <cell r="D1408">
            <v>-3317.2</v>
          </cell>
        </row>
        <row r="1409">
          <cell r="A1409" t="str">
            <v>4200.1005</v>
          </cell>
          <cell r="D1409">
            <v>0</v>
          </cell>
        </row>
        <row r="1410">
          <cell r="A1410" t="str">
            <v>4200.1005</v>
          </cell>
          <cell r="D1410">
            <v>-2108.94</v>
          </cell>
        </row>
        <row r="1411">
          <cell r="A1411" t="str">
            <v>4200.1005</v>
          </cell>
          <cell r="D1411">
            <v>-45.99</v>
          </cell>
        </row>
        <row r="1412">
          <cell r="A1412" t="str">
            <v>4200.1005</v>
          </cell>
          <cell r="D1412">
            <v>0</v>
          </cell>
        </row>
        <row r="1413">
          <cell r="A1413" t="str">
            <v>4200.1005</v>
          </cell>
          <cell r="D1413">
            <v>0</v>
          </cell>
        </row>
        <row r="1414">
          <cell r="A1414" t="str">
            <v>Fringe Benefits</v>
          </cell>
          <cell r="D1414">
            <v>-23998.230000000003</v>
          </cell>
        </row>
        <row r="1415">
          <cell r="A1415" t="str">
            <v>4200.Occupancy_3010</v>
          </cell>
          <cell r="D1415">
            <v>-1337.76</v>
          </cell>
        </row>
        <row r="1416">
          <cell r="A1416" t="str">
            <v>Utilities</v>
          </cell>
          <cell r="D1416">
            <v>-1337.76</v>
          </cell>
        </row>
        <row r="1417">
          <cell r="A1417" t="str">
            <v>4200.1045</v>
          </cell>
          <cell r="D1417">
            <v>-5579.91</v>
          </cell>
        </row>
        <row r="1418">
          <cell r="A1418" t="str">
            <v>4200.1045</v>
          </cell>
          <cell r="D1418">
            <v>0</v>
          </cell>
        </row>
        <row r="1419">
          <cell r="A1419" t="str">
            <v>4200.1045</v>
          </cell>
          <cell r="D1419">
            <v>0</v>
          </cell>
        </row>
        <row r="1420">
          <cell r="A1420" t="str">
            <v>Telephone &amp; Fax</v>
          </cell>
          <cell r="D1420">
            <v>-5579.91</v>
          </cell>
        </row>
        <row r="1421">
          <cell r="A1421" t="str">
            <v>4200.GenAdmin_6040</v>
          </cell>
          <cell r="D1421">
            <v>0</v>
          </cell>
        </row>
        <row r="1422">
          <cell r="A1422" t="str">
            <v>Misc. State &amp; Local Taxes</v>
          </cell>
          <cell r="D1422">
            <v>0</v>
          </cell>
        </row>
        <row r="1423">
          <cell r="A1423" t="str">
            <v>4200.GenAdmin_6035</v>
          </cell>
          <cell r="D1423">
            <v>0</v>
          </cell>
        </row>
        <row r="1424">
          <cell r="A1424" t="str">
            <v>4200.GenAdmin_6035</v>
          </cell>
          <cell r="D1424">
            <v>-741.62</v>
          </cell>
        </row>
        <row r="1425">
          <cell r="A1425" t="str">
            <v>General Insurance</v>
          </cell>
          <cell r="D1425">
            <v>-741.62</v>
          </cell>
        </row>
        <row r="1426">
          <cell r="A1426" t="str">
            <v>4200.1055</v>
          </cell>
          <cell r="D1426">
            <v>-17.28</v>
          </cell>
        </row>
        <row r="1427">
          <cell r="A1427" t="str">
            <v>4200.1055</v>
          </cell>
          <cell r="D1427">
            <v>-62.06</v>
          </cell>
        </row>
        <row r="1428">
          <cell r="A1428" t="str">
            <v>4200.1055</v>
          </cell>
          <cell r="D1428">
            <v>-65.849999999999994</v>
          </cell>
        </row>
        <row r="1429">
          <cell r="A1429" t="str">
            <v>4200.1055</v>
          </cell>
          <cell r="D1429">
            <v>-406.71</v>
          </cell>
        </row>
        <row r="1430">
          <cell r="A1430" t="str">
            <v>4200.1055</v>
          </cell>
          <cell r="D1430">
            <v>-527.15</v>
          </cell>
        </row>
        <row r="1431">
          <cell r="A1431" t="str">
            <v>4200.1055</v>
          </cell>
          <cell r="D1431">
            <v>0</v>
          </cell>
        </row>
        <row r="1432">
          <cell r="A1432" t="str">
            <v>Office Supplies</v>
          </cell>
          <cell r="D1432">
            <v>-1079.05</v>
          </cell>
        </row>
        <row r="1433">
          <cell r="A1433" t="str">
            <v>4200.1025</v>
          </cell>
          <cell r="D1433">
            <v>-3723</v>
          </cell>
        </row>
        <row r="1434">
          <cell r="A1434" t="str">
            <v>4200.1025</v>
          </cell>
          <cell r="D1434">
            <v>0</v>
          </cell>
        </row>
        <row r="1435">
          <cell r="A1435" t="str">
            <v>4200.1025</v>
          </cell>
          <cell r="D1435">
            <v>-2990.62</v>
          </cell>
        </row>
        <row r="1436">
          <cell r="A1436" t="str">
            <v>4200.1025</v>
          </cell>
          <cell r="D1436">
            <v>-2984.85</v>
          </cell>
        </row>
        <row r="1437">
          <cell r="A1437" t="str">
            <v>4200.1025</v>
          </cell>
          <cell r="D1437">
            <v>-22316.55</v>
          </cell>
        </row>
        <row r="1438">
          <cell r="A1438" t="str">
            <v>4200.1025</v>
          </cell>
          <cell r="D1438">
            <v>-672.76</v>
          </cell>
        </row>
        <row r="1439">
          <cell r="A1439" t="str">
            <v>4200.1025</v>
          </cell>
          <cell r="D1439">
            <v>-723.58</v>
          </cell>
        </row>
        <row r="1440">
          <cell r="A1440" t="str">
            <v>4200.1025</v>
          </cell>
          <cell r="D1440">
            <v>-303.05</v>
          </cell>
        </row>
        <row r="1441">
          <cell r="A1441" t="str">
            <v>Travel Costs</v>
          </cell>
          <cell r="D1441">
            <v>-33714.409999999996</v>
          </cell>
        </row>
        <row r="1442">
          <cell r="A1442" t="str">
            <v>4200.SalesRelated_4010</v>
          </cell>
          <cell r="D1442">
            <v>0</v>
          </cell>
        </row>
        <row r="1443">
          <cell r="A1443" t="str">
            <v>4200.SalesRelated_4010</v>
          </cell>
          <cell r="D1443">
            <v>0</v>
          </cell>
        </row>
        <row r="1444">
          <cell r="A1444" t="str">
            <v>4200.SalesRelated_4010</v>
          </cell>
          <cell r="D1444">
            <v>0</v>
          </cell>
        </row>
        <row r="1445">
          <cell r="A1445" t="str">
            <v>4200.SalesRelated_4010</v>
          </cell>
          <cell r="D1445">
            <v>0</v>
          </cell>
        </row>
        <row r="1446">
          <cell r="A1446" t="str">
            <v>4200.SalesRelated_4010</v>
          </cell>
          <cell r="D1446">
            <v>0</v>
          </cell>
        </row>
        <row r="1447">
          <cell r="A1447" t="str">
            <v>Advertising Expense</v>
          </cell>
          <cell r="D1447">
            <v>0</v>
          </cell>
        </row>
        <row r="1448">
          <cell r="A1448" t="str">
            <v>4200.1020</v>
          </cell>
          <cell r="D1448">
            <v>0</v>
          </cell>
        </row>
        <row r="1449">
          <cell r="A1449" t="str">
            <v>4200.1020</v>
          </cell>
          <cell r="D1449">
            <v>-20767.509999999998</v>
          </cell>
        </row>
        <row r="1450">
          <cell r="A1450" t="str">
            <v>4200.1020</v>
          </cell>
          <cell r="D1450">
            <v>1533.5</v>
          </cell>
        </row>
        <row r="1451">
          <cell r="A1451" t="str">
            <v>4200.1020</v>
          </cell>
          <cell r="D1451">
            <v>0</v>
          </cell>
        </row>
        <row r="1452">
          <cell r="A1452" t="str">
            <v>4200.1020</v>
          </cell>
          <cell r="D1452">
            <v>0</v>
          </cell>
        </row>
        <row r="1453">
          <cell r="A1453" t="str">
            <v>Trade Shows, Exhibits &amp; Promo</v>
          </cell>
          <cell r="D1453">
            <v>-19234.009999999998</v>
          </cell>
        </row>
        <row r="1454">
          <cell r="A1454" t="str">
            <v>4200.1015</v>
          </cell>
          <cell r="D1454">
            <v>-114648.44</v>
          </cell>
        </row>
        <row r="1455">
          <cell r="A1455" t="str">
            <v>4200.1015</v>
          </cell>
          <cell r="D1455">
            <v>0</v>
          </cell>
        </row>
        <row r="1456">
          <cell r="A1456" t="str">
            <v>4200.1015</v>
          </cell>
          <cell r="D1456">
            <v>0</v>
          </cell>
        </row>
        <row r="1457">
          <cell r="A1457" t="str">
            <v>4200.1015</v>
          </cell>
          <cell r="D1457">
            <v>0</v>
          </cell>
        </row>
        <row r="1458">
          <cell r="A1458" t="str">
            <v>4200.1015</v>
          </cell>
          <cell r="D1458">
            <v>0</v>
          </cell>
        </row>
        <row r="1459">
          <cell r="A1459" t="str">
            <v>4200.1015</v>
          </cell>
          <cell r="D1459">
            <v>0</v>
          </cell>
        </row>
        <row r="1460">
          <cell r="A1460" t="str">
            <v>4200.1015</v>
          </cell>
          <cell r="D1460">
            <v>0</v>
          </cell>
        </row>
        <row r="1461">
          <cell r="A1461" t="str">
            <v>4200.1015</v>
          </cell>
          <cell r="D1461">
            <v>0</v>
          </cell>
        </row>
        <row r="1462">
          <cell r="A1462" t="str">
            <v>4200.1015</v>
          </cell>
          <cell r="D1462">
            <v>0</v>
          </cell>
        </row>
        <row r="1463">
          <cell r="A1463" t="str">
            <v>4200.1015</v>
          </cell>
          <cell r="D1463">
            <v>0</v>
          </cell>
        </row>
        <row r="1464">
          <cell r="A1464" t="str">
            <v>4200.1015</v>
          </cell>
          <cell r="D1464">
            <v>0</v>
          </cell>
        </row>
        <row r="1465">
          <cell r="A1465" t="str">
            <v>4200.1015</v>
          </cell>
          <cell r="D1465">
            <v>0</v>
          </cell>
        </row>
        <row r="1466">
          <cell r="A1466" t="str">
            <v>4200.1015</v>
          </cell>
          <cell r="D1466">
            <v>0</v>
          </cell>
        </row>
        <row r="1467">
          <cell r="A1467" t="str">
            <v>4200.1015</v>
          </cell>
          <cell r="D1467">
            <v>0</v>
          </cell>
        </row>
        <row r="1468">
          <cell r="A1468" t="str">
            <v>4200.1015</v>
          </cell>
          <cell r="D1468">
            <v>0</v>
          </cell>
        </row>
        <row r="1469">
          <cell r="A1469" t="str">
            <v>4200.1015</v>
          </cell>
          <cell r="D1469">
            <v>0</v>
          </cell>
        </row>
        <row r="1470">
          <cell r="A1470" t="str">
            <v>4200.1015</v>
          </cell>
          <cell r="D1470">
            <v>0</v>
          </cell>
        </row>
        <row r="1471">
          <cell r="A1471" t="str">
            <v>4200.1015</v>
          </cell>
          <cell r="D1471">
            <v>0</v>
          </cell>
        </row>
        <row r="1472">
          <cell r="A1472" t="str">
            <v>4200.1015</v>
          </cell>
          <cell r="D1472">
            <v>0</v>
          </cell>
        </row>
        <row r="1473">
          <cell r="A1473" t="str">
            <v>4200.1015</v>
          </cell>
          <cell r="D1473">
            <v>0</v>
          </cell>
        </row>
        <row r="1474">
          <cell r="A1474" t="str">
            <v>4200.1015</v>
          </cell>
          <cell r="D1474">
            <v>0</v>
          </cell>
        </row>
        <row r="1475">
          <cell r="A1475" t="str">
            <v>4200.1015</v>
          </cell>
          <cell r="D1475">
            <v>0</v>
          </cell>
        </row>
        <row r="1476">
          <cell r="A1476" t="str">
            <v>4200.1015</v>
          </cell>
          <cell r="D1476">
            <v>0</v>
          </cell>
        </row>
        <row r="1477">
          <cell r="A1477" t="str">
            <v>4200.1015</v>
          </cell>
          <cell r="D1477">
            <v>0</v>
          </cell>
        </row>
        <row r="1478">
          <cell r="A1478" t="str">
            <v>4200.1015</v>
          </cell>
          <cell r="D1478">
            <v>0</v>
          </cell>
        </row>
        <row r="1479">
          <cell r="A1479" t="str">
            <v>4200.1015</v>
          </cell>
          <cell r="D1479">
            <v>0</v>
          </cell>
        </row>
        <row r="1480">
          <cell r="A1480" t="str">
            <v>4200.1015</v>
          </cell>
          <cell r="D1480">
            <v>0</v>
          </cell>
        </row>
        <row r="1481">
          <cell r="A1481" t="str">
            <v>4200.1015</v>
          </cell>
          <cell r="D1481">
            <v>0</v>
          </cell>
        </row>
        <row r="1482">
          <cell r="A1482" t="str">
            <v>4200.1015</v>
          </cell>
          <cell r="D1482">
            <v>0</v>
          </cell>
        </row>
        <row r="1483">
          <cell r="A1483" t="str">
            <v>4200.1015</v>
          </cell>
          <cell r="D1483">
            <v>0</v>
          </cell>
        </row>
        <row r="1484">
          <cell r="A1484" t="str">
            <v>4200.1015</v>
          </cell>
          <cell r="D1484">
            <v>0</v>
          </cell>
        </row>
        <row r="1485">
          <cell r="A1485" t="str">
            <v>4200.1015</v>
          </cell>
          <cell r="D1485">
            <v>0</v>
          </cell>
        </row>
        <row r="1486">
          <cell r="A1486" t="str">
            <v>4200.1015</v>
          </cell>
          <cell r="D1486">
            <v>0</v>
          </cell>
        </row>
        <row r="1487">
          <cell r="A1487" t="str">
            <v>4200.1015</v>
          </cell>
          <cell r="D1487">
            <v>0</v>
          </cell>
        </row>
        <row r="1488">
          <cell r="A1488" t="str">
            <v>4200.1015</v>
          </cell>
          <cell r="D1488">
            <v>0</v>
          </cell>
        </row>
        <row r="1489">
          <cell r="A1489" t="str">
            <v>4200.1015</v>
          </cell>
          <cell r="D1489">
            <v>0</v>
          </cell>
        </row>
        <row r="1490">
          <cell r="A1490" t="str">
            <v>4200.1015</v>
          </cell>
          <cell r="D1490">
            <v>0</v>
          </cell>
        </row>
        <row r="1491">
          <cell r="A1491" t="str">
            <v>4200.1015</v>
          </cell>
          <cell r="D1491">
            <v>-2294.6799999999998</v>
          </cell>
        </row>
        <row r="1492">
          <cell r="A1492" t="str">
            <v>Commissions</v>
          </cell>
          <cell r="D1492">
            <v>-116943.12</v>
          </cell>
        </row>
        <row r="1493">
          <cell r="A1493" t="str">
            <v>4200.Occupancy_3045</v>
          </cell>
          <cell r="D1493">
            <v>-631.15</v>
          </cell>
        </row>
        <row r="1494">
          <cell r="A1494" t="str">
            <v>Facilities Expense</v>
          </cell>
          <cell r="D1494">
            <v>-631.15</v>
          </cell>
        </row>
        <row r="1495">
          <cell r="A1495" t="str">
            <v>4200.Other.Other</v>
          </cell>
          <cell r="D1495">
            <v>-30</v>
          </cell>
        </row>
        <row r="1496">
          <cell r="A1496" t="str">
            <v>4200.Other.Other</v>
          </cell>
          <cell r="D1496">
            <v>0</v>
          </cell>
        </row>
        <row r="1497">
          <cell r="A1497" t="str">
            <v>4200.Other.Other</v>
          </cell>
          <cell r="D1497">
            <v>0</v>
          </cell>
        </row>
        <row r="1498">
          <cell r="A1498" t="str">
            <v>4200.Other.Other</v>
          </cell>
          <cell r="D1498">
            <v>0</v>
          </cell>
        </row>
        <row r="1499">
          <cell r="A1499" t="str">
            <v>4200.Other.Other</v>
          </cell>
          <cell r="D1499">
            <v>0</v>
          </cell>
        </row>
        <row r="1500">
          <cell r="A1500" t="str">
            <v>4200.Other.Other</v>
          </cell>
          <cell r="D1500">
            <v>-2565.23</v>
          </cell>
        </row>
        <row r="1501">
          <cell r="A1501" t="str">
            <v>4200.Other.Other</v>
          </cell>
          <cell r="D1501">
            <v>0</v>
          </cell>
        </row>
        <row r="1502">
          <cell r="A1502" t="str">
            <v>4200.Other.Other</v>
          </cell>
          <cell r="D1502">
            <v>-2085.61</v>
          </cell>
        </row>
        <row r="1503">
          <cell r="A1503" t="str">
            <v>4200.Other.Other</v>
          </cell>
          <cell r="D1503">
            <v>0</v>
          </cell>
        </row>
        <row r="1504">
          <cell r="A1504" t="str">
            <v>4200.Other.Other</v>
          </cell>
          <cell r="D1504">
            <v>0</v>
          </cell>
        </row>
        <row r="1505">
          <cell r="A1505" t="str">
            <v>4200.Other.Other</v>
          </cell>
          <cell r="D1505">
            <v>-298</v>
          </cell>
        </row>
        <row r="1506">
          <cell r="A1506" t="str">
            <v>4200.Other.Other</v>
          </cell>
          <cell r="D1506">
            <v>-88.06</v>
          </cell>
        </row>
        <row r="1507">
          <cell r="A1507" t="str">
            <v>4200.Other.Other</v>
          </cell>
          <cell r="D1507">
            <v>0</v>
          </cell>
        </row>
        <row r="1508">
          <cell r="A1508" t="str">
            <v>4200.Other.Other</v>
          </cell>
          <cell r="D1508">
            <v>-9963</v>
          </cell>
        </row>
        <row r="1509">
          <cell r="A1509" t="str">
            <v>4200.Other.Other</v>
          </cell>
          <cell r="D1509">
            <v>-2268.9</v>
          </cell>
        </row>
        <row r="1510">
          <cell r="A1510" t="str">
            <v>Other</v>
          </cell>
          <cell r="D1510">
            <v>-17298.800000000003</v>
          </cell>
        </row>
        <row r="1511">
          <cell r="A1511" t="str">
            <v>SELLING EXPENSES</v>
          </cell>
          <cell r="D1511">
            <v>-312116.93</v>
          </cell>
        </row>
        <row r="1513">
          <cell r="A1513" t="str">
            <v>4210.1000</v>
          </cell>
          <cell r="D1513">
            <v>-62272.9</v>
          </cell>
        </row>
        <row r="1514">
          <cell r="A1514" t="str">
            <v>4210.1000</v>
          </cell>
          <cell r="D1514">
            <v>-11777.3</v>
          </cell>
        </row>
        <row r="1515">
          <cell r="A1515" t="str">
            <v>4210.1000</v>
          </cell>
          <cell r="D1515">
            <v>-20500</v>
          </cell>
        </row>
        <row r="1516">
          <cell r="A1516" t="str">
            <v>4210.1000</v>
          </cell>
          <cell r="D1516">
            <v>-77295.679999999993</v>
          </cell>
        </row>
        <row r="1517">
          <cell r="A1517" t="str">
            <v>4210.1000</v>
          </cell>
          <cell r="D1517">
            <v>-31903.7</v>
          </cell>
        </row>
        <row r="1518">
          <cell r="A1518" t="str">
            <v>4210.1000</v>
          </cell>
          <cell r="D1518">
            <v>0</v>
          </cell>
        </row>
        <row r="1519">
          <cell r="A1519" t="str">
            <v>4210.1000</v>
          </cell>
          <cell r="D1519">
            <v>-40.26</v>
          </cell>
        </row>
        <row r="1520">
          <cell r="A1520" t="str">
            <v>4210.1000</v>
          </cell>
          <cell r="D1520">
            <v>0</v>
          </cell>
        </row>
        <row r="1521">
          <cell r="A1521" t="str">
            <v>4210.1000</v>
          </cell>
          <cell r="D1521">
            <v>-36.86</v>
          </cell>
        </row>
        <row r="1522">
          <cell r="A1522" t="str">
            <v>4210.1000</v>
          </cell>
          <cell r="D1522">
            <v>-158.03</v>
          </cell>
        </row>
        <row r="1523">
          <cell r="A1523" t="str">
            <v>4210.1000</v>
          </cell>
          <cell r="D1523">
            <v>-112.92</v>
          </cell>
        </row>
        <row r="1524">
          <cell r="A1524" t="str">
            <v>4210.1000</v>
          </cell>
          <cell r="D1524">
            <v>0</v>
          </cell>
        </row>
        <row r="1525">
          <cell r="A1525" t="str">
            <v>4210.1000</v>
          </cell>
          <cell r="D1525">
            <v>0</v>
          </cell>
        </row>
        <row r="1526">
          <cell r="A1526" t="str">
            <v>4210.1000</v>
          </cell>
          <cell r="D1526">
            <v>0</v>
          </cell>
        </row>
        <row r="1527">
          <cell r="A1527" t="str">
            <v>4210.1000</v>
          </cell>
          <cell r="D1527">
            <v>0</v>
          </cell>
        </row>
        <row r="1528">
          <cell r="A1528" t="str">
            <v>4210.1000</v>
          </cell>
          <cell r="D1528">
            <v>0</v>
          </cell>
        </row>
        <row r="1529">
          <cell r="A1529" t="str">
            <v>4210.1000</v>
          </cell>
          <cell r="D1529">
            <v>-403.41</v>
          </cell>
        </row>
        <row r="1530">
          <cell r="A1530" t="str">
            <v>4210.1000</v>
          </cell>
          <cell r="D1530">
            <v>-2617.1999999999998</v>
          </cell>
        </row>
        <row r="1531">
          <cell r="A1531" t="str">
            <v>4210.1000</v>
          </cell>
          <cell r="D1531">
            <v>-44519.48</v>
          </cell>
        </row>
        <row r="1532">
          <cell r="A1532" t="str">
            <v>4210.1000</v>
          </cell>
          <cell r="D1532">
            <v>-942.2</v>
          </cell>
        </row>
        <row r="1533">
          <cell r="A1533" t="str">
            <v>4210.1000</v>
          </cell>
          <cell r="D1533">
            <v>-1640</v>
          </cell>
        </row>
        <row r="1534">
          <cell r="A1534" t="str">
            <v>4210.1000</v>
          </cell>
          <cell r="D1534">
            <v>-6183.69</v>
          </cell>
        </row>
        <row r="1535">
          <cell r="A1535" t="str">
            <v>4210.1000</v>
          </cell>
          <cell r="D1535">
            <v>-2552.3000000000002</v>
          </cell>
        </row>
        <row r="1536">
          <cell r="A1536" t="str">
            <v>4210.1000</v>
          </cell>
          <cell r="D1536">
            <v>0</v>
          </cell>
        </row>
        <row r="1537">
          <cell r="A1537" t="str">
            <v>4210.1000</v>
          </cell>
          <cell r="D1537">
            <v>0</v>
          </cell>
        </row>
        <row r="1538">
          <cell r="A1538" t="str">
            <v>4210.1000</v>
          </cell>
          <cell r="D1538">
            <v>0</v>
          </cell>
        </row>
        <row r="1539">
          <cell r="A1539" t="str">
            <v>4210.1000</v>
          </cell>
          <cell r="D1539">
            <v>0</v>
          </cell>
        </row>
        <row r="1540">
          <cell r="A1540" t="str">
            <v>4210.1000</v>
          </cell>
          <cell r="D1540">
            <v>0</v>
          </cell>
        </row>
        <row r="1541">
          <cell r="A1541" t="str">
            <v>4210.1000</v>
          </cell>
          <cell r="D1541">
            <v>0</v>
          </cell>
        </row>
        <row r="1542">
          <cell r="A1542" t="str">
            <v>4210.1000</v>
          </cell>
          <cell r="D1542">
            <v>0</v>
          </cell>
        </row>
        <row r="1543">
          <cell r="A1543" t="str">
            <v>4210.1000</v>
          </cell>
          <cell r="D1543">
            <v>-11600</v>
          </cell>
        </row>
        <row r="1544">
          <cell r="A1544" t="str">
            <v>4210.1000</v>
          </cell>
          <cell r="D1544">
            <v>0</v>
          </cell>
        </row>
        <row r="1545">
          <cell r="A1545" t="str">
            <v>4210.1000</v>
          </cell>
          <cell r="D1545">
            <v>0</v>
          </cell>
        </row>
        <row r="1546">
          <cell r="A1546" t="str">
            <v>4210.1000</v>
          </cell>
          <cell r="D1546">
            <v>0</v>
          </cell>
        </row>
        <row r="1547">
          <cell r="A1547" t="str">
            <v>4210.1000</v>
          </cell>
          <cell r="D1547">
            <v>0</v>
          </cell>
        </row>
        <row r="1548">
          <cell r="A1548" t="str">
            <v>4210.1000</v>
          </cell>
          <cell r="D1548">
            <v>5125</v>
          </cell>
        </row>
        <row r="1549">
          <cell r="A1549" t="str">
            <v>4210.1000</v>
          </cell>
          <cell r="D1549">
            <v>208.38</v>
          </cell>
        </row>
        <row r="1550">
          <cell r="A1550" t="str">
            <v>4210.1000</v>
          </cell>
          <cell r="D1550">
            <v>-560</v>
          </cell>
        </row>
        <row r="1551">
          <cell r="A1551" t="str">
            <v>4210.1000</v>
          </cell>
          <cell r="D1551">
            <v>0</v>
          </cell>
        </row>
        <row r="1552">
          <cell r="A1552" t="str">
            <v>4210.1000</v>
          </cell>
          <cell r="D1552">
            <v>0</v>
          </cell>
        </row>
        <row r="1553">
          <cell r="A1553" t="str">
            <v>4210.1000</v>
          </cell>
          <cell r="D1553">
            <v>-7586.16</v>
          </cell>
        </row>
        <row r="1554">
          <cell r="A1554" t="str">
            <v>4210.1000</v>
          </cell>
          <cell r="D1554">
            <v>-210</v>
          </cell>
        </row>
        <row r="1555">
          <cell r="A1555" t="str">
            <v>Salaries &amp; Wages</v>
          </cell>
          <cell r="D1555">
            <v>-277578.71000000002</v>
          </cell>
        </row>
        <row r="1556">
          <cell r="A1556" t="str">
            <v>4210.Personnel_1015</v>
          </cell>
          <cell r="D1556">
            <v>-45501.75</v>
          </cell>
        </row>
        <row r="1557">
          <cell r="A1557" t="str">
            <v>4210.Personnel_1015</v>
          </cell>
          <cell r="D1557">
            <v>0</v>
          </cell>
        </row>
        <row r="1558">
          <cell r="A1558" t="str">
            <v>4210.Personnel_1015</v>
          </cell>
          <cell r="D1558">
            <v>0</v>
          </cell>
        </row>
        <row r="1559">
          <cell r="A1559" t="str">
            <v>4210.Personnel_1015</v>
          </cell>
          <cell r="D1559">
            <v>0</v>
          </cell>
        </row>
        <row r="1560">
          <cell r="A1560" t="str">
            <v>4210.Personnel_1015</v>
          </cell>
          <cell r="D1560">
            <v>0</v>
          </cell>
        </row>
        <row r="1561">
          <cell r="A1561" t="str">
            <v>Bonuses</v>
          </cell>
          <cell r="D1561">
            <v>-45501.75</v>
          </cell>
        </row>
        <row r="1562">
          <cell r="A1562" t="str">
            <v>4210.1005</v>
          </cell>
          <cell r="D1562">
            <v>0</v>
          </cell>
        </row>
        <row r="1563">
          <cell r="A1563" t="str">
            <v>4210.1005</v>
          </cell>
          <cell r="D1563">
            <v>0</v>
          </cell>
        </row>
        <row r="1564">
          <cell r="A1564" t="str">
            <v>4210.1005</v>
          </cell>
          <cell r="D1564">
            <v>0</v>
          </cell>
        </row>
        <row r="1565">
          <cell r="A1565" t="str">
            <v>4210.1005</v>
          </cell>
          <cell r="D1565">
            <v>0</v>
          </cell>
        </row>
        <row r="1566">
          <cell r="A1566" t="str">
            <v>4210.1005</v>
          </cell>
          <cell r="D1566">
            <v>0</v>
          </cell>
        </row>
        <row r="1567">
          <cell r="A1567" t="str">
            <v>4210.1005</v>
          </cell>
          <cell r="D1567">
            <v>0</v>
          </cell>
        </row>
        <row r="1568">
          <cell r="A1568" t="str">
            <v>4210.1005</v>
          </cell>
          <cell r="D1568">
            <v>0</v>
          </cell>
        </row>
        <row r="1569">
          <cell r="A1569" t="str">
            <v>4210.1005</v>
          </cell>
          <cell r="D1569">
            <v>0</v>
          </cell>
        </row>
        <row r="1570">
          <cell r="A1570" t="str">
            <v>4210.1005</v>
          </cell>
          <cell r="D1570">
            <v>0</v>
          </cell>
        </row>
        <row r="1571">
          <cell r="A1571" t="str">
            <v>4210.1005</v>
          </cell>
          <cell r="D1571">
            <v>0</v>
          </cell>
        </row>
        <row r="1572">
          <cell r="A1572" t="str">
            <v>4210.1005</v>
          </cell>
          <cell r="D1572">
            <v>0</v>
          </cell>
        </row>
        <row r="1573">
          <cell r="A1573" t="str">
            <v>4210.1005</v>
          </cell>
          <cell r="D1573">
            <v>0</v>
          </cell>
        </row>
        <row r="1574">
          <cell r="A1574" t="str">
            <v>4210.1005</v>
          </cell>
          <cell r="D1574">
            <v>-3506.32</v>
          </cell>
        </row>
        <row r="1575">
          <cell r="A1575" t="str">
            <v>4210.1005</v>
          </cell>
          <cell r="D1575">
            <v>-1861.4</v>
          </cell>
        </row>
        <row r="1576">
          <cell r="A1576" t="str">
            <v>4210.1005</v>
          </cell>
          <cell r="D1576">
            <v>-2000.98</v>
          </cell>
        </row>
        <row r="1577">
          <cell r="A1577" t="str">
            <v>4210.1005</v>
          </cell>
          <cell r="D1577">
            <v>-7780.78</v>
          </cell>
        </row>
        <row r="1578">
          <cell r="A1578" t="str">
            <v>4210.1005</v>
          </cell>
          <cell r="D1578">
            <v>-2936.64</v>
          </cell>
        </row>
        <row r="1579">
          <cell r="A1579" t="str">
            <v>4210.1005</v>
          </cell>
          <cell r="D1579">
            <v>0</v>
          </cell>
        </row>
        <row r="1580">
          <cell r="A1580" t="str">
            <v>4210.1005</v>
          </cell>
          <cell r="D1580">
            <v>-5297.85</v>
          </cell>
        </row>
        <row r="1581">
          <cell r="A1581" t="str">
            <v>4210.1005</v>
          </cell>
          <cell r="D1581">
            <v>-3929.35</v>
          </cell>
        </row>
        <row r="1582">
          <cell r="A1582" t="str">
            <v>4210.1005</v>
          </cell>
          <cell r="D1582">
            <v>-3426.15</v>
          </cell>
        </row>
        <row r="1583">
          <cell r="A1583" t="str">
            <v>4210.1005</v>
          </cell>
          <cell r="D1583">
            <v>-11690.34</v>
          </cell>
        </row>
        <row r="1584">
          <cell r="A1584" t="str">
            <v>4210.1005</v>
          </cell>
          <cell r="D1584">
            <v>-5167.8500000000004</v>
          </cell>
        </row>
        <row r="1585">
          <cell r="A1585" t="str">
            <v>4210.1005</v>
          </cell>
          <cell r="D1585">
            <v>0</v>
          </cell>
        </row>
        <row r="1586">
          <cell r="A1586" t="str">
            <v>4210.1005</v>
          </cell>
          <cell r="D1586">
            <v>0</v>
          </cell>
        </row>
        <row r="1587">
          <cell r="A1587" t="str">
            <v>4210.1005</v>
          </cell>
          <cell r="D1587">
            <v>0</v>
          </cell>
        </row>
        <row r="1588">
          <cell r="A1588" t="str">
            <v>4210.1005</v>
          </cell>
          <cell r="D1588">
            <v>0</v>
          </cell>
        </row>
        <row r="1589">
          <cell r="A1589" t="str">
            <v>4210.1005</v>
          </cell>
          <cell r="D1589">
            <v>0</v>
          </cell>
        </row>
        <row r="1590">
          <cell r="A1590" t="str">
            <v>4210.1005</v>
          </cell>
          <cell r="D1590">
            <v>0</v>
          </cell>
        </row>
        <row r="1591">
          <cell r="A1591" t="str">
            <v>4210.1005</v>
          </cell>
          <cell r="D1591">
            <v>0</v>
          </cell>
        </row>
        <row r="1592">
          <cell r="A1592" t="str">
            <v>4210.1005</v>
          </cell>
          <cell r="D1592">
            <v>-11324.56</v>
          </cell>
        </row>
        <row r="1593">
          <cell r="A1593" t="str">
            <v>4210.1005</v>
          </cell>
          <cell r="D1593">
            <v>0</v>
          </cell>
        </row>
        <row r="1594">
          <cell r="A1594" t="str">
            <v>4210.1005</v>
          </cell>
          <cell r="D1594">
            <v>0</v>
          </cell>
        </row>
        <row r="1595">
          <cell r="A1595" t="str">
            <v>4210.1005</v>
          </cell>
          <cell r="D1595">
            <v>0</v>
          </cell>
        </row>
        <row r="1596">
          <cell r="A1596" t="str">
            <v>4210.1005</v>
          </cell>
          <cell r="D1596">
            <v>0</v>
          </cell>
        </row>
        <row r="1597">
          <cell r="A1597" t="str">
            <v>4210.1005</v>
          </cell>
          <cell r="D1597">
            <v>0</v>
          </cell>
        </row>
        <row r="1598">
          <cell r="A1598" t="str">
            <v>4210.1005</v>
          </cell>
          <cell r="D1598">
            <v>-1728.74</v>
          </cell>
        </row>
        <row r="1599">
          <cell r="A1599" t="str">
            <v>4210.1005</v>
          </cell>
          <cell r="D1599">
            <v>-829.3</v>
          </cell>
        </row>
        <row r="1600">
          <cell r="A1600" t="str">
            <v>4210.1005</v>
          </cell>
          <cell r="D1600">
            <v>-829.3</v>
          </cell>
        </row>
        <row r="1601">
          <cell r="A1601" t="str">
            <v>4210.1005</v>
          </cell>
          <cell r="D1601">
            <v>-3483.06</v>
          </cell>
        </row>
        <row r="1602">
          <cell r="A1602" t="str">
            <v>4210.1005</v>
          </cell>
          <cell r="D1602">
            <v>-1467.84</v>
          </cell>
        </row>
        <row r="1603">
          <cell r="A1603" t="str">
            <v>4210.1005</v>
          </cell>
          <cell r="D1603">
            <v>0</v>
          </cell>
        </row>
        <row r="1604">
          <cell r="A1604" t="str">
            <v>4210.1005</v>
          </cell>
          <cell r="D1604">
            <v>-149</v>
          </cell>
        </row>
        <row r="1605">
          <cell r="A1605" t="str">
            <v>4210.1005</v>
          </cell>
          <cell r="D1605">
            <v>-63.85</v>
          </cell>
        </row>
        <row r="1606">
          <cell r="A1606" t="str">
            <v>4210.1005</v>
          </cell>
          <cell r="D1606">
            <v>-153.25</v>
          </cell>
        </row>
        <row r="1607">
          <cell r="A1607" t="str">
            <v>4210.1005</v>
          </cell>
          <cell r="D1607">
            <v>-197.35</v>
          </cell>
        </row>
        <row r="1608">
          <cell r="A1608" t="str">
            <v>4210.1005</v>
          </cell>
          <cell r="D1608">
            <v>-63.85</v>
          </cell>
        </row>
        <row r="1609">
          <cell r="A1609" t="str">
            <v>4210.1005</v>
          </cell>
          <cell r="D1609">
            <v>-3601.45</v>
          </cell>
        </row>
        <row r="1610">
          <cell r="A1610" t="str">
            <v>4210.1005</v>
          </cell>
          <cell r="D1610">
            <v>0</v>
          </cell>
        </row>
        <row r="1611">
          <cell r="A1611" t="str">
            <v>4210.1005</v>
          </cell>
          <cell r="D1611">
            <v>0</v>
          </cell>
        </row>
        <row r="1612">
          <cell r="A1612" t="str">
            <v>4210.1005</v>
          </cell>
          <cell r="D1612">
            <v>0</v>
          </cell>
        </row>
        <row r="1613">
          <cell r="A1613" t="str">
            <v>4210.1005</v>
          </cell>
          <cell r="D1613">
            <v>0</v>
          </cell>
        </row>
        <row r="1614">
          <cell r="A1614" t="str">
            <v>4210.1005</v>
          </cell>
          <cell r="D1614">
            <v>0</v>
          </cell>
        </row>
        <row r="1615">
          <cell r="A1615" t="str">
            <v>4210.1005</v>
          </cell>
          <cell r="D1615">
            <v>-391.8</v>
          </cell>
        </row>
        <row r="1616">
          <cell r="A1616" t="str">
            <v>4210.1005</v>
          </cell>
          <cell r="D1616">
            <v>0</v>
          </cell>
        </row>
        <row r="1617">
          <cell r="A1617" t="str">
            <v>4210.1005</v>
          </cell>
          <cell r="D1617">
            <v>-308.41000000000003</v>
          </cell>
        </row>
        <row r="1618">
          <cell r="A1618" t="str">
            <v>4210.1005</v>
          </cell>
          <cell r="D1618">
            <v>0</v>
          </cell>
        </row>
        <row r="1619">
          <cell r="A1619" t="str">
            <v>4210.1005</v>
          </cell>
          <cell r="D1619">
            <v>0</v>
          </cell>
        </row>
        <row r="1620">
          <cell r="A1620" t="str">
            <v>4210.1005</v>
          </cell>
          <cell r="D1620">
            <v>0</v>
          </cell>
        </row>
        <row r="1621">
          <cell r="A1621" t="str">
            <v>4210.1005</v>
          </cell>
          <cell r="D1621">
            <v>0</v>
          </cell>
        </row>
        <row r="1622">
          <cell r="A1622" t="str">
            <v>4210.1005</v>
          </cell>
          <cell r="D1622">
            <v>0</v>
          </cell>
        </row>
        <row r="1623">
          <cell r="A1623" t="str">
            <v>4210.1005</v>
          </cell>
          <cell r="D1623">
            <v>0</v>
          </cell>
        </row>
        <row r="1624">
          <cell r="A1624" t="str">
            <v>4210.1005</v>
          </cell>
          <cell r="D1624">
            <v>0</v>
          </cell>
        </row>
        <row r="1625">
          <cell r="A1625" t="str">
            <v>4210.1005</v>
          </cell>
          <cell r="D1625">
            <v>-102.15</v>
          </cell>
        </row>
        <row r="1626">
          <cell r="A1626" t="str">
            <v>4210.1005</v>
          </cell>
          <cell r="D1626">
            <v>0</v>
          </cell>
        </row>
        <row r="1627">
          <cell r="A1627" t="str">
            <v>4210.1005</v>
          </cell>
          <cell r="D1627">
            <v>0</v>
          </cell>
        </row>
        <row r="1628">
          <cell r="A1628" t="str">
            <v>Fringe Benefits</v>
          </cell>
          <cell r="D1628">
            <v>-72291.570000000007</v>
          </cell>
        </row>
        <row r="1629">
          <cell r="A1629" t="str">
            <v>4210.Occupancy_3010</v>
          </cell>
          <cell r="D1629">
            <v>-3835.08</v>
          </cell>
        </row>
        <row r="1630">
          <cell r="A1630" t="str">
            <v xml:space="preserve">Utilities </v>
          </cell>
          <cell r="D1630">
            <v>-3835.08</v>
          </cell>
        </row>
        <row r="1631">
          <cell r="A1631" t="str">
            <v>4210.1045</v>
          </cell>
          <cell r="D1631">
            <v>-1292.44</v>
          </cell>
        </row>
        <row r="1632">
          <cell r="A1632" t="str">
            <v>4210.1045</v>
          </cell>
          <cell r="D1632">
            <v>0</v>
          </cell>
        </row>
        <row r="1633">
          <cell r="A1633" t="str">
            <v>4210.1045</v>
          </cell>
          <cell r="D1633">
            <v>-126.68</v>
          </cell>
        </row>
        <row r="1634">
          <cell r="A1634" t="str">
            <v>4210.1045</v>
          </cell>
          <cell r="D1634">
            <v>-506.89</v>
          </cell>
        </row>
        <row r="1635">
          <cell r="A1635" t="str">
            <v>4210.1045</v>
          </cell>
          <cell r="D1635">
            <v>-148.82</v>
          </cell>
        </row>
        <row r="1636">
          <cell r="A1636" t="str">
            <v>4210.1045</v>
          </cell>
          <cell r="D1636">
            <v>0</v>
          </cell>
        </row>
        <row r="1637">
          <cell r="A1637" t="str">
            <v>4210.1045</v>
          </cell>
          <cell r="D1637">
            <v>0</v>
          </cell>
        </row>
        <row r="1638">
          <cell r="A1638" t="str">
            <v>Telephone &amp; Fax</v>
          </cell>
          <cell r="D1638">
            <v>-2074.8300000000004</v>
          </cell>
        </row>
        <row r="1639">
          <cell r="A1639" t="str">
            <v>4210.GenAdmin_6040</v>
          </cell>
          <cell r="D1639">
            <v>-2371.5</v>
          </cell>
        </row>
        <row r="1640">
          <cell r="A1640" t="str">
            <v>4210.GenAdmin_6040</v>
          </cell>
          <cell r="D1640">
            <v>0</v>
          </cell>
        </row>
        <row r="1641">
          <cell r="A1641" t="str">
            <v>Misc. State &amp; Local Taxes</v>
          </cell>
          <cell r="D1641">
            <v>-2371.5</v>
          </cell>
        </row>
        <row r="1642">
          <cell r="A1642" t="str">
            <v>4210.GenAdmin_6035</v>
          </cell>
          <cell r="D1642">
            <v>0</v>
          </cell>
        </row>
        <row r="1643">
          <cell r="A1643" t="str">
            <v>4210.GenAdmin_6035</v>
          </cell>
          <cell r="D1643">
            <v>-2204.1999999999998</v>
          </cell>
        </row>
        <row r="1644">
          <cell r="A1644" t="str">
            <v>4210.GenAdmin_6035</v>
          </cell>
          <cell r="D1644">
            <v>0</v>
          </cell>
        </row>
        <row r="1645">
          <cell r="A1645" t="str">
            <v>4210.GenAdmin_6035</v>
          </cell>
          <cell r="D1645">
            <v>0</v>
          </cell>
        </row>
        <row r="1646">
          <cell r="A1646" t="str">
            <v>4210.GenAdmin_6035</v>
          </cell>
          <cell r="D1646">
            <v>0</v>
          </cell>
        </row>
        <row r="1647">
          <cell r="A1647" t="str">
            <v>4210.GenAdmin_6035</v>
          </cell>
          <cell r="D1647">
            <v>0</v>
          </cell>
        </row>
        <row r="1648">
          <cell r="A1648" t="str">
            <v>4210.GenAdmin_6035</v>
          </cell>
          <cell r="D1648">
            <v>0</v>
          </cell>
        </row>
        <row r="1649">
          <cell r="A1649" t="str">
            <v>General Insurance</v>
          </cell>
          <cell r="D1649">
            <v>-2204.1999999999998</v>
          </cell>
        </row>
        <row r="1650">
          <cell r="A1650" t="str">
            <v>4210.1055</v>
          </cell>
          <cell r="D1650">
            <v>-1078.82</v>
          </cell>
        </row>
        <row r="1651">
          <cell r="A1651" t="str">
            <v>4210.1055</v>
          </cell>
          <cell r="D1651">
            <v>0</v>
          </cell>
        </row>
        <row r="1652">
          <cell r="A1652" t="str">
            <v>4210.1055</v>
          </cell>
          <cell r="D1652">
            <v>0</v>
          </cell>
        </row>
        <row r="1653">
          <cell r="A1653" t="str">
            <v>4210.1055</v>
          </cell>
          <cell r="D1653">
            <v>-242.66</v>
          </cell>
        </row>
        <row r="1654">
          <cell r="A1654" t="str">
            <v>4210.1055</v>
          </cell>
          <cell r="D1654">
            <v>-117.33</v>
          </cell>
        </row>
        <row r="1655">
          <cell r="A1655" t="str">
            <v>4210.1055</v>
          </cell>
          <cell r="D1655">
            <v>-1824.69</v>
          </cell>
        </row>
        <row r="1656">
          <cell r="A1656" t="str">
            <v>4210.1055</v>
          </cell>
          <cell r="D1656">
            <v>0</v>
          </cell>
        </row>
        <row r="1657">
          <cell r="A1657" t="str">
            <v>4210.1055</v>
          </cell>
          <cell r="D1657">
            <v>0</v>
          </cell>
        </row>
        <row r="1658">
          <cell r="A1658" t="str">
            <v>4210.1055</v>
          </cell>
          <cell r="D1658">
            <v>0</v>
          </cell>
        </row>
        <row r="1659">
          <cell r="A1659" t="str">
            <v>4210.1055</v>
          </cell>
          <cell r="D1659">
            <v>0</v>
          </cell>
        </row>
        <row r="1660">
          <cell r="A1660" t="str">
            <v>4210.1055</v>
          </cell>
          <cell r="D1660">
            <v>-158.1</v>
          </cell>
        </row>
        <row r="1661">
          <cell r="A1661" t="str">
            <v>4210.1055</v>
          </cell>
          <cell r="D1661">
            <v>0</v>
          </cell>
        </row>
        <row r="1662">
          <cell r="A1662" t="str">
            <v>4210.1055</v>
          </cell>
          <cell r="D1662">
            <v>0</v>
          </cell>
        </row>
        <row r="1663">
          <cell r="A1663" t="str">
            <v>4210.1055</v>
          </cell>
          <cell r="D1663">
            <v>0</v>
          </cell>
        </row>
        <row r="1664">
          <cell r="A1664" t="str">
            <v>4210.1055</v>
          </cell>
          <cell r="D1664">
            <v>-735.18</v>
          </cell>
        </row>
        <row r="1665">
          <cell r="A1665" t="str">
            <v>4210.1055</v>
          </cell>
          <cell r="D1665">
            <v>-657.73</v>
          </cell>
        </row>
        <row r="1666">
          <cell r="A1666" t="str">
            <v>4210.1055</v>
          </cell>
          <cell r="D1666">
            <v>0</v>
          </cell>
        </row>
        <row r="1667">
          <cell r="A1667" t="str">
            <v>4210.1055</v>
          </cell>
          <cell r="D1667">
            <v>0</v>
          </cell>
        </row>
        <row r="1668">
          <cell r="A1668" t="str">
            <v>4210.1055</v>
          </cell>
          <cell r="D1668">
            <v>-331.73</v>
          </cell>
        </row>
        <row r="1669">
          <cell r="A1669" t="str">
            <v>4210.1055</v>
          </cell>
          <cell r="D1669">
            <v>0</v>
          </cell>
        </row>
        <row r="1670">
          <cell r="A1670" t="str">
            <v>4210.1055</v>
          </cell>
          <cell r="D1670">
            <v>-1531.11</v>
          </cell>
        </row>
        <row r="1671">
          <cell r="A1671" t="str">
            <v>4210.1055</v>
          </cell>
          <cell r="D1671">
            <v>-7993.07</v>
          </cell>
        </row>
        <row r="1672">
          <cell r="A1672" t="str">
            <v>4210.1055</v>
          </cell>
          <cell r="D1672">
            <v>-3750</v>
          </cell>
        </row>
        <row r="1673">
          <cell r="A1673" t="str">
            <v>4210.1055</v>
          </cell>
          <cell r="D1673">
            <v>0</v>
          </cell>
        </row>
        <row r="1674">
          <cell r="A1674" t="str">
            <v>4210.1055</v>
          </cell>
          <cell r="D1674">
            <v>0</v>
          </cell>
        </row>
        <row r="1675">
          <cell r="A1675" t="str">
            <v>4210.1055</v>
          </cell>
          <cell r="D1675">
            <v>0</v>
          </cell>
        </row>
        <row r="1676">
          <cell r="A1676" t="str">
            <v>4210.1055</v>
          </cell>
          <cell r="D1676">
            <v>0</v>
          </cell>
        </row>
        <row r="1677">
          <cell r="A1677" t="str">
            <v>4210.1055</v>
          </cell>
          <cell r="D1677">
            <v>0</v>
          </cell>
        </row>
        <row r="1678">
          <cell r="A1678" t="str">
            <v>4210.1055</v>
          </cell>
          <cell r="D1678">
            <v>0</v>
          </cell>
        </row>
        <row r="1679">
          <cell r="A1679" t="str">
            <v>Office Supplies</v>
          </cell>
          <cell r="D1679">
            <v>-18420.419999999998</v>
          </cell>
        </row>
        <row r="1680">
          <cell r="A1680" t="str">
            <v>4210.Occupancy_3015</v>
          </cell>
          <cell r="D1680">
            <v>-2978.28</v>
          </cell>
        </row>
        <row r="1681">
          <cell r="A1681" t="str">
            <v>4210.Occupancy_3015</v>
          </cell>
          <cell r="D1681">
            <v>0</v>
          </cell>
        </row>
        <row r="1682">
          <cell r="A1682" t="str">
            <v>4210.Occupancy_3015</v>
          </cell>
          <cell r="D1682">
            <v>0</v>
          </cell>
        </row>
        <row r="1683">
          <cell r="A1683" t="str">
            <v>4210.Occupancy_3015</v>
          </cell>
          <cell r="D1683">
            <v>0</v>
          </cell>
        </row>
        <row r="1684">
          <cell r="A1684" t="str">
            <v>4210.Occupancy_3015</v>
          </cell>
          <cell r="D1684">
            <v>0</v>
          </cell>
        </row>
        <row r="1685">
          <cell r="A1685" t="str">
            <v>4210.Occupancy_3015</v>
          </cell>
          <cell r="D1685">
            <v>0</v>
          </cell>
        </row>
        <row r="1686">
          <cell r="A1686" t="str">
            <v>4210.Occupancy_3015</v>
          </cell>
          <cell r="D1686">
            <v>0</v>
          </cell>
        </row>
        <row r="1687">
          <cell r="A1687" t="str">
            <v>4210.Occupancy_3015</v>
          </cell>
          <cell r="D1687">
            <v>0</v>
          </cell>
        </row>
        <row r="1688">
          <cell r="A1688" t="str">
            <v>4210.Occupancy_3015</v>
          </cell>
          <cell r="D1688">
            <v>0</v>
          </cell>
        </row>
        <row r="1689">
          <cell r="A1689" t="str">
            <v>4210.Occupancy_3015</v>
          </cell>
          <cell r="D1689">
            <v>0</v>
          </cell>
        </row>
        <row r="1690">
          <cell r="A1690" t="str">
            <v>Building Maintenance</v>
          </cell>
          <cell r="D1690">
            <v>-2978.28</v>
          </cell>
        </row>
        <row r="1691">
          <cell r="A1691" t="str">
            <v>4210.1025</v>
          </cell>
          <cell r="D1691">
            <v>-6124.07</v>
          </cell>
        </row>
        <row r="1692">
          <cell r="A1692" t="str">
            <v>4210.1025</v>
          </cell>
          <cell r="D1692">
            <v>0</v>
          </cell>
        </row>
        <row r="1693">
          <cell r="A1693" t="str">
            <v>4210.1025</v>
          </cell>
          <cell r="D1693">
            <v>-2668.01</v>
          </cell>
        </row>
        <row r="1694">
          <cell r="A1694" t="str">
            <v>4210.1025</v>
          </cell>
          <cell r="D1694">
            <v>-2832.04</v>
          </cell>
        </row>
        <row r="1695">
          <cell r="A1695" t="str">
            <v>4210.1025</v>
          </cell>
          <cell r="D1695">
            <v>-1905.94</v>
          </cell>
        </row>
        <row r="1696">
          <cell r="A1696" t="str">
            <v>4210.1025</v>
          </cell>
          <cell r="D1696">
            <v>0</v>
          </cell>
        </row>
        <row r="1697">
          <cell r="A1697" t="str">
            <v>4210.1025</v>
          </cell>
          <cell r="D1697">
            <v>0</v>
          </cell>
        </row>
        <row r="1698">
          <cell r="A1698" t="str">
            <v>4210.1025</v>
          </cell>
          <cell r="D1698">
            <v>0</v>
          </cell>
        </row>
        <row r="1699">
          <cell r="A1699" t="str">
            <v>4210.1025</v>
          </cell>
          <cell r="D1699">
            <v>0</v>
          </cell>
        </row>
        <row r="1700">
          <cell r="A1700" t="str">
            <v>4210.1025</v>
          </cell>
          <cell r="D1700">
            <v>0</v>
          </cell>
        </row>
        <row r="1701">
          <cell r="A1701" t="str">
            <v>4210.1025</v>
          </cell>
          <cell r="D1701">
            <v>2070.37</v>
          </cell>
        </row>
        <row r="1702">
          <cell r="A1702" t="str">
            <v>4210.1025</v>
          </cell>
          <cell r="D1702">
            <v>0</v>
          </cell>
        </row>
        <row r="1703">
          <cell r="A1703" t="str">
            <v>4210.1025</v>
          </cell>
          <cell r="D1703">
            <v>-777.18</v>
          </cell>
        </row>
        <row r="1704">
          <cell r="A1704" t="str">
            <v>4210.1025</v>
          </cell>
          <cell r="D1704">
            <v>-1055.52</v>
          </cell>
        </row>
        <row r="1705">
          <cell r="A1705" t="str">
            <v>4210.1025</v>
          </cell>
          <cell r="D1705">
            <v>-68</v>
          </cell>
        </row>
        <row r="1706">
          <cell r="A1706" t="str">
            <v>4210.1025</v>
          </cell>
          <cell r="D1706">
            <v>-4511.18</v>
          </cell>
        </row>
        <row r="1707">
          <cell r="A1707" t="str">
            <v>4210.1025</v>
          </cell>
          <cell r="D1707">
            <v>0</v>
          </cell>
        </row>
        <row r="1708">
          <cell r="A1708" t="str">
            <v>4210.1025</v>
          </cell>
          <cell r="D1708">
            <v>-513.98</v>
          </cell>
        </row>
        <row r="1709">
          <cell r="A1709" t="str">
            <v>4210.1025</v>
          </cell>
          <cell r="D1709">
            <v>-1510.82</v>
          </cell>
        </row>
        <row r="1710">
          <cell r="A1710" t="str">
            <v>4210.1025</v>
          </cell>
          <cell r="D1710">
            <v>-18.8</v>
          </cell>
        </row>
        <row r="1711">
          <cell r="A1711" t="str">
            <v>4210.1025</v>
          </cell>
          <cell r="D1711">
            <v>-986.95</v>
          </cell>
        </row>
        <row r="1712">
          <cell r="A1712" t="str">
            <v>4210.1025</v>
          </cell>
          <cell r="D1712">
            <v>0</v>
          </cell>
        </row>
        <row r="1713">
          <cell r="A1713" t="str">
            <v>4210.1025</v>
          </cell>
          <cell r="D1713">
            <v>-247.24</v>
          </cell>
        </row>
        <row r="1714">
          <cell r="A1714" t="str">
            <v>4210.1025</v>
          </cell>
          <cell r="D1714">
            <v>-638.84</v>
          </cell>
        </row>
        <row r="1715">
          <cell r="A1715" t="str">
            <v>4210.1025</v>
          </cell>
          <cell r="D1715">
            <v>-15.75</v>
          </cell>
        </row>
        <row r="1716">
          <cell r="A1716" t="str">
            <v>4210.1025</v>
          </cell>
          <cell r="D1716">
            <v>-338.03</v>
          </cell>
        </row>
        <row r="1717">
          <cell r="A1717" t="str">
            <v>4210.1025</v>
          </cell>
          <cell r="D1717">
            <v>-1229.57</v>
          </cell>
        </row>
        <row r="1718">
          <cell r="A1718" t="str">
            <v>4210.1025</v>
          </cell>
          <cell r="D1718">
            <v>0</v>
          </cell>
        </row>
        <row r="1719">
          <cell r="A1719" t="str">
            <v>4210.1025</v>
          </cell>
          <cell r="D1719">
            <v>-623.20000000000005</v>
          </cell>
        </row>
        <row r="1720">
          <cell r="A1720" t="str">
            <v>4210.1025</v>
          </cell>
          <cell r="D1720">
            <v>-1381.94</v>
          </cell>
        </row>
        <row r="1721">
          <cell r="A1721" t="str">
            <v>4210.1025</v>
          </cell>
          <cell r="D1721">
            <v>-75.790000000000006</v>
          </cell>
        </row>
        <row r="1722">
          <cell r="A1722" t="str">
            <v>4210.1025</v>
          </cell>
          <cell r="D1722">
            <v>0</v>
          </cell>
        </row>
        <row r="1723">
          <cell r="A1723" t="str">
            <v>Travel Costs</v>
          </cell>
          <cell r="D1723">
            <v>-25452.48</v>
          </cell>
        </row>
        <row r="1724">
          <cell r="A1724" t="str">
            <v>4210.1035</v>
          </cell>
          <cell r="D1724">
            <v>0</v>
          </cell>
        </row>
        <row r="1725">
          <cell r="A1725" t="str">
            <v>4210.1035</v>
          </cell>
          <cell r="D1725">
            <v>-3826.06</v>
          </cell>
        </row>
        <row r="1726">
          <cell r="A1726" t="str">
            <v>4210.1035</v>
          </cell>
          <cell r="D1726">
            <v>0</v>
          </cell>
        </row>
        <row r="1727">
          <cell r="A1727" t="str">
            <v>4210.1035</v>
          </cell>
          <cell r="D1727">
            <v>0</v>
          </cell>
        </row>
        <row r="1728">
          <cell r="A1728" t="str">
            <v>4210.1035</v>
          </cell>
          <cell r="D1728">
            <v>0</v>
          </cell>
        </row>
        <row r="1729">
          <cell r="A1729" t="str">
            <v>4210.1035</v>
          </cell>
          <cell r="D1729">
            <v>0</v>
          </cell>
        </row>
        <row r="1730">
          <cell r="A1730" t="str">
            <v>4210.1035</v>
          </cell>
          <cell r="D1730">
            <v>0</v>
          </cell>
        </row>
        <row r="1731">
          <cell r="A1731" t="str">
            <v>4210.1035</v>
          </cell>
          <cell r="D1731">
            <v>-19385.66</v>
          </cell>
        </row>
        <row r="1732">
          <cell r="A1732" t="str">
            <v>4210.1035</v>
          </cell>
          <cell r="D1732">
            <v>0</v>
          </cell>
        </row>
        <row r="1733">
          <cell r="A1733" t="str">
            <v>4210.1035</v>
          </cell>
          <cell r="D1733">
            <v>0</v>
          </cell>
        </row>
        <row r="1734">
          <cell r="A1734" t="str">
            <v>4210.1035</v>
          </cell>
          <cell r="D1734">
            <v>0</v>
          </cell>
        </row>
        <row r="1735">
          <cell r="A1735" t="str">
            <v>4210.1035</v>
          </cell>
          <cell r="D1735">
            <v>0</v>
          </cell>
        </row>
        <row r="1736">
          <cell r="A1736" t="str">
            <v>Depreciation</v>
          </cell>
          <cell r="D1736">
            <v>-23211.72</v>
          </cell>
        </row>
        <row r="1737">
          <cell r="A1737" t="str">
            <v>4210.Personnel_1025</v>
          </cell>
          <cell r="D1737">
            <v>-1050.3399999999999</v>
          </cell>
        </row>
        <row r="1738">
          <cell r="A1738" t="str">
            <v>4210.Personnel_1025</v>
          </cell>
          <cell r="D1738">
            <v>0</v>
          </cell>
        </row>
        <row r="1739">
          <cell r="A1739" t="str">
            <v>4210.Personnel_1025</v>
          </cell>
          <cell r="D1739">
            <v>0</v>
          </cell>
        </row>
        <row r="1740">
          <cell r="A1740" t="str">
            <v>4210.Personnel_1025</v>
          </cell>
          <cell r="D1740">
            <v>-288</v>
          </cell>
        </row>
        <row r="1741">
          <cell r="A1741" t="str">
            <v>4210.Personnel_1025</v>
          </cell>
          <cell r="D1741">
            <v>-3892</v>
          </cell>
        </row>
        <row r="1742">
          <cell r="A1742" t="str">
            <v>4210.Personnel_1025</v>
          </cell>
          <cell r="D1742">
            <v>0</v>
          </cell>
        </row>
        <row r="1743">
          <cell r="A1743" t="str">
            <v>4210.Personnel_1025</v>
          </cell>
          <cell r="D1743">
            <v>-4250</v>
          </cell>
        </row>
        <row r="1744">
          <cell r="A1744" t="str">
            <v>4210.Personnel_1025</v>
          </cell>
          <cell r="D1744">
            <v>-2810.23</v>
          </cell>
        </row>
        <row r="1745">
          <cell r="A1745" t="str">
            <v>4210.Personnel_1025</v>
          </cell>
          <cell r="D1745">
            <v>10833.32</v>
          </cell>
        </row>
        <row r="1746">
          <cell r="A1746" t="str">
            <v>4210.Personnel_1025</v>
          </cell>
          <cell r="D1746">
            <v>-45</v>
          </cell>
        </row>
        <row r="1747">
          <cell r="A1747" t="str">
            <v>Outside contractors</v>
          </cell>
          <cell r="D1747">
            <v>-1502.25</v>
          </cell>
        </row>
        <row r="1748">
          <cell r="A1748" t="str">
            <v>4210.Personnel_1030</v>
          </cell>
          <cell r="D1748">
            <v>-34042.94</v>
          </cell>
        </row>
        <row r="1749">
          <cell r="A1749" t="str">
            <v>Legal Fees</v>
          </cell>
          <cell r="D1749">
            <v>-34042.94</v>
          </cell>
        </row>
        <row r="1750">
          <cell r="A1750" t="str">
            <v>4210.Personnel_1035</v>
          </cell>
          <cell r="D1750">
            <v>-34000</v>
          </cell>
        </row>
        <row r="1751">
          <cell r="A1751" t="str">
            <v>4210.Personnel_1035</v>
          </cell>
          <cell r="D1751">
            <v>-2761.05</v>
          </cell>
        </row>
        <row r="1752">
          <cell r="A1752" t="str">
            <v>Audit Fees</v>
          </cell>
          <cell r="D1752">
            <v>-36761.050000000003</v>
          </cell>
        </row>
        <row r="1753">
          <cell r="A1753" t="str">
            <v>4210.WageLoad_2030</v>
          </cell>
          <cell r="D1753">
            <v>0</v>
          </cell>
        </row>
        <row r="1754">
          <cell r="A1754" t="str">
            <v>4210.WageLoad_2030</v>
          </cell>
          <cell r="D1754">
            <v>0</v>
          </cell>
        </row>
        <row r="1755">
          <cell r="A1755" t="str">
            <v>4210.WageLoad_2030</v>
          </cell>
          <cell r="D1755">
            <v>-294.99</v>
          </cell>
        </row>
        <row r="1756">
          <cell r="A1756" t="str">
            <v>Relocation &amp; Recruiting Exp.</v>
          </cell>
          <cell r="D1756">
            <v>-294.99</v>
          </cell>
        </row>
        <row r="1757">
          <cell r="A1757" t="str">
            <v>4210.GenAdmin_6050</v>
          </cell>
          <cell r="D1757">
            <v>-7099.78</v>
          </cell>
        </row>
        <row r="1758">
          <cell r="A1758" t="str">
            <v>Bad Debt Expense</v>
          </cell>
          <cell r="D1758">
            <v>-7099.78</v>
          </cell>
        </row>
        <row r="1759">
          <cell r="A1759" t="str">
            <v>4210.Occupancy_3045</v>
          </cell>
          <cell r="D1759">
            <v>-1577.9</v>
          </cell>
        </row>
        <row r="1760">
          <cell r="A1760" t="str">
            <v>4210.Occupancy_3045</v>
          </cell>
          <cell r="D1760">
            <v>0</v>
          </cell>
        </row>
        <row r="1761">
          <cell r="A1761" t="str">
            <v>4210.Occupancy_3045</v>
          </cell>
          <cell r="D1761">
            <v>0</v>
          </cell>
        </row>
        <row r="1762">
          <cell r="A1762" t="str">
            <v>4210.Occupancy_3045</v>
          </cell>
          <cell r="D1762">
            <v>0</v>
          </cell>
        </row>
        <row r="1763">
          <cell r="A1763" t="str">
            <v>4210.Occupancy_3045</v>
          </cell>
          <cell r="D1763">
            <v>0</v>
          </cell>
        </row>
        <row r="1764">
          <cell r="A1764" t="str">
            <v>4210.Occupancy_3045</v>
          </cell>
          <cell r="D1764">
            <v>-1130.7</v>
          </cell>
        </row>
        <row r="1765">
          <cell r="A1765" t="str">
            <v>Facilities Expense</v>
          </cell>
          <cell r="D1765">
            <v>-2708.6000000000004</v>
          </cell>
        </row>
        <row r="1766">
          <cell r="A1766" t="str">
            <v>4210.Other.Other</v>
          </cell>
          <cell r="D1766">
            <v>-7627.6</v>
          </cell>
        </row>
        <row r="1767">
          <cell r="A1767" t="str">
            <v>4210.Other.Other</v>
          </cell>
          <cell r="D1767">
            <v>0</v>
          </cell>
        </row>
        <row r="1768">
          <cell r="A1768" t="str">
            <v>4210.Other.Other</v>
          </cell>
          <cell r="D1768">
            <v>0</v>
          </cell>
        </row>
        <row r="1769">
          <cell r="A1769" t="str">
            <v>4210.Other.Other</v>
          </cell>
          <cell r="D1769">
            <v>-29.28</v>
          </cell>
        </row>
        <row r="1770">
          <cell r="A1770" t="str">
            <v>4210.Other.Other</v>
          </cell>
          <cell r="D1770">
            <v>0</v>
          </cell>
        </row>
        <row r="1771">
          <cell r="A1771" t="str">
            <v>4210.Other.Other</v>
          </cell>
          <cell r="D1771">
            <v>0</v>
          </cell>
        </row>
        <row r="1772">
          <cell r="A1772" t="str">
            <v>4210.Other.Other</v>
          </cell>
          <cell r="D1772">
            <v>0</v>
          </cell>
        </row>
        <row r="1773">
          <cell r="A1773" t="str">
            <v>4210.Other.Other</v>
          </cell>
          <cell r="D1773">
            <v>0</v>
          </cell>
        </row>
        <row r="1774">
          <cell r="A1774" t="str">
            <v>4210.Other.Other</v>
          </cell>
          <cell r="D1774">
            <v>-878.58</v>
          </cell>
        </row>
        <row r="1775">
          <cell r="A1775" t="str">
            <v>4210.Other.Other</v>
          </cell>
          <cell r="D1775">
            <v>0</v>
          </cell>
        </row>
        <row r="1776">
          <cell r="A1776" t="str">
            <v>4210.Other.Other</v>
          </cell>
          <cell r="D1776">
            <v>-4337.3500000000004</v>
          </cell>
        </row>
        <row r="1777">
          <cell r="A1777" t="str">
            <v>4210.Other.Other</v>
          </cell>
          <cell r="D1777">
            <v>0</v>
          </cell>
        </row>
        <row r="1778">
          <cell r="A1778" t="str">
            <v>4210.Other.Other</v>
          </cell>
          <cell r="D1778">
            <v>-25</v>
          </cell>
        </row>
        <row r="1779">
          <cell r="A1779" t="str">
            <v>4210.Other.Other</v>
          </cell>
          <cell r="D1779">
            <v>-453.28</v>
          </cell>
        </row>
        <row r="1780">
          <cell r="A1780" t="str">
            <v>4210.Other.Other</v>
          </cell>
          <cell r="D1780">
            <v>-63.36</v>
          </cell>
        </row>
        <row r="1781">
          <cell r="A1781" t="str">
            <v>4210.Other.Other</v>
          </cell>
          <cell r="D1781">
            <v>-1031.1199999999999</v>
          </cell>
        </row>
        <row r="1782">
          <cell r="A1782" t="str">
            <v>4210.Other.Other</v>
          </cell>
          <cell r="D1782">
            <v>0</v>
          </cell>
        </row>
        <row r="1783">
          <cell r="A1783" t="str">
            <v>4210.Other.Other</v>
          </cell>
          <cell r="D1783">
            <v>0</v>
          </cell>
        </row>
        <row r="1784">
          <cell r="A1784" t="str">
            <v>4210.Other.Other</v>
          </cell>
          <cell r="D1784">
            <v>-1323.67</v>
          </cell>
        </row>
        <row r="1785">
          <cell r="A1785" t="str">
            <v>4210.Other.Other</v>
          </cell>
          <cell r="D1785">
            <v>0</v>
          </cell>
        </row>
        <row r="1786">
          <cell r="A1786" t="str">
            <v>4210.Other.Other</v>
          </cell>
          <cell r="D1786">
            <v>0</v>
          </cell>
        </row>
        <row r="1787">
          <cell r="A1787" t="str">
            <v>4210.Other.Other</v>
          </cell>
          <cell r="D1787">
            <v>0</v>
          </cell>
        </row>
        <row r="1788">
          <cell r="A1788" t="str">
            <v>4210.Other.Other</v>
          </cell>
          <cell r="D1788">
            <v>0</v>
          </cell>
        </row>
        <row r="1789">
          <cell r="A1789" t="str">
            <v>Other</v>
          </cell>
          <cell r="D1789">
            <v>-15769.240000000003</v>
          </cell>
        </row>
        <row r="1790">
          <cell r="A1790" t="str">
            <v>G&amp;A EXPENSES</v>
          </cell>
          <cell r="D1790">
            <v>-574099.39</v>
          </cell>
        </row>
        <row r="1792">
          <cell r="A1792" t="str">
            <v>4230</v>
          </cell>
          <cell r="D1792">
            <v>-29122.65</v>
          </cell>
        </row>
        <row r="1793">
          <cell r="A1793" t="str">
            <v>4235</v>
          </cell>
          <cell r="D1793">
            <v>11238.94</v>
          </cell>
        </row>
        <row r="1794">
          <cell r="A1794" t="str">
            <v>4240</v>
          </cell>
          <cell r="D1794">
            <v>-273838</v>
          </cell>
        </row>
        <row r="1795">
          <cell r="A1795" t="str">
            <v>4245</v>
          </cell>
          <cell r="D1795">
            <v>0</v>
          </cell>
        </row>
        <row r="1796">
          <cell r="A1796" t="str">
            <v>4250</v>
          </cell>
          <cell r="D1796">
            <v>0</v>
          </cell>
        </row>
        <row r="1797">
          <cell r="A1797" t="str">
            <v>4250</v>
          </cell>
          <cell r="D1797">
            <v>0</v>
          </cell>
        </row>
        <row r="1798">
          <cell r="A1798" t="str">
            <v>4255</v>
          </cell>
          <cell r="D1798">
            <v>0</v>
          </cell>
        </row>
        <row r="1799">
          <cell r="A1799" t="str">
            <v>4250</v>
          </cell>
          <cell r="D1799">
            <v>310.98</v>
          </cell>
        </row>
        <row r="1800">
          <cell r="A1800" t="str">
            <v>4275</v>
          </cell>
          <cell r="D1800">
            <v>0</v>
          </cell>
        </row>
        <row r="1801">
          <cell r="A1801" t="str">
            <v>4280</v>
          </cell>
          <cell r="D1801">
            <v>0</v>
          </cell>
        </row>
        <row r="1802">
          <cell r="A1802" t="str">
            <v>4280</v>
          </cell>
          <cell r="D1802">
            <v>-11666.38</v>
          </cell>
        </row>
        <row r="1803">
          <cell r="A1803" t="str">
            <v>4280</v>
          </cell>
          <cell r="D1803">
            <v>0</v>
          </cell>
        </row>
        <row r="1804">
          <cell r="A1804" t="str">
            <v>4280</v>
          </cell>
          <cell r="D1804">
            <v>0</v>
          </cell>
        </row>
        <row r="1805">
          <cell r="A1805" t="str">
            <v>Division Other Income (Expenses)</v>
          </cell>
          <cell r="D1805">
            <v>-303077.11000000004</v>
          </cell>
        </row>
        <row r="1807">
          <cell r="A1807" t="str">
            <v>4400</v>
          </cell>
          <cell r="D1807">
            <v>0</v>
          </cell>
        </row>
        <row r="1808">
          <cell r="A1808" t="str">
            <v>INT_ELIM</v>
          </cell>
          <cell r="D1808">
            <v>150051.96</v>
          </cell>
        </row>
        <row r="1809">
          <cell r="A1809" t="str">
            <v>INT_ELIM</v>
          </cell>
          <cell r="D1809">
            <v>-375521.03</v>
          </cell>
        </row>
        <row r="1810">
          <cell r="A1810" t="str">
            <v>4515</v>
          </cell>
          <cell r="D1810">
            <v>-9530.4599999999991</v>
          </cell>
        </row>
        <row r="1811">
          <cell r="A1811" t="str">
            <v>4525</v>
          </cell>
          <cell r="D1811">
            <v>59785.37</v>
          </cell>
        </row>
        <row r="1812">
          <cell r="A1812" t="str">
            <v>4525</v>
          </cell>
          <cell r="D1812">
            <v>0</v>
          </cell>
        </row>
        <row r="1813">
          <cell r="A1813" t="str">
            <v>4530</v>
          </cell>
          <cell r="D1813">
            <v>0</v>
          </cell>
        </row>
        <row r="1814">
          <cell r="A1814" t="str">
            <v>Corporate Income (Expense)</v>
          </cell>
          <cell r="D1814">
            <v>-175214.16000000003</v>
          </cell>
        </row>
        <row r="1815">
          <cell r="A1815">
            <v>4620</v>
          </cell>
          <cell r="D1815">
            <v>0</v>
          </cell>
        </row>
        <row r="1816">
          <cell r="A1816" t="str">
            <v>Foreign Income Taxes</v>
          </cell>
          <cell r="D1816">
            <v>0</v>
          </cell>
        </row>
        <row r="1818">
          <cell r="A1818" t="str">
            <v>INCOME (LOSS) BEFORE TAXES &amp; EXTRAORDINARY ITEM</v>
          </cell>
          <cell r="D1818">
            <v>423887.39999999868</v>
          </cell>
        </row>
      </sheetData>
      <sheetData sheetId="2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 ORDERS"/>
      <sheetName val="ORDERS"/>
      <sheetName val="BACKLOG"/>
      <sheetName val="summary"/>
      <sheetName val="INTERNAL REPORT "/>
      <sheetName val="PRODUCT LINE INTEGRATION"/>
      <sheetName val="P &amp; L Month &amp;Accum"/>
      <sheetName val="P&amp;L and Bal. Sheet"/>
      <sheetName val="P &amp; L SUMMARY"/>
      <sheetName val="GROSS MARG COMPARATIVE"/>
    </sheetNames>
    <sheetDataSet>
      <sheetData sheetId="0"/>
      <sheetData sheetId="1"/>
      <sheetData sheetId="2"/>
      <sheetData sheetId="3">
        <row r="1">
          <cell r="A1" t="str">
            <v>KADANT AES MEXICO, S.A. DE C.V.</v>
          </cell>
        </row>
        <row r="2">
          <cell r="A2" t="str">
            <v>SALES &amp; ORDERS SUMMARY</v>
          </cell>
        </row>
        <row r="3">
          <cell r="A3" t="str">
            <v>FISCAL YEAR 2006</v>
          </cell>
        </row>
        <row r="5">
          <cell r="B5" t="str">
            <v>Jan'06</v>
          </cell>
          <cell r="C5" t="str">
            <v>Feb'06</v>
          </cell>
          <cell r="D5" t="str">
            <v>Mar'06</v>
          </cell>
          <cell r="E5" t="str">
            <v>Apr'06</v>
          </cell>
          <cell r="F5" t="str">
            <v>May'06</v>
          </cell>
          <cell r="G5" t="str">
            <v>Jun'06</v>
          </cell>
          <cell r="H5" t="str">
            <v>Jul'06</v>
          </cell>
          <cell r="I5" t="str">
            <v>Ago'06</v>
          </cell>
          <cell r="J5" t="str">
            <v>Set'06</v>
          </cell>
          <cell r="K5" t="str">
            <v>Oct'06</v>
          </cell>
          <cell r="L5" t="str">
            <v>Nov'06</v>
          </cell>
          <cell r="M5" t="str">
            <v>Dec'06</v>
          </cell>
        </row>
        <row r="6">
          <cell r="A6" t="str">
            <v>Sales</v>
          </cell>
        </row>
        <row r="7">
          <cell r="A7" t="str">
            <v xml:space="preserve">   Doctor Blades</v>
          </cell>
          <cell r="B7">
            <v>1169252.03</v>
          </cell>
          <cell r="C7">
            <v>938787.43</v>
          </cell>
          <cell r="D7">
            <v>1012383.63</v>
          </cell>
        </row>
        <row r="8">
          <cell r="A8" t="str">
            <v xml:space="preserve">   Doctor Systems</v>
          </cell>
          <cell r="B8">
            <v>162907.76</v>
          </cell>
          <cell r="C8">
            <v>187558.84000000003</v>
          </cell>
          <cell r="D8">
            <v>1629159.65</v>
          </cell>
        </row>
        <row r="9">
          <cell r="A9" t="str">
            <v xml:space="preserve">   Accessory Parts</v>
          </cell>
          <cell r="B9">
            <v>1144185.99</v>
          </cell>
          <cell r="C9">
            <v>839464.42999999993</v>
          </cell>
          <cell r="D9">
            <v>809301.05999999994</v>
          </cell>
        </row>
        <row r="10">
          <cell r="A10" t="str">
            <v xml:space="preserve">   Cleaning &amp; Conditioning</v>
          </cell>
          <cell r="B10">
            <v>32193.09</v>
          </cell>
          <cell r="C10">
            <v>0</v>
          </cell>
          <cell r="D10">
            <v>0</v>
          </cell>
        </row>
        <row r="11">
          <cell r="A11" t="str">
            <v xml:space="preserve">   Filtration</v>
          </cell>
          <cell r="B11">
            <v>1040758.16</v>
          </cell>
          <cell r="C11">
            <v>1060825.58</v>
          </cell>
          <cell r="D11">
            <v>1120726.77</v>
          </cell>
        </row>
        <row r="12">
          <cell r="A12" t="str">
            <v xml:space="preserve">   Forming Systems</v>
          </cell>
          <cell r="B12">
            <v>537874</v>
          </cell>
          <cell r="C12">
            <v>114424.6</v>
          </cell>
          <cell r="D12">
            <v>332206.93</v>
          </cell>
        </row>
        <row r="13">
          <cell r="A13" t="str">
            <v xml:space="preserve">   Water Mgmt Parts</v>
          </cell>
          <cell r="B13">
            <v>810385.16</v>
          </cell>
          <cell r="C13">
            <v>915415.79999999993</v>
          </cell>
          <cell r="D13">
            <v>903625.89</v>
          </cell>
        </row>
        <row r="14">
          <cell r="A14" t="str">
            <v xml:space="preserve">   Poly</v>
          </cell>
          <cell r="B14">
            <v>1866066.99</v>
          </cell>
          <cell r="C14">
            <v>2498086.41</v>
          </cell>
          <cell r="D14">
            <v>2220328.0499999998</v>
          </cell>
        </row>
        <row r="15">
          <cell r="A15" t="str">
            <v xml:space="preserve">   Intercompany Commision</v>
          </cell>
          <cell r="D15">
            <v>116917</v>
          </cell>
        </row>
        <row r="16">
          <cell r="A16" t="str">
            <v xml:space="preserve">      Total Sales</v>
          </cell>
          <cell r="B16">
            <v>6763623.1800000006</v>
          </cell>
          <cell r="C16">
            <v>6554563.0899999999</v>
          </cell>
          <cell r="D16">
            <v>8144648.9799999986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check ====&gt;</v>
          </cell>
          <cell r="B17">
            <v>0</v>
          </cell>
          <cell r="C17">
            <v>0</v>
          </cell>
        </row>
        <row r="18">
          <cell r="B18">
            <v>-1.9999997690320015E-2</v>
          </cell>
          <cell r="C18">
            <v>-0.41000000294297934</v>
          </cell>
          <cell r="D18">
            <v>-0.46000000461935997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ORDERS</v>
          </cell>
        </row>
        <row r="20">
          <cell r="A20" t="str">
            <v xml:space="preserve">   Doctor Blades</v>
          </cell>
          <cell r="B20">
            <v>1345593.94</v>
          </cell>
          <cell r="C20">
            <v>1358244.2</v>
          </cell>
          <cell r="D20">
            <v>880613.89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 xml:space="preserve">   Doctor Systems</v>
          </cell>
          <cell r="B21">
            <v>1657998.53</v>
          </cell>
          <cell r="C21">
            <v>779301.16</v>
          </cell>
          <cell r="D21">
            <v>1545878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 xml:space="preserve">   Accessory Parts</v>
          </cell>
          <cell r="B22">
            <v>1549833.76</v>
          </cell>
          <cell r="C22">
            <v>1131241.82</v>
          </cell>
          <cell r="D22">
            <v>1239569.6100000001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 xml:space="preserve">   Cleaning &amp; Conditioning</v>
          </cell>
          <cell r="B23">
            <v>119473.64</v>
          </cell>
          <cell r="C23">
            <v>48508.02</v>
          </cell>
          <cell r="D23">
            <v>203629.44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 xml:space="preserve">   Filtration</v>
          </cell>
          <cell r="B24">
            <v>97851.199999999997</v>
          </cell>
          <cell r="C24">
            <v>1481445.16</v>
          </cell>
          <cell r="D24">
            <v>129526.76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 xml:space="preserve">   Forming Systems</v>
          </cell>
          <cell r="B25">
            <v>1870964.3</v>
          </cell>
          <cell r="C25">
            <v>1487646.36</v>
          </cell>
          <cell r="D25">
            <v>643525.01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 xml:space="preserve">   Water Mgmt Parts</v>
          </cell>
          <cell r="B26">
            <v>546939.93999999994</v>
          </cell>
          <cell r="C26">
            <v>982064.97</v>
          </cell>
          <cell r="D26">
            <v>903682.99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 xml:space="preserve">   Poly</v>
          </cell>
          <cell r="B27">
            <v>2068879.97</v>
          </cell>
          <cell r="C27">
            <v>2606231.9600000004</v>
          </cell>
          <cell r="D27">
            <v>2873748.92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TOTAL ORDERS</v>
          </cell>
          <cell r="B29">
            <v>9257535.2799999993</v>
          </cell>
          <cell r="C29">
            <v>9874683.6500000004</v>
          </cell>
          <cell r="D29">
            <v>8420174.620000001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check ====&gt;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érdidas"/>
      <sheetName val="Coeficiente"/>
      <sheetName val="ProvIMPAC"/>
      <sheetName val="ProvIVA"/>
      <sheetName val="ProvISR-IMPAC"/>
    </sheetNames>
    <sheetDataSet>
      <sheetData sheetId="0">
        <row r="94">
          <cell r="L94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RAS 05"/>
      <sheetName val="DES"/>
      <sheetName val="DEPREC"/>
      <sheetName val="VENTAS 05"/>
      <sheetName val="CAJA"/>
      <sheetName val="RESUMEN"/>
      <sheetName val="H-TRABAJO"/>
      <sheetName val="DIARIO"/>
      <sheetName val="MAYORIZ"/>
      <sheetName val="PLANC"/>
      <sheetName val="EEPPG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>
            <v>10</v>
          </cell>
          <cell r="B1" t="str">
            <v>Caja y Bancos</v>
          </cell>
        </row>
        <row r="2">
          <cell r="A2">
            <v>12</v>
          </cell>
          <cell r="B2" t="str">
            <v>Clientes</v>
          </cell>
        </row>
        <row r="3">
          <cell r="A3">
            <v>14</v>
          </cell>
          <cell r="B3" t="str">
            <v>Cuentas Por Cobrar a Accionistas</v>
          </cell>
        </row>
        <row r="4">
          <cell r="A4">
            <v>16</v>
          </cell>
          <cell r="B4" t="str">
            <v>Cuentas Por Cobrar Diversas</v>
          </cell>
        </row>
        <row r="5">
          <cell r="A5">
            <v>19</v>
          </cell>
          <cell r="B5" t="str">
            <v>Prov. Para Ctas. De Cobranza Dudosa</v>
          </cell>
        </row>
        <row r="6">
          <cell r="A6">
            <v>20</v>
          </cell>
          <cell r="B6" t="str">
            <v>Mercaderías</v>
          </cell>
        </row>
        <row r="7">
          <cell r="A7">
            <v>21</v>
          </cell>
          <cell r="B7" t="str">
            <v>Productos Terminados</v>
          </cell>
        </row>
        <row r="8">
          <cell r="A8">
            <v>22</v>
          </cell>
          <cell r="B8" t="str">
            <v>Sub Productos, Desechos y Desperdicios</v>
          </cell>
        </row>
        <row r="9">
          <cell r="A9">
            <v>23</v>
          </cell>
          <cell r="B9" t="str">
            <v>Productos En Proceso</v>
          </cell>
        </row>
        <row r="10">
          <cell r="A10">
            <v>24</v>
          </cell>
          <cell r="B10" t="str">
            <v>Materias Primas y Auxiliares</v>
          </cell>
        </row>
        <row r="11">
          <cell r="A11">
            <v>25</v>
          </cell>
          <cell r="B11" t="str">
            <v>Envases y Embalajes</v>
          </cell>
        </row>
        <row r="12">
          <cell r="A12">
            <v>26</v>
          </cell>
          <cell r="B12" t="str">
            <v>Suministros Diversos</v>
          </cell>
        </row>
        <row r="13">
          <cell r="A13">
            <v>28</v>
          </cell>
          <cell r="B13" t="str">
            <v>Existencias por Recibir</v>
          </cell>
        </row>
        <row r="14">
          <cell r="A14">
            <v>29</v>
          </cell>
          <cell r="B14" t="str">
            <v>Provisiones Para desvalorización de Existencias</v>
          </cell>
        </row>
        <row r="15">
          <cell r="A15">
            <v>31</v>
          </cell>
          <cell r="B15" t="str">
            <v>Valores</v>
          </cell>
        </row>
        <row r="16">
          <cell r="A16">
            <v>32</v>
          </cell>
          <cell r="B16" t="str">
            <v>Provisión para la Desvalorización de Activo Fijo</v>
          </cell>
        </row>
        <row r="17">
          <cell r="A17">
            <v>33</v>
          </cell>
          <cell r="B17" t="str">
            <v>Inmuebles, Máq. Y Equipos</v>
          </cell>
        </row>
        <row r="18">
          <cell r="A18">
            <v>34</v>
          </cell>
          <cell r="B18" t="str">
            <v>Intangibles</v>
          </cell>
        </row>
        <row r="19">
          <cell r="A19">
            <v>35</v>
          </cell>
          <cell r="B19" t="str">
            <v>Val. Adicional del inmueble Maquinaria y Equipo</v>
          </cell>
        </row>
        <row r="20">
          <cell r="A20">
            <v>36</v>
          </cell>
          <cell r="B20" t="str">
            <v>Inmuebles, Máq. Y Equipos-Leyes de Promoción</v>
          </cell>
        </row>
        <row r="21">
          <cell r="A21">
            <v>37</v>
          </cell>
          <cell r="B21" t="str">
            <v>Intangibles-Leyes de Promoción</v>
          </cell>
        </row>
        <row r="22">
          <cell r="A22">
            <v>38</v>
          </cell>
          <cell r="B22" t="str">
            <v>Cargas Diferidas</v>
          </cell>
        </row>
        <row r="23">
          <cell r="A23">
            <v>39</v>
          </cell>
          <cell r="B23" t="str">
            <v>Dep. y Amortización Acumulada</v>
          </cell>
        </row>
        <row r="24">
          <cell r="A24">
            <v>40</v>
          </cell>
          <cell r="B24" t="str">
            <v>Tributos por Pagar</v>
          </cell>
        </row>
        <row r="25">
          <cell r="A25">
            <v>41</v>
          </cell>
          <cell r="B25" t="str">
            <v>Remuneraciones y Particip. Por Pagar</v>
          </cell>
        </row>
        <row r="26">
          <cell r="A26">
            <v>42</v>
          </cell>
          <cell r="B26" t="str">
            <v>Proveedores</v>
          </cell>
        </row>
        <row r="27">
          <cell r="A27">
            <v>45</v>
          </cell>
          <cell r="B27" t="str">
            <v>Dividendos Por Pagar</v>
          </cell>
        </row>
        <row r="28">
          <cell r="A28">
            <v>46</v>
          </cell>
          <cell r="B28" t="str">
            <v>Cuentas por Pagar Diversas</v>
          </cell>
        </row>
        <row r="29">
          <cell r="A29">
            <v>46</v>
          </cell>
          <cell r="B29" t="str">
            <v>Cuentas por Pagar Diversas</v>
          </cell>
        </row>
        <row r="30">
          <cell r="A30">
            <v>47</v>
          </cell>
          <cell r="B30" t="str">
            <v>Beneficios Sociales de los Trabajadores</v>
          </cell>
        </row>
        <row r="31">
          <cell r="A31">
            <v>48</v>
          </cell>
          <cell r="B31" t="str">
            <v>Provisiones Diversas</v>
          </cell>
        </row>
        <row r="32">
          <cell r="A32">
            <v>49</v>
          </cell>
          <cell r="B32" t="str">
            <v>Ganacias Diferidas</v>
          </cell>
        </row>
        <row r="33">
          <cell r="A33">
            <v>50</v>
          </cell>
          <cell r="B33" t="str">
            <v>Capital</v>
          </cell>
        </row>
        <row r="34">
          <cell r="A34">
            <v>53</v>
          </cell>
          <cell r="B34" t="str">
            <v xml:space="preserve">Incremento Patrimonial por Val Adicional </v>
          </cell>
        </row>
        <row r="35">
          <cell r="A35">
            <v>55</v>
          </cell>
          <cell r="B35" t="str">
            <v>Accionariado Laboral</v>
          </cell>
        </row>
        <row r="36">
          <cell r="A36">
            <v>56</v>
          </cell>
          <cell r="B36" t="str">
            <v>Capital Adicional</v>
          </cell>
        </row>
        <row r="37">
          <cell r="A37">
            <v>57</v>
          </cell>
          <cell r="B37" t="str">
            <v>Excedente de Revaluación</v>
          </cell>
        </row>
        <row r="38">
          <cell r="A38">
            <v>58</v>
          </cell>
          <cell r="B38" t="str">
            <v>Reservas</v>
          </cell>
        </row>
        <row r="39">
          <cell r="A39">
            <v>59</v>
          </cell>
          <cell r="B39" t="str">
            <v>Resultados Acumulados</v>
          </cell>
        </row>
        <row r="40">
          <cell r="A40">
            <v>60</v>
          </cell>
          <cell r="B40" t="str">
            <v>Compras</v>
          </cell>
        </row>
        <row r="41">
          <cell r="A41">
            <v>61</v>
          </cell>
          <cell r="B41" t="str">
            <v>Variación de Existencias</v>
          </cell>
        </row>
        <row r="42">
          <cell r="A42">
            <v>62</v>
          </cell>
          <cell r="B42" t="str">
            <v>Cargas de Personal</v>
          </cell>
        </row>
        <row r="43">
          <cell r="A43">
            <v>63</v>
          </cell>
          <cell r="B43" t="str">
            <v>Servicios Prestados por Terceros</v>
          </cell>
        </row>
        <row r="44">
          <cell r="A44">
            <v>64</v>
          </cell>
          <cell r="B44" t="str">
            <v xml:space="preserve">Tributos </v>
          </cell>
        </row>
        <row r="45">
          <cell r="A45">
            <v>65</v>
          </cell>
          <cell r="B45" t="str">
            <v>Cargas Diversas de Gestión</v>
          </cell>
        </row>
        <row r="46">
          <cell r="A46">
            <v>66</v>
          </cell>
          <cell r="B46" t="str">
            <v>Cargas Excepcionales</v>
          </cell>
        </row>
        <row r="47">
          <cell r="A47">
            <v>67</v>
          </cell>
          <cell r="B47" t="str">
            <v>Cargas Financieras</v>
          </cell>
        </row>
        <row r="48">
          <cell r="A48">
            <v>68</v>
          </cell>
          <cell r="B48" t="str">
            <v>Provisiones del Ejercicio</v>
          </cell>
        </row>
        <row r="49">
          <cell r="A49">
            <v>69</v>
          </cell>
          <cell r="B49" t="str">
            <v>Costo de Ventas</v>
          </cell>
        </row>
        <row r="50">
          <cell r="A50">
            <v>70</v>
          </cell>
          <cell r="B50" t="str">
            <v>Ventas</v>
          </cell>
        </row>
        <row r="51">
          <cell r="A51">
            <v>71</v>
          </cell>
          <cell r="B51" t="str">
            <v>Producción Almacenada (o Desalmacenada)</v>
          </cell>
        </row>
        <row r="52">
          <cell r="A52">
            <v>72</v>
          </cell>
          <cell r="B52" t="str">
            <v>Producción Inmovilizada</v>
          </cell>
        </row>
        <row r="53">
          <cell r="A53">
            <v>73</v>
          </cell>
          <cell r="B53" t="str">
            <v>Descuentos, Rebajas y Bonif. Obtenidos</v>
          </cell>
        </row>
        <row r="54">
          <cell r="A54">
            <v>74</v>
          </cell>
          <cell r="B54" t="str">
            <v>Descuentos, Rebajas y Bonif. Concedidos</v>
          </cell>
        </row>
        <row r="55">
          <cell r="A55">
            <v>75</v>
          </cell>
          <cell r="B55" t="str">
            <v>Ingresos Diversos</v>
          </cell>
        </row>
        <row r="56">
          <cell r="A56">
            <v>76</v>
          </cell>
          <cell r="B56" t="str">
            <v>Ingresos Excepcionales</v>
          </cell>
        </row>
        <row r="57">
          <cell r="A57">
            <v>77</v>
          </cell>
          <cell r="B57" t="str">
            <v>Ingresos Financieros</v>
          </cell>
        </row>
        <row r="58">
          <cell r="A58">
            <v>78</v>
          </cell>
          <cell r="B58" t="str">
            <v>Cargas Cubiertas por Provisiones</v>
          </cell>
        </row>
        <row r="59">
          <cell r="A59">
            <v>79</v>
          </cell>
          <cell r="B59" t="str">
            <v>Cargas Imputables a Ctas. De Costos</v>
          </cell>
        </row>
        <row r="60">
          <cell r="A60">
            <v>80</v>
          </cell>
          <cell r="B60" t="str">
            <v>Margen Comercial</v>
          </cell>
        </row>
        <row r="61">
          <cell r="A61">
            <v>81</v>
          </cell>
          <cell r="B61" t="str">
            <v>Produccción del Ejercicio</v>
          </cell>
        </row>
        <row r="62">
          <cell r="A62">
            <v>82</v>
          </cell>
          <cell r="B62" t="str">
            <v>Valor Agregado</v>
          </cell>
        </row>
        <row r="63">
          <cell r="A63">
            <v>83</v>
          </cell>
          <cell r="B63" t="str">
            <v>Excedente(o Insuficiencia) Bruto de Explotación</v>
          </cell>
        </row>
        <row r="64">
          <cell r="A64">
            <v>84</v>
          </cell>
          <cell r="B64" t="str">
            <v>Resultado de Explotación</v>
          </cell>
        </row>
        <row r="65">
          <cell r="A65">
            <v>85</v>
          </cell>
          <cell r="B65" t="str">
            <v>Resultado antes de participaciones e Impuestos</v>
          </cell>
        </row>
        <row r="66">
          <cell r="A66">
            <v>86</v>
          </cell>
          <cell r="B66" t="str">
            <v>Distribución de la Renta Neta</v>
          </cell>
        </row>
        <row r="67">
          <cell r="A67">
            <v>87</v>
          </cell>
          <cell r="B67" t="str">
            <v>Saldos Intermediarios</v>
          </cell>
        </row>
        <row r="68">
          <cell r="A68">
            <v>88</v>
          </cell>
          <cell r="B68" t="str">
            <v>Impuesto a la Renta</v>
          </cell>
        </row>
        <row r="69">
          <cell r="A69">
            <v>89</v>
          </cell>
          <cell r="B69" t="str">
            <v>Resultado del Ejercicio</v>
          </cell>
        </row>
        <row r="70">
          <cell r="A70">
            <v>90</v>
          </cell>
          <cell r="B70" t="str">
            <v>Materia Prima</v>
          </cell>
        </row>
        <row r="71">
          <cell r="A71">
            <v>91</v>
          </cell>
          <cell r="B71" t="str">
            <v>Mano de obra</v>
          </cell>
        </row>
        <row r="72">
          <cell r="A72">
            <v>92</v>
          </cell>
          <cell r="B72" t="str">
            <v>Carga Fabril</v>
          </cell>
        </row>
        <row r="73">
          <cell r="A73">
            <v>93</v>
          </cell>
          <cell r="B73" t="str">
            <v>Costo de Produccion</v>
          </cell>
        </row>
        <row r="74">
          <cell r="A74">
            <v>94</v>
          </cell>
          <cell r="B74" t="str">
            <v>Gastos Administrativos</v>
          </cell>
        </row>
        <row r="75">
          <cell r="A75">
            <v>95</v>
          </cell>
          <cell r="B75" t="str">
            <v>Gastos de Ventas</v>
          </cell>
        </row>
        <row r="76">
          <cell r="A76">
            <v>96</v>
          </cell>
          <cell r="B76" t="str">
            <v>Gastos Financieros</v>
          </cell>
        </row>
        <row r="77">
          <cell r="A77">
            <v>98</v>
          </cell>
          <cell r="B77" t="str">
            <v>Resultado Analitico</v>
          </cell>
        </row>
        <row r="78">
          <cell r="A78">
            <v>101</v>
          </cell>
          <cell r="B78" t="str">
            <v>Caja</v>
          </cell>
        </row>
        <row r="79">
          <cell r="A79">
            <v>102</v>
          </cell>
          <cell r="B79" t="str">
            <v>Fondos Fijos</v>
          </cell>
        </row>
        <row r="80">
          <cell r="A80">
            <v>103</v>
          </cell>
          <cell r="B80" t="str">
            <v>Remesas en Tránsito</v>
          </cell>
        </row>
        <row r="81">
          <cell r="A81">
            <v>104</v>
          </cell>
          <cell r="B81" t="str">
            <v>Cuentas Corrientes</v>
          </cell>
        </row>
        <row r="82">
          <cell r="A82">
            <v>105</v>
          </cell>
          <cell r="B82" t="str">
            <v>Certificados Bancarios</v>
          </cell>
        </row>
        <row r="83">
          <cell r="A83">
            <v>106</v>
          </cell>
          <cell r="B83" t="str">
            <v>Depósitos a Plazo</v>
          </cell>
        </row>
        <row r="84">
          <cell r="A84">
            <v>108</v>
          </cell>
          <cell r="B84" t="str">
            <v>Otros Depósitos</v>
          </cell>
        </row>
        <row r="85">
          <cell r="A85">
            <v>109</v>
          </cell>
          <cell r="B85" t="str">
            <v>Fondos Sujetos a Restricción</v>
          </cell>
        </row>
        <row r="86">
          <cell r="A86">
            <v>121</v>
          </cell>
          <cell r="B86" t="str">
            <v>Facturas Por Cobrar</v>
          </cell>
        </row>
        <row r="87">
          <cell r="A87">
            <v>122</v>
          </cell>
          <cell r="B87" t="str">
            <v>Anticipos Recibidos</v>
          </cell>
        </row>
        <row r="88">
          <cell r="A88">
            <v>123</v>
          </cell>
          <cell r="B88" t="str">
            <v>Letras Por Cobrar</v>
          </cell>
        </row>
        <row r="89">
          <cell r="A89">
            <v>128</v>
          </cell>
          <cell r="B89" t="str">
            <v>Anticipos de Clientes ACM</v>
          </cell>
        </row>
        <row r="90">
          <cell r="A90">
            <v>129</v>
          </cell>
          <cell r="B90" t="str">
            <v>Cobranza Dudosa</v>
          </cell>
        </row>
        <row r="91">
          <cell r="A91">
            <v>141</v>
          </cell>
          <cell r="B91" t="str">
            <v>Préstamos al Personal</v>
          </cell>
        </row>
        <row r="92">
          <cell r="A92">
            <v>142</v>
          </cell>
          <cell r="B92" t="str">
            <v>Préstamos a Accionistas</v>
          </cell>
        </row>
        <row r="93">
          <cell r="A93">
            <v>143</v>
          </cell>
          <cell r="B93" t="str">
            <v>Prestamos a Directores</v>
          </cell>
        </row>
        <row r="94">
          <cell r="A94">
            <v>144</v>
          </cell>
          <cell r="B94" t="str">
            <v>Accionistas (Socios) Suscripciones Pend.</v>
          </cell>
        </row>
        <row r="95">
          <cell r="A95">
            <v>161</v>
          </cell>
          <cell r="B95" t="str">
            <v>Préstamos a Terceros</v>
          </cell>
        </row>
        <row r="96">
          <cell r="A96">
            <v>162</v>
          </cell>
          <cell r="B96" t="str">
            <v>Reclamos a Terceros</v>
          </cell>
        </row>
        <row r="97">
          <cell r="A97">
            <v>163</v>
          </cell>
          <cell r="B97" t="str">
            <v>Intereses Por Cobrar</v>
          </cell>
        </row>
        <row r="98">
          <cell r="A98">
            <v>164</v>
          </cell>
          <cell r="B98" t="str">
            <v>Depósitos en Garantía</v>
          </cell>
        </row>
        <row r="99">
          <cell r="A99">
            <v>168</v>
          </cell>
          <cell r="B99" t="str">
            <v>Otras Cuentas Por Cobrar Diversas</v>
          </cell>
        </row>
        <row r="100">
          <cell r="A100">
            <v>169</v>
          </cell>
          <cell r="B100" t="str">
            <v>Cobranza Dudosa</v>
          </cell>
        </row>
        <row r="101">
          <cell r="A101">
            <v>192</v>
          </cell>
          <cell r="B101" t="str">
            <v>Clientes</v>
          </cell>
        </row>
        <row r="102">
          <cell r="A102">
            <v>196</v>
          </cell>
          <cell r="B102" t="str">
            <v>Cuentas por Cobrar Diversas</v>
          </cell>
        </row>
        <row r="103">
          <cell r="A103">
            <v>201</v>
          </cell>
          <cell r="B103" t="str">
            <v>Almacén</v>
          </cell>
        </row>
        <row r="104">
          <cell r="A104">
            <v>202</v>
          </cell>
          <cell r="B104" t="str">
            <v>En Consignación</v>
          </cell>
        </row>
        <row r="105">
          <cell r="A105">
            <v>211</v>
          </cell>
          <cell r="B105" t="str">
            <v xml:space="preserve">Productos </v>
          </cell>
        </row>
        <row r="106">
          <cell r="A106">
            <v>211.01</v>
          </cell>
          <cell r="B106" t="str">
            <v>Polos Manga larga</v>
          </cell>
        </row>
        <row r="107">
          <cell r="A107">
            <v>211.02</v>
          </cell>
          <cell r="B107" t="str">
            <v>Pantalones para damas</v>
          </cell>
        </row>
        <row r="108">
          <cell r="A108">
            <v>241</v>
          </cell>
          <cell r="B108" t="str">
            <v>Materias Primas y Auxiliares</v>
          </cell>
        </row>
        <row r="109">
          <cell r="A109">
            <v>242</v>
          </cell>
          <cell r="B109" t="str">
            <v>Materiales Auxiliares</v>
          </cell>
        </row>
        <row r="110">
          <cell r="A110">
            <v>246.01</v>
          </cell>
          <cell r="B110" t="str">
            <v>Insumos Directos</v>
          </cell>
        </row>
        <row r="111">
          <cell r="A111">
            <v>246.01009999999999</v>
          </cell>
          <cell r="B111" t="str">
            <v>Botones</v>
          </cell>
        </row>
        <row r="112">
          <cell r="A112">
            <v>246.0102</v>
          </cell>
          <cell r="B112" t="str">
            <v>Cierres</v>
          </cell>
        </row>
        <row r="113">
          <cell r="A113">
            <v>246.0103</v>
          </cell>
          <cell r="B113" t="str">
            <v>Hilo Polyester</v>
          </cell>
        </row>
        <row r="114">
          <cell r="A114">
            <v>246.0104</v>
          </cell>
          <cell r="B114" t="str">
            <v>Hilo Nylon Negro</v>
          </cell>
        </row>
        <row r="115">
          <cell r="A115">
            <v>246.01050000000001</v>
          </cell>
          <cell r="B115" t="str">
            <v>Hilo Nylon Blanco</v>
          </cell>
        </row>
        <row r="116">
          <cell r="A116">
            <v>251</v>
          </cell>
          <cell r="B116" t="str">
            <v>Envases y Embalajes</v>
          </cell>
        </row>
        <row r="117">
          <cell r="A117">
            <v>252</v>
          </cell>
          <cell r="B117" t="str">
            <v>Embalajes</v>
          </cell>
        </row>
        <row r="118">
          <cell r="A118">
            <v>261</v>
          </cell>
          <cell r="B118" t="str">
            <v>Almacen</v>
          </cell>
        </row>
        <row r="119">
          <cell r="A119">
            <v>261.00099999999998</v>
          </cell>
          <cell r="B119" t="str">
            <v>soldadura</v>
          </cell>
        </row>
        <row r="120">
          <cell r="A120">
            <v>261.00200000000001</v>
          </cell>
          <cell r="B120" t="str">
            <v>pintura anticorrosiva</v>
          </cell>
        </row>
        <row r="121">
          <cell r="A121">
            <v>261.00299999999999</v>
          </cell>
          <cell r="B121" t="str">
            <v>grasa</v>
          </cell>
        </row>
        <row r="122">
          <cell r="A122">
            <v>261.00400000000002</v>
          </cell>
          <cell r="B122" t="str">
            <v>kerosene</v>
          </cell>
        </row>
        <row r="123">
          <cell r="A123">
            <v>261.005</v>
          </cell>
          <cell r="B123" t="str">
            <v>oxigeno</v>
          </cell>
        </row>
        <row r="124">
          <cell r="A124">
            <v>261.00599999999997</v>
          </cell>
          <cell r="B124" t="str">
            <v>lijas de fierro</v>
          </cell>
        </row>
        <row r="125">
          <cell r="A125">
            <v>262</v>
          </cell>
          <cell r="B125" t="str">
            <v>implementos de seguridad</v>
          </cell>
        </row>
        <row r="126">
          <cell r="A126">
            <v>263</v>
          </cell>
          <cell r="B126" t="str">
            <v>limpieza de planta</v>
          </cell>
        </row>
        <row r="127">
          <cell r="A127">
            <v>264</v>
          </cell>
          <cell r="B127" t="str">
            <v>Combustibles y Lubricantes</v>
          </cell>
        </row>
        <row r="128">
          <cell r="A128">
            <v>281</v>
          </cell>
          <cell r="B128" t="str">
            <v>Mercaderías</v>
          </cell>
        </row>
        <row r="129">
          <cell r="A129">
            <v>282</v>
          </cell>
          <cell r="B129" t="str">
            <v>Materias Primas y Auxiliares</v>
          </cell>
        </row>
        <row r="130">
          <cell r="A130">
            <v>283</v>
          </cell>
          <cell r="B130" t="str">
            <v>Envases y Embalajes</v>
          </cell>
        </row>
        <row r="131">
          <cell r="A131">
            <v>311</v>
          </cell>
          <cell r="B131" t="str">
            <v>Acciones</v>
          </cell>
        </row>
        <row r="132">
          <cell r="A132">
            <v>314</v>
          </cell>
          <cell r="B132" t="str">
            <v>Otros Títulos</v>
          </cell>
        </row>
        <row r="133">
          <cell r="A133">
            <v>315</v>
          </cell>
          <cell r="B133" t="str">
            <v>Cédulas Hipotecarias</v>
          </cell>
        </row>
        <row r="134">
          <cell r="A134">
            <v>316</v>
          </cell>
          <cell r="B134" t="str">
            <v>Bonos del Tesoro</v>
          </cell>
        </row>
        <row r="135">
          <cell r="A135">
            <v>317</v>
          </cell>
          <cell r="B135" t="str">
            <v>Bonos Diversos</v>
          </cell>
        </row>
        <row r="136">
          <cell r="A136">
            <v>318</v>
          </cell>
          <cell r="B136" t="str">
            <v>Otros Titulos Representativos de Acreencias</v>
          </cell>
        </row>
        <row r="137">
          <cell r="A137">
            <v>319</v>
          </cell>
          <cell r="B137" t="str">
            <v>Provisión para Fluctuaciones de Valores</v>
          </cell>
        </row>
        <row r="138">
          <cell r="A138">
            <v>331</v>
          </cell>
          <cell r="B138" t="str">
            <v>Terrenos</v>
          </cell>
        </row>
        <row r="139">
          <cell r="A139">
            <v>332</v>
          </cell>
          <cell r="B139" t="str">
            <v>Edificios y Otras Construcciones</v>
          </cell>
        </row>
        <row r="140">
          <cell r="A140">
            <v>333</v>
          </cell>
          <cell r="B140" t="str">
            <v>Maquinaria y Equipo  y Otras Unidades de Explotación</v>
          </cell>
        </row>
        <row r="141">
          <cell r="A141">
            <v>334</v>
          </cell>
          <cell r="B141" t="str">
            <v>Unidades de Transporte</v>
          </cell>
        </row>
        <row r="142">
          <cell r="A142">
            <v>335</v>
          </cell>
          <cell r="B142" t="str">
            <v>Muebles y Enseres</v>
          </cell>
        </row>
        <row r="143">
          <cell r="A143">
            <v>336</v>
          </cell>
          <cell r="B143" t="str">
            <v>Equipos Diversos</v>
          </cell>
        </row>
        <row r="144">
          <cell r="A144">
            <v>337</v>
          </cell>
          <cell r="B144" t="str">
            <v>Unidades de Reemplazo</v>
          </cell>
        </row>
        <row r="145">
          <cell r="A145">
            <v>338</v>
          </cell>
          <cell r="B145" t="str">
            <v>Unidades por Recibir</v>
          </cell>
        </row>
        <row r="146">
          <cell r="A146">
            <v>339</v>
          </cell>
          <cell r="B146" t="str">
            <v>Trabajos en Curso</v>
          </cell>
        </row>
        <row r="147">
          <cell r="A147">
            <v>341</v>
          </cell>
          <cell r="B147" t="str">
            <v>Concesiones y Derechos</v>
          </cell>
        </row>
        <row r="148">
          <cell r="A148">
            <v>342</v>
          </cell>
          <cell r="B148" t="str">
            <v>Patentes y Marcas</v>
          </cell>
        </row>
        <row r="149">
          <cell r="A149">
            <v>343</v>
          </cell>
          <cell r="B149" t="str">
            <v>Gastos de Investigación</v>
          </cell>
        </row>
        <row r="150">
          <cell r="A150">
            <v>344</v>
          </cell>
          <cell r="B150" t="str">
            <v>Gastos de Explotación</v>
          </cell>
        </row>
        <row r="151">
          <cell r="A151">
            <v>345</v>
          </cell>
          <cell r="B151" t="str">
            <v>Gastos de Estudios y Proyectos</v>
          </cell>
        </row>
        <row r="152">
          <cell r="A152">
            <v>346</v>
          </cell>
          <cell r="B152" t="str">
            <v>Gastos de Promoción y Pre-Operativos</v>
          </cell>
        </row>
        <row r="153">
          <cell r="A153">
            <v>347</v>
          </cell>
          <cell r="B153" t="str">
            <v>Gastos de Emisión de Acciones y Obligaciones</v>
          </cell>
        </row>
        <row r="154">
          <cell r="A154">
            <v>361</v>
          </cell>
          <cell r="B154" t="str">
            <v>Terrenos</v>
          </cell>
        </row>
        <row r="155">
          <cell r="A155">
            <v>362</v>
          </cell>
          <cell r="B155" t="str">
            <v>Edificios y Otras Construcciones</v>
          </cell>
        </row>
        <row r="156">
          <cell r="A156">
            <v>363</v>
          </cell>
          <cell r="B156" t="str">
            <v>Maquinaria y Equipo  y Otras Unidades de Explotación</v>
          </cell>
        </row>
        <row r="157">
          <cell r="A157">
            <v>364</v>
          </cell>
          <cell r="B157" t="str">
            <v>Unidades de Transporte</v>
          </cell>
        </row>
        <row r="158">
          <cell r="A158">
            <v>365</v>
          </cell>
          <cell r="B158" t="str">
            <v>Muebles y Enseres</v>
          </cell>
        </row>
        <row r="159">
          <cell r="A159">
            <v>366</v>
          </cell>
          <cell r="B159" t="str">
            <v>Equipos Diversos</v>
          </cell>
        </row>
        <row r="160">
          <cell r="A160">
            <v>367</v>
          </cell>
          <cell r="B160" t="str">
            <v>Unidades de Reemplazo</v>
          </cell>
        </row>
        <row r="161">
          <cell r="A161">
            <v>368</v>
          </cell>
          <cell r="B161" t="str">
            <v>Unidades por Recibir</v>
          </cell>
        </row>
        <row r="162">
          <cell r="A162">
            <v>369</v>
          </cell>
          <cell r="B162" t="str">
            <v>Trabajos en Curso</v>
          </cell>
        </row>
        <row r="163">
          <cell r="A163">
            <v>371</v>
          </cell>
          <cell r="B163" t="str">
            <v>Concesiones y Derechos</v>
          </cell>
        </row>
        <row r="164">
          <cell r="A164">
            <v>372</v>
          </cell>
          <cell r="B164" t="str">
            <v>Patentes y Marcas</v>
          </cell>
        </row>
        <row r="165">
          <cell r="A165">
            <v>373</v>
          </cell>
          <cell r="B165" t="str">
            <v>Gastos de Investigación</v>
          </cell>
        </row>
        <row r="166">
          <cell r="A166">
            <v>374</v>
          </cell>
          <cell r="B166" t="str">
            <v>Gastos de Explotación</v>
          </cell>
        </row>
        <row r="167">
          <cell r="A167">
            <v>375</v>
          </cell>
          <cell r="B167" t="str">
            <v>Gastos de Estudios y Proyectos</v>
          </cell>
        </row>
        <row r="168">
          <cell r="A168">
            <v>376</v>
          </cell>
          <cell r="B168" t="str">
            <v>Gastos de Promoción y Pre-Operativos</v>
          </cell>
        </row>
        <row r="169">
          <cell r="A169">
            <v>377</v>
          </cell>
          <cell r="B169" t="str">
            <v>Gastos de Emisión de Acciones y Obligaciones</v>
          </cell>
        </row>
        <row r="170">
          <cell r="A170">
            <v>381</v>
          </cell>
          <cell r="B170" t="str">
            <v>Interes Por Devengar</v>
          </cell>
        </row>
        <row r="171">
          <cell r="A171">
            <v>381.1</v>
          </cell>
          <cell r="B171" t="str">
            <v>Intereses de fraccionamiento</v>
          </cell>
        </row>
        <row r="172">
          <cell r="A172">
            <v>382</v>
          </cell>
          <cell r="B172" t="str">
            <v>Seguros Pagados Por Adelantado</v>
          </cell>
        </row>
        <row r="173">
          <cell r="A173">
            <v>383</v>
          </cell>
          <cell r="B173" t="str">
            <v>Alquilers Pagados Por Adelantado</v>
          </cell>
        </row>
        <row r="174">
          <cell r="A174">
            <v>384</v>
          </cell>
          <cell r="B174" t="str">
            <v>Entregas a Rendir Cuentas</v>
          </cell>
        </row>
        <row r="175">
          <cell r="A175">
            <v>385</v>
          </cell>
          <cell r="B175" t="str">
            <v>Adelanto de Remuneraciones</v>
          </cell>
        </row>
        <row r="176">
          <cell r="A176">
            <v>386</v>
          </cell>
          <cell r="B176" t="str">
            <v>I Renta 3 Pago a cuenta</v>
          </cell>
        </row>
        <row r="177">
          <cell r="A177">
            <v>389</v>
          </cell>
          <cell r="B177" t="str">
            <v>Sub Aplicación de Carga Fabril</v>
          </cell>
        </row>
        <row r="178">
          <cell r="A178">
            <v>389.01</v>
          </cell>
          <cell r="B178" t="str">
            <v>Polos Manga larga</v>
          </cell>
        </row>
        <row r="179">
          <cell r="A179">
            <v>389.02</v>
          </cell>
          <cell r="B179" t="str">
            <v>Pantalones para damas</v>
          </cell>
        </row>
        <row r="180">
          <cell r="A180">
            <v>393</v>
          </cell>
          <cell r="B180" t="str">
            <v>Dep. Inmuebles, Maq. Y Equipos</v>
          </cell>
        </row>
        <row r="181">
          <cell r="A181">
            <v>394</v>
          </cell>
          <cell r="B181" t="str">
            <v>Amortización Intangibles</v>
          </cell>
        </row>
        <row r="182">
          <cell r="A182">
            <v>396</v>
          </cell>
          <cell r="B182" t="str">
            <v>Dep. Inmuebles, Maq. Y Equipos - Leyes de Promoción</v>
          </cell>
        </row>
        <row r="183">
          <cell r="A183">
            <v>396.01</v>
          </cell>
          <cell r="B183" t="str">
            <v>Andamios</v>
          </cell>
        </row>
        <row r="184">
          <cell r="A184">
            <v>396.02</v>
          </cell>
          <cell r="B184" t="str">
            <v>Mesa Productora</v>
          </cell>
        </row>
        <row r="185">
          <cell r="A185">
            <v>396.03</v>
          </cell>
          <cell r="B185" t="str">
            <v>Sillas</v>
          </cell>
        </row>
        <row r="186">
          <cell r="A186">
            <v>397</v>
          </cell>
          <cell r="B186" t="str">
            <v>Amortización Intangibles - Leyes de Promoción</v>
          </cell>
        </row>
        <row r="187">
          <cell r="A187">
            <v>401</v>
          </cell>
          <cell r="B187" t="str">
            <v>Gobierno central</v>
          </cell>
        </row>
        <row r="188">
          <cell r="A188">
            <v>401.1</v>
          </cell>
          <cell r="B188" t="str">
            <v>Impuesto General a las Ventas</v>
          </cell>
        </row>
        <row r="189">
          <cell r="A189">
            <v>401.7</v>
          </cell>
          <cell r="B189" t="str">
            <v>Impuesto Renta 3 Cta</v>
          </cell>
        </row>
        <row r="190">
          <cell r="A190">
            <v>401.8</v>
          </cell>
          <cell r="B190" t="str">
            <v>Impuesto Renta 4 Cta</v>
          </cell>
        </row>
        <row r="191">
          <cell r="A191">
            <v>401.9</v>
          </cell>
          <cell r="B191" t="str">
            <v>Impuesto Renta 5 Cta</v>
          </cell>
        </row>
        <row r="192">
          <cell r="A192">
            <v>402</v>
          </cell>
          <cell r="B192" t="str">
            <v xml:space="preserve">Impuesto a la Renta </v>
          </cell>
        </row>
        <row r="193">
          <cell r="A193">
            <v>403</v>
          </cell>
          <cell r="B193" t="str">
            <v>Contribuciones a Instituciones públicas</v>
          </cell>
        </row>
        <row r="194">
          <cell r="A194">
            <v>403.01</v>
          </cell>
          <cell r="B194" t="str">
            <v>IES</v>
          </cell>
        </row>
        <row r="195">
          <cell r="A195">
            <v>403.02</v>
          </cell>
          <cell r="B195" t="str">
            <v>ESSALUD</v>
          </cell>
        </row>
        <row r="196">
          <cell r="A196">
            <v>403.03</v>
          </cell>
          <cell r="B196" t="str">
            <v>Onp</v>
          </cell>
        </row>
        <row r="197">
          <cell r="A197">
            <v>403.04</v>
          </cell>
          <cell r="B197" t="str">
            <v>Sctr</v>
          </cell>
        </row>
        <row r="198">
          <cell r="A198">
            <v>404</v>
          </cell>
          <cell r="B198" t="str">
            <v>Oficina Nacional de Pensiones</v>
          </cell>
        </row>
        <row r="199">
          <cell r="A199">
            <v>405</v>
          </cell>
          <cell r="B199" t="str">
            <v>Gobirno Local</v>
          </cell>
        </row>
        <row r="200">
          <cell r="A200">
            <v>408</v>
          </cell>
          <cell r="B200" t="str">
            <v>Tributos ACM</v>
          </cell>
        </row>
        <row r="201">
          <cell r="A201">
            <v>411</v>
          </cell>
          <cell r="B201" t="str">
            <v>Remuneraciones por Pagar</v>
          </cell>
        </row>
        <row r="202">
          <cell r="A202">
            <v>412</v>
          </cell>
          <cell r="B202" t="str">
            <v>Vacaciones por Pagar</v>
          </cell>
        </row>
        <row r="203">
          <cell r="A203">
            <v>413</v>
          </cell>
          <cell r="B203" t="str">
            <v>Participaciones por Pagar</v>
          </cell>
        </row>
        <row r="204">
          <cell r="A204">
            <v>414</v>
          </cell>
          <cell r="B204" t="str">
            <v>Remuneraciones y Participaciones al Directorio</v>
          </cell>
        </row>
        <row r="205">
          <cell r="A205">
            <v>421</v>
          </cell>
          <cell r="B205" t="str">
            <v>Facturas Por pagar</v>
          </cell>
        </row>
        <row r="206">
          <cell r="A206">
            <v>422</v>
          </cell>
          <cell r="B206" t="str">
            <v>Anticipos Otorgados</v>
          </cell>
        </row>
        <row r="207">
          <cell r="A207">
            <v>423</v>
          </cell>
          <cell r="B207" t="str">
            <v>Letras por Pagar</v>
          </cell>
        </row>
        <row r="208">
          <cell r="A208">
            <v>451</v>
          </cell>
          <cell r="B208" t="str">
            <v>Accionistas domiciliarios</v>
          </cell>
        </row>
        <row r="209">
          <cell r="A209">
            <v>452</v>
          </cell>
          <cell r="B209" t="str">
            <v>Accionistas no domiciliarios</v>
          </cell>
        </row>
        <row r="210">
          <cell r="A210">
            <v>453</v>
          </cell>
          <cell r="B210" t="str">
            <v>Participación de los socios</v>
          </cell>
        </row>
        <row r="211">
          <cell r="A211">
            <v>461</v>
          </cell>
          <cell r="B211" t="str">
            <v>Préstamos de terceros</v>
          </cell>
        </row>
        <row r="212">
          <cell r="A212">
            <v>462</v>
          </cell>
          <cell r="B212" t="str">
            <v>Reclamaciones de Terceros</v>
          </cell>
        </row>
        <row r="213">
          <cell r="A213">
            <v>463</v>
          </cell>
          <cell r="B213" t="str">
            <v>prestamos de accionistas</v>
          </cell>
        </row>
        <row r="214">
          <cell r="A214">
            <v>465</v>
          </cell>
          <cell r="B214" t="str">
            <v>Bonos u obligaciones</v>
          </cell>
        </row>
        <row r="215">
          <cell r="A215">
            <v>466</v>
          </cell>
          <cell r="B215" t="str">
            <v>Intereses por pagar</v>
          </cell>
        </row>
        <row r="216">
          <cell r="A216">
            <v>467</v>
          </cell>
          <cell r="B216" t="str">
            <v>Depósitos en garantía</v>
          </cell>
        </row>
        <row r="217">
          <cell r="A217">
            <v>468</v>
          </cell>
          <cell r="B217" t="str">
            <v>Cominidades laborales</v>
          </cell>
        </row>
        <row r="218">
          <cell r="A218">
            <v>469</v>
          </cell>
          <cell r="B218" t="str">
            <v>Otras Cuentas Por Pagar Diversas</v>
          </cell>
        </row>
        <row r="219">
          <cell r="A219">
            <v>471</v>
          </cell>
          <cell r="B219" t="str">
            <v>Compensación por tiempo de servicios</v>
          </cell>
        </row>
        <row r="220">
          <cell r="A220">
            <v>472</v>
          </cell>
          <cell r="B220" t="str">
            <v>Adelantos de compensación por tiempo de servicios</v>
          </cell>
        </row>
        <row r="221">
          <cell r="A221">
            <v>473</v>
          </cell>
          <cell r="B221" t="str">
            <v>Jubilación</v>
          </cell>
        </row>
        <row r="222">
          <cell r="A222">
            <v>481</v>
          </cell>
          <cell r="B222" t="str">
            <v>Garantía sobre ventas</v>
          </cell>
        </row>
        <row r="223">
          <cell r="A223">
            <v>482</v>
          </cell>
          <cell r="B223" t="str">
            <v>Provisión para pérdidas en ventas a futuro</v>
          </cell>
        </row>
        <row r="224">
          <cell r="A224">
            <v>483</v>
          </cell>
          <cell r="B224" t="str">
            <v>Provisión para pérdidas por litigio</v>
          </cell>
        </row>
        <row r="225">
          <cell r="A225">
            <v>484</v>
          </cell>
          <cell r="B225" t="str">
            <v>Provisión para autoseguro</v>
          </cell>
        </row>
        <row r="226">
          <cell r="A226">
            <v>485</v>
          </cell>
          <cell r="B226" t="str">
            <v>Provisión para investigación científica y tecnológica</v>
          </cell>
        </row>
        <row r="227">
          <cell r="A227">
            <v>491</v>
          </cell>
          <cell r="B227" t="str">
            <v>Ventas diferidas</v>
          </cell>
        </row>
        <row r="228">
          <cell r="A228">
            <v>492</v>
          </cell>
          <cell r="B228" t="str">
            <v>Costos diferidos</v>
          </cell>
        </row>
        <row r="229">
          <cell r="A229">
            <v>493</v>
          </cell>
          <cell r="B229" t="str">
            <v>Intereses diferidos</v>
          </cell>
        </row>
        <row r="230">
          <cell r="A230">
            <v>499</v>
          </cell>
          <cell r="B230" t="str">
            <v>Otras ganancias diferidas</v>
          </cell>
        </row>
        <row r="231">
          <cell r="A231">
            <v>501</v>
          </cell>
          <cell r="B231" t="str">
            <v>Capital Social</v>
          </cell>
        </row>
        <row r="232">
          <cell r="A232">
            <v>502</v>
          </cell>
          <cell r="B232" t="str">
            <v>Capital personal</v>
          </cell>
        </row>
        <row r="233">
          <cell r="A233">
            <v>509</v>
          </cell>
          <cell r="B233" t="str">
            <v>Cuenta personal del propietario</v>
          </cell>
        </row>
        <row r="234">
          <cell r="A234">
            <v>551</v>
          </cell>
          <cell r="B234" t="str">
            <v>Acciones laborales</v>
          </cell>
        </row>
        <row r="235">
          <cell r="A235">
            <v>552</v>
          </cell>
          <cell r="B235" t="str">
            <v>Remanente para acciones laborales</v>
          </cell>
        </row>
        <row r="236">
          <cell r="A236">
            <v>557</v>
          </cell>
          <cell r="B236" t="str">
            <v>Certifecados provisionales de participación patrimonial</v>
          </cell>
        </row>
        <row r="237">
          <cell r="A237">
            <v>559</v>
          </cell>
          <cell r="B237" t="str">
            <v>Acciones laborales por emitir</v>
          </cell>
        </row>
        <row r="238">
          <cell r="A238">
            <v>561</v>
          </cell>
          <cell r="B238" t="str">
            <v>Donaciones</v>
          </cell>
        </row>
        <row r="239">
          <cell r="A239">
            <v>562</v>
          </cell>
          <cell r="B239" t="str">
            <v>Primas de emisión</v>
          </cell>
        </row>
        <row r="240">
          <cell r="A240">
            <v>563</v>
          </cell>
          <cell r="B240" t="str">
            <v>Otros aportes de accionistas (o socios)</v>
          </cell>
        </row>
        <row r="241">
          <cell r="A241">
            <v>581</v>
          </cell>
          <cell r="B241" t="str">
            <v>Reserva para reinversiones</v>
          </cell>
        </row>
        <row r="242">
          <cell r="A242">
            <v>582</v>
          </cell>
          <cell r="B242" t="str">
            <v>Reseva legal</v>
          </cell>
        </row>
        <row r="243">
          <cell r="A243">
            <v>583</v>
          </cell>
          <cell r="B243" t="str">
            <v>Reservas contractuales</v>
          </cell>
        </row>
        <row r="244">
          <cell r="A244">
            <v>584</v>
          </cell>
          <cell r="B244" t="str">
            <v>Reservas Estatutarias</v>
          </cell>
        </row>
        <row r="245">
          <cell r="A245">
            <v>585</v>
          </cell>
          <cell r="B245" t="str">
            <v>Reservas Facultativas</v>
          </cell>
        </row>
        <row r="246">
          <cell r="A246">
            <v>589</v>
          </cell>
          <cell r="B246" t="str">
            <v>Otras reservas</v>
          </cell>
        </row>
        <row r="247">
          <cell r="A247">
            <v>591</v>
          </cell>
          <cell r="B247" t="str">
            <v>Utilidades no distribuidas</v>
          </cell>
        </row>
        <row r="248">
          <cell r="A248">
            <v>592</v>
          </cell>
          <cell r="B248" t="str">
            <v>Pérdidas acumuladas</v>
          </cell>
        </row>
        <row r="249">
          <cell r="A249">
            <v>601</v>
          </cell>
          <cell r="B249" t="str">
            <v>Mercaderías</v>
          </cell>
        </row>
        <row r="250">
          <cell r="A250">
            <v>604</v>
          </cell>
          <cell r="B250" t="str">
            <v>Materias Primas y Auxiliares</v>
          </cell>
        </row>
        <row r="251">
          <cell r="A251">
            <v>604.01</v>
          </cell>
          <cell r="B251" t="str">
            <v>Tela Rip Licrado</v>
          </cell>
        </row>
        <row r="252">
          <cell r="A252">
            <v>604.02</v>
          </cell>
          <cell r="B252" t="str">
            <v>Tela Capri</v>
          </cell>
        </row>
        <row r="253">
          <cell r="A253">
            <v>604.05999999999995</v>
          </cell>
          <cell r="B253" t="str">
            <v>Insumos Directos</v>
          </cell>
        </row>
        <row r="254">
          <cell r="A254">
            <v>604.06010000000003</v>
          </cell>
          <cell r="B254" t="str">
            <v>Botones</v>
          </cell>
        </row>
        <row r="255">
          <cell r="A255">
            <v>604.06020000000001</v>
          </cell>
          <cell r="B255" t="str">
            <v>Cierres</v>
          </cell>
        </row>
        <row r="256">
          <cell r="A256">
            <v>604.06029999999998</v>
          </cell>
          <cell r="B256" t="str">
            <v>Hilo Polyester</v>
          </cell>
        </row>
        <row r="257">
          <cell r="A257">
            <v>604.06039999999996</v>
          </cell>
          <cell r="B257" t="str">
            <v>Hilo Nylon Negro</v>
          </cell>
        </row>
        <row r="258">
          <cell r="A258">
            <v>604.06050000000005</v>
          </cell>
          <cell r="B258" t="str">
            <v>Hilo Nylon Blanco</v>
          </cell>
        </row>
        <row r="259">
          <cell r="A259">
            <v>605</v>
          </cell>
          <cell r="B259" t="str">
            <v>Envases y Embalajes</v>
          </cell>
        </row>
        <row r="260">
          <cell r="A260">
            <v>606</v>
          </cell>
          <cell r="B260" t="str">
            <v>Suministros Diversos</v>
          </cell>
        </row>
        <row r="261">
          <cell r="A261">
            <v>607</v>
          </cell>
          <cell r="B261" t="str">
            <v>Respuestos y lubricantes</v>
          </cell>
        </row>
        <row r="262">
          <cell r="A262">
            <v>611</v>
          </cell>
          <cell r="B262" t="str">
            <v>Mercaderías</v>
          </cell>
        </row>
        <row r="263">
          <cell r="A263">
            <v>614</v>
          </cell>
          <cell r="B263" t="str">
            <v>Materias Primas y Auxiliares</v>
          </cell>
        </row>
        <row r="264">
          <cell r="A264">
            <v>615</v>
          </cell>
          <cell r="B264" t="str">
            <v>Envases y Embalajes</v>
          </cell>
        </row>
        <row r="265">
          <cell r="A265">
            <v>616</v>
          </cell>
          <cell r="B265" t="str">
            <v>Suministros Diversos</v>
          </cell>
        </row>
        <row r="266">
          <cell r="A266">
            <v>621</v>
          </cell>
          <cell r="B266" t="str">
            <v>Sueldos</v>
          </cell>
        </row>
        <row r="267">
          <cell r="A267">
            <v>622</v>
          </cell>
          <cell r="B267" t="str">
            <v>Salarios</v>
          </cell>
        </row>
        <row r="268">
          <cell r="A268">
            <v>623</v>
          </cell>
          <cell r="B268" t="str">
            <v>otras remuneraciones</v>
          </cell>
        </row>
        <row r="269">
          <cell r="A269">
            <v>627</v>
          </cell>
          <cell r="B269" t="str">
            <v>Seguridad y previsión social</v>
          </cell>
        </row>
        <row r="270">
          <cell r="A270">
            <v>627.01</v>
          </cell>
          <cell r="B270" t="str">
            <v>EsSalud</v>
          </cell>
        </row>
        <row r="271">
          <cell r="A271">
            <v>628</v>
          </cell>
          <cell r="B271" t="str">
            <v>Sctr</v>
          </cell>
        </row>
        <row r="272">
          <cell r="A272">
            <v>629</v>
          </cell>
          <cell r="B272" t="str">
            <v>Otras cargas de personal</v>
          </cell>
        </row>
        <row r="273">
          <cell r="A273">
            <v>630</v>
          </cell>
          <cell r="B273" t="str">
            <v>Transporte y almacenamiento</v>
          </cell>
        </row>
        <row r="274">
          <cell r="A274">
            <v>631</v>
          </cell>
          <cell r="B274" t="str">
            <v>Correos y telecomunicaciones</v>
          </cell>
        </row>
        <row r="275">
          <cell r="A275">
            <v>632</v>
          </cell>
          <cell r="B275" t="str">
            <v>Honorarios, comisiones y corretajes</v>
          </cell>
        </row>
        <row r="276">
          <cell r="A276">
            <v>633</v>
          </cell>
          <cell r="B276" t="str">
            <v>Producción encagada a terceros</v>
          </cell>
        </row>
        <row r="277">
          <cell r="A277">
            <v>634</v>
          </cell>
          <cell r="B277" t="str">
            <v xml:space="preserve">Mantenimiento y reparación </v>
          </cell>
        </row>
        <row r="278">
          <cell r="A278">
            <v>635</v>
          </cell>
          <cell r="B278" t="str">
            <v>Alquileres</v>
          </cell>
        </row>
        <row r="279">
          <cell r="A279">
            <v>636</v>
          </cell>
          <cell r="B279" t="str">
            <v>Electricidad y agua</v>
          </cell>
        </row>
        <row r="280">
          <cell r="A280">
            <v>637</v>
          </cell>
          <cell r="B280" t="str">
            <v>Publicidad, publicaciones, relaciones públicas</v>
          </cell>
        </row>
        <row r="281">
          <cell r="A281">
            <v>638</v>
          </cell>
          <cell r="B281" t="str">
            <v>Servicios de personal</v>
          </cell>
        </row>
        <row r="282">
          <cell r="A282">
            <v>639</v>
          </cell>
          <cell r="B282" t="str">
            <v>Otros servicios</v>
          </cell>
        </row>
        <row r="283">
          <cell r="A283">
            <v>641</v>
          </cell>
          <cell r="B283" t="str">
            <v>Impuestos a las ventas</v>
          </cell>
        </row>
        <row r="284">
          <cell r="A284">
            <v>642</v>
          </cell>
          <cell r="B284" t="str">
            <v>Impuestos a las  remuneraciones</v>
          </cell>
        </row>
        <row r="285">
          <cell r="A285">
            <v>643</v>
          </cell>
          <cell r="B285" t="str">
            <v>Cánones</v>
          </cell>
        </row>
        <row r="286">
          <cell r="A286">
            <v>644</v>
          </cell>
          <cell r="B286" t="str">
            <v>Derechos  aduaneros por venta</v>
          </cell>
        </row>
        <row r="287">
          <cell r="A287">
            <v>645</v>
          </cell>
          <cell r="B287" t="str">
            <v>Impuesto al patrimonio</v>
          </cell>
        </row>
        <row r="288">
          <cell r="A288">
            <v>646</v>
          </cell>
          <cell r="B288" t="str">
            <v>Tributos a gobiernos locales</v>
          </cell>
        </row>
        <row r="289">
          <cell r="A289">
            <v>647</v>
          </cell>
          <cell r="B289" t="str">
            <v>Cotizaciones con carácter de tributo</v>
          </cell>
        </row>
        <row r="290">
          <cell r="A290">
            <v>649</v>
          </cell>
          <cell r="B290" t="str">
            <v>Sctr</v>
          </cell>
        </row>
        <row r="291">
          <cell r="A291">
            <v>651</v>
          </cell>
          <cell r="B291" t="str">
            <v xml:space="preserve">Seguros </v>
          </cell>
        </row>
        <row r="292">
          <cell r="A292">
            <v>652</v>
          </cell>
          <cell r="B292" t="str">
            <v>Regalías</v>
          </cell>
        </row>
        <row r="293">
          <cell r="A293">
            <v>653</v>
          </cell>
          <cell r="B293" t="str">
            <v>Suscripciones y cotizaciones</v>
          </cell>
        </row>
        <row r="294">
          <cell r="A294">
            <v>654</v>
          </cell>
          <cell r="B294" t="str">
            <v>Donaciones</v>
          </cell>
        </row>
        <row r="295">
          <cell r="A295">
            <v>659</v>
          </cell>
          <cell r="B295" t="str">
            <v>Otras cargas diversas de gestión</v>
          </cell>
        </row>
        <row r="296">
          <cell r="A296">
            <v>661</v>
          </cell>
          <cell r="B296" t="str">
            <v>Costos neto de enajenación de valores</v>
          </cell>
        </row>
        <row r="297">
          <cell r="A297">
            <v>662</v>
          </cell>
          <cell r="B297" t="str">
            <v>Costos neto de enajenación de inmuebles, maquinaria y equipo</v>
          </cell>
        </row>
        <row r="298">
          <cell r="A298">
            <v>663</v>
          </cell>
          <cell r="B298" t="str">
            <v>Costos neto de enajenación de intangibles</v>
          </cell>
        </row>
        <row r="299">
          <cell r="A299">
            <v>664</v>
          </cell>
          <cell r="B299" t="str">
            <v>Impuestos atrasados y/o adicionales</v>
          </cell>
        </row>
        <row r="300">
          <cell r="A300">
            <v>665</v>
          </cell>
          <cell r="B300" t="str">
            <v>Cargas diversas de ejercicios anteriores</v>
          </cell>
        </row>
        <row r="301">
          <cell r="A301">
            <v>666</v>
          </cell>
          <cell r="B301" t="str">
            <v>Sansaciones administrativas fiscales</v>
          </cell>
        </row>
        <row r="302">
          <cell r="A302">
            <v>668</v>
          </cell>
          <cell r="B302" t="str">
            <v>Gastos extraordinarios</v>
          </cell>
        </row>
        <row r="303">
          <cell r="A303">
            <v>669</v>
          </cell>
          <cell r="B303" t="str">
            <v>Otras cargas excepcionales</v>
          </cell>
        </row>
        <row r="304">
          <cell r="A304">
            <v>671</v>
          </cell>
          <cell r="B304" t="str">
            <v>Intereses y gastos de préstamos</v>
          </cell>
        </row>
        <row r="305">
          <cell r="A305">
            <v>672</v>
          </cell>
          <cell r="B305" t="str">
            <v>Intereses de sanciones</v>
          </cell>
        </row>
        <row r="306">
          <cell r="A306">
            <v>673</v>
          </cell>
          <cell r="B306" t="str">
            <v>Intereses relativos a bonos emitidos y otras obligaciones a plazo</v>
          </cell>
        </row>
        <row r="307">
          <cell r="A307">
            <v>674</v>
          </cell>
          <cell r="B307" t="str">
            <v>Intereses y gastos de documentos descotados</v>
          </cell>
        </row>
        <row r="308">
          <cell r="A308">
            <v>675</v>
          </cell>
          <cell r="B308" t="str">
            <v>Descuentos concedidos por pronto pago</v>
          </cell>
        </row>
        <row r="309">
          <cell r="A309">
            <v>676</v>
          </cell>
          <cell r="B309" t="str">
            <v>Pérdida por diferencia de cambio</v>
          </cell>
        </row>
        <row r="310">
          <cell r="A310">
            <v>678</v>
          </cell>
          <cell r="B310" t="str">
            <v>Gastos de compra de valores</v>
          </cell>
        </row>
        <row r="311">
          <cell r="A311">
            <v>679</v>
          </cell>
          <cell r="B311" t="str">
            <v>Otras cargas financieras</v>
          </cell>
        </row>
        <row r="312">
          <cell r="A312">
            <v>681</v>
          </cell>
          <cell r="B312" t="str">
            <v>Dep. de Inmuebles, Maq. y equipo</v>
          </cell>
        </row>
        <row r="313">
          <cell r="A313">
            <v>682</v>
          </cell>
          <cell r="B313" t="str">
            <v>Amortización de intangibles</v>
          </cell>
        </row>
        <row r="314">
          <cell r="A314">
            <v>683</v>
          </cell>
          <cell r="B314" t="str">
            <v>Fluctuación de valores</v>
          </cell>
        </row>
        <row r="315">
          <cell r="A315">
            <v>684</v>
          </cell>
          <cell r="B315" t="str">
            <v>Cuentas de cobranza dudosa</v>
          </cell>
        </row>
        <row r="316">
          <cell r="A316">
            <v>685</v>
          </cell>
          <cell r="B316" t="str">
            <v>Desvalorización de existencia</v>
          </cell>
        </row>
        <row r="317">
          <cell r="A317">
            <v>686</v>
          </cell>
          <cell r="B317" t="str">
            <v>Comp. por Tiempo de Servicios</v>
          </cell>
        </row>
        <row r="318">
          <cell r="A318">
            <v>687</v>
          </cell>
          <cell r="B318" t="str">
            <v>Jubilación</v>
          </cell>
        </row>
        <row r="319">
          <cell r="A319">
            <v>689</v>
          </cell>
          <cell r="B319" t="str">
            <v>Otras provisiciones del ejercicio</v>
          </cell>
        </row>
        <row r="320">
          <cell r="A320">
            <v>691</v>
          </cell>
          <cell r="B320" t="str">
            <v>Mercaderías</v>
          </cell>
        </row>
        <row r="321">
          <cell r="A321">
            <v>692</v>
          </cell>
          <cell r="B321" t="str">
            <v>Productos Terminados</v>
          </cell>
        </row>
        <row r="322">
          <cell r="A322">
            <v>692.01</v>
          </cell>
          <cell r="B322" t="str">
            <v>Polos Manga larga</v>
          </cell>
        </row>
        <row r="323">
          <cell r="A323">
            <v>692.02</v>
          </cell>
          <cell r="B323" t="str">
            <v>Pantalones para damas</v>
          </cell>
        </row>
        <row r="324">
          <cell r="A324">
            <v>693</v>
          </cell>
          <cell r="B324" t="str">
            <v>Subproductos, desechos y desperdicios</v>
          </cell>
        </row>
        <row r="325">
          <cell r="A325">
            <v>701</v>
          </cell>
          <cell r="B325" t="str">
            <v>Servicios grabada</v>
          </cell>
        </row>
        <row r="326">
          <cell r="A326">
            <v>702</v>
          </cell>
          <cell r="B326" t="str">
            <v>Servicios no grabados</v>
          </cell>
        </row>
        <row r="327">
          <cell r="A327">
            <v>703</v>
          </cell>
          <cell r="B327" t="str">
            <v>Subproductos, desechos y desperdicios</v>
          </cell>
        </row>
        <row r="328">
          <cell r="A328">
            <v>707</v>
          </cell>
          <cell r="B328" t="str">
            <v>Prestación de servicios</v>
          </cell>
        </row>
        <row r="329">
          <cell r="A329">
            <v>709</v>
          </cell>
          <cell r="B329" t="str">
            <v>Devoluciones sobre ventas</v>
          </cell>
        </row>
        <row r="330">
          <cell r="A330">
            <v>711</v>
          </cell>
          <cell r="B330" t="str">
            <v>Variación de productos terminados</v>
          </cell>
        </row>
        <row r="331">
          <cell r="A331">
            <v>712</v>
          </cell>
          <cell r="B331" t="str">
            <v>Variación de subproductos, desechos y desperdicios</v>
          </cell>
        </row>
        <row r="332">
          <cell r="A332">
            <v>713</v>
          </cell>
          <cell r="B332" t="str">
            <v>Variación de productos en proceso</v>
          </cell>
        </row>
        <row r="333">
          <cell r="A333">
            <v>715</v>
          </cell>
          <cell r="B333" t="str">
            <v>Variación de envases y embalajes</v>
          </cell>
        </row>
        <row r="334">
          <cell r="A334">
            <v>721</v>
          </cell>
          <cell r="B334" t="str">
            <v>Inmuebles, maquinarias y equipo</v>
          </cell>
        </row>
        <row r="335">
          <cell r="A335">
            <v>722</v>
          </cell>
          <cell r="B335" t="str">
            <v>Inrtangibles</v>
          </cell>
        </row>
        <row r="336">
          <cell r="A336">
            <v>751</v>
          </cell>
          <cell r="B336" t="str">
            <v>Explotación de servicios en beneficio del personal</v>
          </cell>
        </row>
        <row r="337">
          <cell r="A337">
            <v>752</v>
          </cell>
          <cell r="B337" t="str">
            <v>Comisiones y corretajes</v>
          </cell>
        </row>
        <row r="338">
          <cell r="A338">
            <v>753</v>
          </cell>
          <cell r="B338" t="str">
            <v>Regalías</v>
          </cell>
        </row>
        <row r="339">
          <cell r="A339">
            <v>754</v>
          </cell>
          <cell r="B339" t="str">
            <v>Alquileres diversos</v>
          </cell>
        </row>
        <row r="340">
          <cell r="A340">
            <v>756</v>
          </cell>
          <cell r="B340" t="str">
            <v>Recuperación de impuestos</v>
          </cell>
        </row>
        <row r="341">
          <cell r="A341">
            <v>758</v>
          </cell>
          <cell r="B341" t="str">
            <v>Subsidios recibidos</v>
          </cell>
        </row>
        <row r="342">
          <cell r="A342">
            <v>759</v>
          </cell>
          <cell r="B342" t="str">
            <v>Otros ingresos diversos</v>
          </cell>
        </row>
        <row r="343">
          <cell r="A343">
            <v>761</v>
          </cell>
          <cell r="B343" t="str">
            <v>Enajenación de valores</v>
          </cell>
        </row>
        <row r="344">
          <cell r="A344">
            <v>762</v>
          </cell>
          <cell r="B344" t="str">
            <v>Enajenación de inmuebles, maquinas y equipo</v>
          </cell>
        </row>
        <row r="345">
          <cell r="A345">
            <v>763</v>
          </cell>
          <cell r="B345" t="str">
            <v>Enajenación de intangibles</v>
          </cell>
        </row>
        <row r="346">
          <cell r="A346">
            <v>764</v>
          </cell>
          <cell r="B346" t="str">
            <v>Recuperación de castigos de cuentas incobrables</v>
          </cell>
        </row>
        <row r="347">
          <cell r="A347">
            <v>765</v>
          </cell>
          <cell r="B347" t="str">
            <v>Devolución de provisiones de ejercicios anteriores</v>
          </cell>
        </row>
        <row r="348">
          <cell r="A348">
            <v>766</v>
          </cell>
          <cell r="B348" t="str">
            <v>Devolución de impuestos</v>
          </cell>
        </row>
        <row r="349">
          <cell r="A349">
            <v>768</v>
          </cell>
          <cell r="B349" t="str">
            <v>Ingresos extraordinarios</v>
          </cell>
        </row>
        <row r="350">
          <cell r="A350">
            <v>769</v>
          </cell>
          <cell r="B350" t="str">
            <v>Otros ingresos excepcionales</v>
          </cell>
        </row>
        <row r="351">
          <cell r="A351">
            <v>771</v>
          </cell>
          <cell r="B351" t="str">
            <v>Intereses sobre préstamos otorgados</v>
          </cell>
        </row>
        <row r="352">
          <cell r="A352">
            <v>772</v>
          </cell>
          <cell r="B352" t="str">
            <v>Intereses sobre cuentas por cobrar mercantiles</v>
          </cell>
        </row>
        <row r="353">
          <cell r="A353">
            <v>773</v>
          </cell>
          <cell r="B353" t="str">
            <v>Intereses persibidos sobre bonos y otros títulos similares</v>
          </cell>
        </row>
        <row r="354">
          <cell r="A354">
            <v>774</v>
          </cell>
          <cell r="B354" t="str">
            <v>Intereses sobre depósitos</v>
          </cell>
        </row>
        <row r="355">
          <cell r="A355">
            <v>775</v>
          </cell>
          <cell r="B355" t="str">
            <v>Descuentos obtenidos por pronto pago</v>
          </cell>
        </row>
        <row r="356">
          <cell r="A356">
            <v>776</v>
          </cell>
          <cell r="B356" t="str">
            <v>Ganancia por diferencia de cambio</v>
          </cell>
        </row>
        <row r="357">
          <cell r="A357">
            <v>777</v>
          </cell>
          <cell r="B357" t="str">
            <v>Dividendos percibidos</v>
          </cell>
        </row>
        <row r="358">
          <cell r="A358">
            <v>779</v>
          </cell>
          <cell r="B358" t="str">
            <v>Otros ingresos financieros</v>
          </cell>
        </row>
        <row r="359">
          <cell r="A359">
            <v>791</v>
          </cell>
          <cell r="B359" t="str">
            <v>CICC por Distribuir</v>
          </cell>
        </row>
        <row r="360">
          <cell r="A360">
            <v>792</v>
          </cell>
          <cell r="B360" t="str">
            <v>CICC Produccion</v>
          </cell>
        </row>
        <row r="361">
          <cell r="A361">
            <v>794</v>
          </cell>
          <cell r="B361" t="str">
            <v>CICC Administracion</v>
          </cell>
        </row>
        <row r="362">
          <cell r="A362">
            <v>795</v>
          </cell>
          <cell r="B362" t="str">
            <v>CICC Ventas</v>
          </cell>
        </row>
        <row r="363">
          <cell r="A363">
            <v>861</v>
          </cell>
          <cell r="B363" t="str">
            <v>Participación de los trabajadores</v>
          </cell>
        </row>
        <row r="364">
          <cell r="A364">
            <v>862</v>
          </cell>
          <cell r="B364" t="str">
            <v xml:space="preserve">Participación Comunidad Laboral </v>
          </cell>
        </row>
        <row r="365">
          <cell r="A365">
            <v>863</v>
          </cell>
          <cell r="B365" t="str">
            <v>Participación patrimonial de los trabajadores</v>
          </cell>
        </row>
        <row r="366">
          <cell r="A366">
            <v>864</v>
          </cell>
          <cell r="B366" t="str">
            <v>Investigación científica y tecnológica</v>
          </cell>
        </row>
        <row r="367">
          <cell r="A367">
            <v>881</v>
          </cell>
          <cell r="B367" t="str">
            <v>Pagos a Cuenta</v>
          </cell>
        </row>
        <row r="368">
          <cell r="A368">
            <v>901</v>
          </cell>
          <cell r="B368" t="str">
            <v>Materia Prima</v>
          </cell>
        </row>
        <row r="369">
          <cell r="A369">
            <v>901.01</v>
          </cell>
          <cell r="B369" t="str">
            <v>Hoja de Costos N 150</v>
          </cell>
        </row>
        <row r="370">
          <cell r="A370">
            <v>901.02</v>
          </cell>
          <cell r="B370" t="str">
            <v>Hoja de Costos N 151</v>
          </cell>
        </row>
        <row r="371">
          <cell r="A371">
            <v>902</v>
          </cell>
          <cell r="B371" t="str">
            <v>Conmpras reflejas</v>
          </cell>
        </row>
        <row r="372">
          <cell r="A372">
            <v>903</v>
          </cell>
          <cell r="B372" t="str">
            <v>Gastos de personal reflejos</v>
          </cell>
        </row>
        <row r="373">
          <cell r="A373">
            <v>904</v>
          </cell>
          <cell r="B373" t="str">
            <v>Servicios de terceros reflejos</v>
          </cell>
        </row>
        <row r="374">
          <cell r="A374">
            <v>905</v>
          </cell>
          <cell r="B374" t="str">
            <v>Cargas de gestión  reflejas</v>
          </cell>
        </row>
        <row r="375">
          <cell r="A375">
            <v>906</v>
          </cell>
          <cell r="B375" t="str">
            <v>Cargas Financieras</v>
          </cell>
        </row>
        <row r="376">
          <cell r="A376">
            <v>907</v>
          </cell>
          <cell r="B376" t="str">
            <v>Provisiones reflejas</v>
          </cell>
        </row>
        <row r="377">
          <cell r="A377">
            <v>908</v>
          </cell>
          <cell r="B377" t="str">
            <v>Ventas reflejas</v>
          </cell>
        </row>
        <row r="378">
          <cell r="A378">
            <v>910</v>
          </cell>
          <cell r="B378" t="str">
            <v>Existencias finales reflejas</v>
          </cell>
        </row>
        <row r="379">
          <cell r="A379">
            <v>911</v>
          </cell>
          <cell r="B379" t="str">
            <v>Mano de obra Directa</v>
          </cell>
        </row>
        <row r="380">
          <cell r="A380">
            <v>911.01</v>
          </cell>
          <cell r="B380" t="str">
            <v>Hoja de Costos N 150</v>
          </cell>
        </row>
        <row r="381">
          <cell r="A381">
            <v>911.02</v>
          </cell>
          <cell r="B381" t="str">
            <v>Hoja de Costos N 151</v>
          </cell>
        </row>
        <row r="382">
          <cell r="A382">
            <v>912</v>
          </cell>
          <cell r="B382" t="str">
            <v>Materias auxiliares, envases y embalajes</v>
          </cell>
        </row>
        <row r="383">
          <cell r="A383">
            <v>913</v>
          </cell>
          <cell r="B383" t="str">
            <v>Sueldos y salarios</v>
          </cell>
        </row>
        <row r="384">
          <cell r="A384">
            <v>914</v>
          </cell>
          <cell r="B384" t="str">
            <v>Cargas sociales</v>
          </cell>
        </row>
        <row r="385">
          <cell r="A385">
            <v>915</v>
          </cell>
          <cell r="B385" t="str">
            <v xml:space="preserve">Depreciaciones </v>
          </cell>
        </row>
        <row r="386">
          <cell r="A386">
            <v>916</v>
          </cell>
          <cell r="B386" t="str">
            <v>Fuerza motriz</v>
          </cell>
        </row>
        <row r="387">
          <cell r="A387">
            <v>921</v>
          </cell>
          <cell r="B387" t="str">
            <v>Carga Fabril en Proceso</v>
          </cell>
        </row>
        <row r="388">
          <cell r="A388">
            <v>921.01</v>
          </cell>
          <cell r="B388" t="str">
            <v>Hoja de Costos N 150</v>
          </cell>
        </row>
        <row r="389">
          <cell r="A389">
            <v>921.02</v>
          </cell>
          <cell r="B389" t="str">
            <v>Hoja de Costos N 151</v>
          </cell>
        </row>
        <row r="390">
          <cell r="A390">
            <v>922</v>
          </cell>
          <cell r="B390" t="str">
            <v>Carga Fabril Aplicada</v>
          </cell>
        </row>
        <row r="391">
          <cell r="A391">
            <v>922.01</v>
          </cell>
          <cell r="B391" t="str">
            <v>Hoja de Costos N 150</v>
          </cell>
        </row>
        <row r="392">
          <cell r="A392">
            <v>922.02</v>
          </cell>
          <cell r="B392" t="str">
            <v>Hoja de Costos N 151</v>
          </cell>
        </row>
        <row r="393">
          <cell r="A393">
            <v>923</v>
          </cell>
          <cell r="B393" t="str">
            <v>Carga Fabril Real</v>
          </cell>
        </row>
        <row r="394">
          <cell r="A394">
            <v>923</v>
          </cell>
          <cell r="B394" t="str">
            <v>Mano de obra</v>
          </cell>
        </row>
        <row r="395">
          <cell r="A395">
            <v>923.01</v>
          </cell>
          <cell r="B395" t="str">
            <v>Hoja de Costos N 150</v>
          </cell>
        </row>
        <row r="396">
          <cell r="A396">
            <v>923.02</v>
          </cell>
          <cell r="B396" t="str">
            <v>Hoja de Costos N 151</v>
          </cell>
        </row>
        <row r="397">
          <cell r="A397">
            <v>924</v>
          </cell>
          <cell r="B397" t="str">
            <v>Cargas sociales</v>
          </cell>
        </row>
        <row r="398">
          <cell r="A398">
            <v>925</v>
          </cell>
          <cell r="B398" t="str">
            <v>Depreciaciones</v>
          </cell>
        </row>
        <row r="399">
          <cell r="A399">
            <v>926</v>
          </cell>
          <cell r="B399" t="str">
            <v>Fuerza motriz</v>
          </cell>
        </row>
        <row r="400">
          <cell r="A400">
            <v>931</v>
          </cell>
          <cell r="B400" t="str">
            <v>Hoja de Costos N 150</v>
          </cell>
        </row>
        <row r="401">
          <cell r="A401">
            <v>932</v>
          </cell>
          <cell r="B401" t="str">
            <v>Hoja de Costos N 151</v>
          </cell>
        </row>
        <row r="402">
          <cell r="A402">
            <v>941</v>
          </cell>
          <cell r="B402" t="str">
            <v>Gastos financ</v>
          </cell>
        </row>
        <row r="403">
          <cell r="A403">
            <v>942</v>
          </cell>
          <cell r="B403" t="str">
            <v>Utiles de Escritorio</v>
          </cell>
        </row>
        <row r="404">
          <cell r="A404">
            <v>943</v>
          </cell>
          <cell r="B404" t="str">
            <v>Gastos generales</v>
          </cell>
        </row>
        <row r="405">
          <cell r="A405">
            <v>944</v>
          </cell>
          <cell r="B405" t="str">
            <v>Sueldos y salarios</v>
          </cell>
        </row>
        <row r="406">
          <cell r="A406">
            <v>945</v>
          </cell>
          <cell r="B406" t="str">
            <v>Cargas sociales</v>
          </cell>
        </row>
        <row r="407">
          <cell r="A407">
            <v>946</v>
          </cell>
          <cell r="B407" t="str">
            <v>Depreciaciones</v>
          </cell>
        </row>
        <row r="408">
          <cell r="A408">
            <v>951</v>
          </cell>
          <cell r="B408" t="str">
            <v>Publicidad</v>
          </cell>
        </row>
        <row r="409">
          <cell r="A409">
            <v>952</v>
          </cell>
          <cell r="B409" t="str">
            <v>Comunicaciones</v>
          </cell>
        </row>
        <row r="410">
          <cell r="A410">
            <v>953</v>
          </cell>
          <cell r="B410" t="str">
            <v>Comiciones</v>
          </cell>
        </row>
        <row r="411">
          <cell r="A411">
            <v>954</v>
          </cell>
          <cell r="B411" t="str">
            <v>Sueldos y salarios</v>
          </cell>
        </row>
        <row r="412">
          <cell r="A412">
            <v>955</v>
          </cell>
          <cell r="B412" t="str">
            <v>Cargas sociales</v>
          </cell>
        </row>
        <row r="413">
          <cell r="A413">
            <v>956</v>
          </cell>
          <cell r="B413" t="str">
            <v>Depreciaciones</v>
          </cell>
        </row>
        <row r="414">
          <cell r="A414">
            <v>961</v>
          </cell>
          <cell r="B414" t="str">
            <v>Materias primas</v>
          </cell>
        </row>
        <row r="415">
          <cell r="A415">
            <v>962</v>
          </cell>
          <cell r="B415" t="str">
            <v>Materiales auxiliares, envases y embalajes</v>
          </cell>
        </row>
        <row r="416">
          <cell r="A416">
            <v>963</v>
          </cell>
          <cell r="B416" t="str">
            <v>Producción en preceso</v>
          </cell>
        </row>
        <row r="417">
          <cell r="A417">
            <v>965</v>
          </cell>
          <cell r="B417" t="str">
            <v>Existencia por recibir</v>
          </cell>
        </row>
        <row r="418">
          <cell r="A418">
            <v>1041</v>
          </cell>
          <cell r="B418" t="str">
            <v>Cta. Cte Bco. Internacional</v>
          </cell>
        </row>
        <row r="419">
          <cell r="A419">
            <v>1042</v>
          </cell>
          <cell r="B419" t="str">
            <v>Cta. Cte Bco. Continental</v>
          </cell>
        </row>
        <row r="420">
          <cell r="A420">
            <v>1047</v>
          </cell>
          <cell r="B420" t="str">
            <v>Cta. Ahorro. Bco Credito</v>
          </cell>
        </row>
        <row r="421">
          <cell r="A421">
            <v>1211</v>
          </cell>
          <cell r="B421" t="str">
            <v>santa maeria</v>
          </cell>
        </row>
        <row r="422">
          <cell r="A422">
            <v>2113</v>
          </cell>
          <cell r="B422" t="str">
            <v>Carro metal 50tn</v>
          </cell>
        </row>
        <row r="423">
          <cell r="A423">
            <v>2611</v>
          </cell>
          <cell r="B423" t="str">
            <v>combustilbe</v>
          </cell>
        </row>
        <row r="424">
          <cell r="A424">
            <v>2612</v>
          </cell>
          <cell r="B424" t="str">
            <v>lubricantes</v>
          </cell>
        </row>
        <row r="425">
          <cell r="A425">
            <v>2621</v>
          </cell>
          <cell r="B425" t="str">
            <v>respiradores</v>
          </cell>
        </row>
        <row r="426">
          <cell r="A426">
            <v>2622</v>
          </cell>
          <cell r="B426" t="str">
            <v>casco de soldar</v>
          </cell>
        </row>
        <row r="427">
          <cell r="A427">
            <v>2623</v>
          </cell>
          <cell r="B427" t="str">
            <v>zapatos industriles</v>
          </cell>
        </row>
        <row r="428">
          <cell r="A428">
            <v>2624</v>
          </cell>
          <cell r="B428" t="str">
            <v>mamelucos</v>
          </cell>
        </row>
        <row r="429">
          <cell r="A429">
            <v>2625</v>
          </cell>
          <cell r="B429" t="str">
            <v>casco de seguridad</v>
          </cell>
        </row>
        <row r="430">
          <cell r="A430">
            <v>2626</v>
          </cell>
          <cell r="B430" t="str">
            <v>filtros de respirador</v>
          </cell>
        </row>
        <row r="431">
          <cell r="A431">
            <v>2631</v>
          </cell>
          <cell r="B431" t="str">
            <v>ace</v>
          </cell>
        </row>
        <row r="432">
          <cell r="A432">
            <v>2632</v>
          </cell>
          <cell r="B432" t="str">
            <v>jabones</v>
          </cell>
        </row>
        <row r="433">
          <cell r="A433">
            <v>3347</v>
          </cell>
          <cell r="B433" t="str">
            <v>Un.Trasnpore de Reemplazo.</v>
          </cell>
        </row>
        <row r="434">
          <cell r="A434">
            <v>4691</v>
          </cell>
          <cell r="B434" t="str">
            <v>Afp</v>
          </cell>
        </row>
        <row r="435">
          <cell r="A435">
            <v>4692</v>
          </cell>
          <cell r="B435" t="str">
            <v>sobregiro bancario</v>
          </cell>
        </row>
        <row r="436">
          <cell r="A436">
            <v>4693</v>
          </cell>
          <cell r="B436" t="str">
            <v>descuentos</v>
          </cell>
        </row>
        <row r="437">
          <cell r="A437">
            <v>4694</v>
          </cell>
          <cell r="B437" t="str">
            <v>fraccionamiento</v>
          </cell>
        </row>
        <row r="438">
          <cell r="A438">
            <v>4695</v>
          </cell>
          <cell r="B438" t="str">
            <v>Honorarios, comisiones y corretajes</v>
          </cell>
        </row>
        <row r="439">
          <cell r="A439">
            <v>4696</v>
          </cell>
          <cell r="B439" t="str">
            <v>Otras cuentas</v>
          </cell>
        </row>
        <row r="440">
          <cell r="A440">
            <v>6011</v>
          </cell>
          <cell r="B440" t="str">
            <v>Mercaderia A</v>
          </cell>
        </row>
        <row r="441">
          <cell r="A441">
            <v>6012</v>
          </cell>
          <cell r="B441" t="str">
            <v>Mercaderia B</v>
          </cell>
        </row>
        <row r="442">
          <cell r="A442">
            <v>6013</v>
          </cell>
          <cell r="B442" t="str">
            <v>Mercaderia C</v>
          </cell>
        </row>
        <row r="443">
          <cell r="A443">
            <v>6040</v>
          </cell>
          <cell r="B443" t="str">
            <v>planchas 1/4x2"</v>
          </cell>
        </row>
        <row r="444">
          <cell r="A444">
            <v>6061</v>
          </cell>
          <cell r="B444" t="str">
            <v>soldadura</v>
          </cell>
        </row>
        <row r="445">
          <cell r="A445">
            <v>6062</v>
          </cell>
          <cell r="B445" t="str">
            <v>pintura anticorrosiva</v>
          </cell>
        </row>
        <row r="446">
          <cell r="A446">
            <v>6063</v>
          </cell>
          <cell r="B446" t="str">
            <v>grasa</v>
          </cell>
        </row>
        <row r="447">
          <cell r="A447">
            <v>6064</v>
          </cell>
          <cell r="B447" t="str">
            <v>kerosene</v>
          </cell>
        </row>
        <row r="448">
          <cell r="A448">
            <v>6065</v>
          </cell>
          <cell r="B448" t="str">
            <v>oxigeno</v>
          </cell>
        </row>
        <row r="449">
          <cell r="A449">
            <v>6066</v>
          </cell>
          <cell r="B449" t="str">
            <v>lijas de fierro</v>
          </cell>
        </row>
        <row r="450">
          <cell r="A450">
            <v>6251</v>
          </cell>
          <cell r="B450" t="str">
            <v xml:space="preserve">Vacaciones </v>
          </cell>
        </row>
        <row r="451">
          <cell r="A451">
            <v>6252</v>
          </cell>
          <cell r="B451" t="str">
            <v>Gratificaciones</v>
          </cell>
        </row>
        <row r="452">
          <cell r="A452">
            <v>6340</v>
          </cell>
          <cell r="B452" t="str">
            <v>reparaciones, mantenimientos</v>
          </cell>
        </row>
        <row r="453">
          <cell r="A453">
            <v>6361</v>
          </cell>
          <cell r="B453" t="str">
            <v>sedam</v>
          </cell>
        </row>
        <row r="454">
          <cell r="A454">
            <v>6391</v>
          </cell>
          <cell r="B454" t="str">
            <v>movilidad, refrigerio</v>
          </cell>
        </row>
        <row r="455">
          <cell r="A455">
            <v>6580</v>
          </cell>
          <cell r="B455" t="str">
            <v>gasolina</v>
          </cell>
        </row>
        <row r="456">
          <cell r="A456">
            <v>6591</v>
          </cell>
          <cell r="B456" t="str">
            <v xml:space="preserve">utiles escritorio, </v>
          </cell>
        </row>
        <row r="457">
          <cell r="A457">
            <v>6592</v>
          </cell>
          <cell r="B457" t="str">
            <v>gastos de viaje</v>
          </cell>
        </row>
        <row r="458">
          <cell r="A458">
            <v>6593</v>
          </cell>
          <cell r="B458" t="str">
            <v>copias,</v>
          </cell>
        </row>
        <row r="459">
          <cell r="A459">
            <v>7021</v>
          </cell>
          <cell r="B459" t="str">
            <v>Carro metal 40tn</v>
          </cell>
        </row>
        <row r="460">
          <cell r="A460">
            <v>7022</v>
          </cell>
          <cell r="B460" t="str">
            <v>Tolva minera 50tn</v>
          </cell>
        </row>
        <row r="461">
          <cell r="A461">
            <v>7023</v>
          </cell>
          <cell r="B461" t="str">
            <v>Carro metal 50tn</v>
          </cell>
        </row>
        <row r="462">
          <cell r="A462">
            <v>7111</v>
          </cell>
          <cell r="B462" t="str">
            <v>carros de metal 50 tn</v>
          </cell>
        </row>
        <row r="463">
          <cell r="A463">
            <v>7112</v>
          </cell>
          <cell r="B463" t="str">
            <v>carros de metal 40 tn</v>
          </cell>
        </row>
        <row r="464">
          <cell r="A464">
            <v>7113</v>
          </cell>
          <cell r="B464" t="str">
            <v xml:space="preserve">tolvas mineras de 50 tn </v>
          </cell>
        </row>
        <row r="465">
          <cell r="A465">
            <v>9211</v>
          </cell>
          <cell r="B465" t="str">
            <v>Orden 0023</v>
          </cell>
        </row>
        <row r="466">
          <cell r="A466">
            <v>9212</v>
          </cell>
          <cell r="B466" t="str">
            <v>Orden 0024</v>
          </cell>
        </row>
        <row r="467">
          <cell r="A467">
            <v>9213</v>
          </cell>
          <cell r="B467" t="str">
            <v>Orden 0025</v>
          </cell>
        </row>
        <row r="468">
          <cell r="A468">
            <v>9221</v>
          </cell>
          <cell r="B468" t="str">
            <v>Producto Y</v>
          </cell>
        </row>
        <row r="469">
          <cell r="A469">
            <v>60601</v>
          </cell>
          <cell r="B469" t="str">
            <v>limpieza y mantenimiento de planta</v>
          </cell>
        </row>
        <row r="470">
          <cell r="A470">
            <v>60602</v>
          </cell>
          <cell r="B470" t="str">
            <v>implementos de seguridad</v>
          </cell>
        </row>
        <row r="471">
          <cell r="A471">
            <v>60603</v>
          </cell>
          <cell r="B471" t="str">
            <v>limpieza de planta</v>
          </cell>
        </row>
        <row r="472">
          <cell r="A472">
            <v>60611</v>
          </cell>
          <cell r="B472" t="str">
            <v>limpieza</v>
          </cell>
        </row>
        <row r="473">
          <cell r="A473">
            <v>60612</v>
          </cell>
          <cell r="B473" t="str">
            <v>lubricantes</v>
          </cell>
        </row>
        <row r="474">
          <cell r="A474">
            <v>60621</v>
          </cell>
          <cell r="B474" t="str">
            <v>respiradores</v>
          </cell>
        </row>
        <row r="475">
          <cell r="A475">
            <v>60622</v>
          </cell>
          <cell r="B475" t="str">
            <v>casco de soldar</v>
          </cell>
        </row>
        <row r="476">
          <cell r="A476">
            <v>60623</v>
          </cell>
          <cell r="B476" t="str">
            <v>zapatos industriles</v>
          </cell>
        </row>
        <row r="477">
          <cell r="A477">
            <v>60624</v>
          </cell>
          <cell r="B477" t="str">
            <v>mamelucos</v>
          </cell>
        </row>
        <row r="478">
          <cell r="A478">
            <v>60625</v>
          </cell>
          <cell r="B478" t="str">
            <v>casco de seguridad</v>
          </cell>
        </row>
        <row r="479">
          <cell r="A479">
            <v>60626</v>
          </cell>
          <cell r="B479" t="str">
            <v>filtros de respirador</v>
          </cell>
        </row>
        <row r="480">
          <cell r="A480">
            <v>60631</v>
          </cell>
          <cell r="B480" t="str">
            <v>ace</v>
          </cell>
        </row>
        <row r="481">
          <cell r="A481">
            <v>60632</v>
          </cell>
          <cell r="B481" t="str">
            <v>jabones</v>
          </cell>
        </row>
        <row r="482">
          <cell r="A482">
            <v>65903</v>
          </cell>
          <cell r="B482" t="str">
            <v>galletas administracion</v>
          </cell>
        </row>
        <row r="483">
          <cell r="A483">
            <v>65904</v>
          </cell>
          <cell r="B483" t="str">
            <v>candados</v>
          </cell>
        </row>
        <row r="484">
          <cell r="A484">
            <v>91262</v>
          </cell>
          <cell r="B484" t="str">
            <v>mamelucos y zapatos</v>
          </cell>
        </row>
        <row r="485">
          <cell r="A485">
            <v>91621</v>
          </cell>
          <cell r="B485" t="str">
            <v>Sueldos y salarios</v>
          </cell>
        </row>
        <row r="486">
          <cell r="A486">
            <v>91627</v>
          </cell>
          <cell r="B486" t="str">
            <v>Seguridad y previsión social</v>
          </cell>
        </row>
        <row r="487">
          <cell r="A487">
            <v>91636</v>
          </cell>
          <cell r="B487" t="str">
            <v>Electricidad y agua</v>
          </cell>
        </row>
        <row r="488">
          <cell r="A488">
            <v>91639</v>
          </cell>
          <cell r="B488" t="str">
            <v>gastos caja chica</v>
          </cell>
        </row>
        <row r="489">
          <cell r="A489">
            <v>91645</v>
          </cell>
          <cell r="B489" t="str">
            <v>Cos. Dist. Tributos</v>
          </cell>
        </row>
        <row r="490">
          <cell r="A490">
            <v>91659</v>
          </cell>
          <cell r="B490" t="str">
            <v>gastos caja chica</v>
          </cell>
        </row>
        <row r="491">
          <cell r="A491">
            <v>91681</v>
          </cell>
          <cell r="B491" t="str">
            <v>depreciaciones</v>
          </cell>
        </row>
        <row r="492">
          <cell r="A492">
            <v>91686</v>
          </cell>
          <cell r="B492" t="str">
            <v>cts</v>
          </cell>
        </row>
        <row r="493">
          <cell r="A493">
            <v>92165</v>
          </cell>
          <cell r="B493" t="str">
            <v>Gastos de Seguros</v>
          </cell>
        </row>
        <row r="494">
          <cell r="A494">
            <v>92265</v>
          </cell>
          <cell r="B494" t="str">
            <v>Gastos de Seguros</v>
          </cell>
        </row>
        <row r="495">
          <cell r="A495">
            <v>94621</v>
          </cell>
          <cell r="B495" t="str">
            <v>Sueldos y salarios</v>
          </cell>
        </row>
        <row r="496">
          <cell r="A496">
            <v>94627</v>
          </cell>
          <cell r="B496" t="str">
            <v>Seguridad y previsión social</v>
          </cell>
        </row>
        <row r="497">
          <cell r="A497">
            <v>94631</v>
          </cell>
          <cell r="B497" t="str">
            <v>Correos y telecomunicaciones</v>
          </cell>
        </row>
        <row r="498">
          <cell r="A498">
            <v>94632</v>
          </cell>
          <cell r="B498" t="str">
            <v>Honorarios, comisiones y corretajes</v>
          </cell>
        </row>
        <row r="499">
          <cell r="A499">
            <v>94636</v>
          </cell>
          <cell r="B499" t="str">
            <v>Electricidad y agua</v>
          </cell>
        </row>
        <row r="500">
          <cell r="A500">
            <v>94639</v>
          </cell>
          <cell r="B500" t="str">
            <v>gastos diversos c.chica</v>
          </cell>
        </row>
        <row r="501">
          <cell r="A501">
            <v>94645</v>
          </cell>
          <cell r="B501" t="str">
            <v>Gas.Adm. Tributos</v>
          </cell>
        </row>
        <row r="502">
          <cell r="A502">
            <v>94659</v>
          </cell>
          <cell r="B502" t="str">
            <v>gastos diversos c.chica</v>
          </cell>
        </row>
        <row r="503">
          <cell r="A503">
            <v>94686</v>
          </cell>
          <cell r="B503" t="str">
            <v>cts</v>
          </cell>
        </row>
        <row r="504">
          <cell r="A504">
            <v>95621</v>
          </cell>
          <cell r="B504" t="str">
            <v>Sueldos y salarios</v>
          </cell>
        </row>
        <row r="505">
          <cell r="A505">
            <v>95627</v>
          </cell>
          <cell r="B505" t="str">
            <v>Seguridad y previsión social</v>
          </cell>
        </row>
        <row r="506">
          <cell r="A506">
            <v>95636</v>
          </cell>
          <cell r="B506" t="str">
            <v>Electricidad y agua</v>
          </cell>
        </row>
        <row r="507">
          <cell r="A507">
            <v>95639</v>
          </cell>
          <cell r="B507" t="str">
            <v>gastos diversos c.chica</v>
          </cell>
        </row>
        <row r="508">
          <cell r="A508">
            <v>95645</v>
          </cell>
          <cell r="B508" t="str">
            <v>Gas. Ventas. Tributos</v>
          </cell>
        </row>
        <row r="509">
          <cell r="A509">
            <v>95659</v>
          </cell>
          <cell r="B509" t="str">
            <v>gastos diversos c.chica</v>
          </cell>
        </row>
        <row r="510">
          <cell r="A510">
            <v>95686</v>
          </cell>
          <cell r="B510" t="str">
            <v>cts</v>
          </cell>
        </row>
        <row r="511">
          <cell r="A511">
            <v>921124</v>
          </cell>
          <cell r="B511" t="str">
            <v>MP</v>
          </cell>
        </row>
        <row r="512">
          <cell r="A512">
            <v>921126</v>
          </cell>
          <cell r="B512" t="str">
            <v>Suministros.</v>
          </cell>
        </row>
        <row r="513">
          <cell r="A513">
            <v>921224</v>
          </cell>
          <cell r="B513" t="str">
            <v>MP</v>
          </cell>
        </row>
        <row r="514">
          <cell r="A514">
            <v>921226</v>
          </cell>
          <cell r="B514" t="str">
            <v>Suministros.</v>
          </cell>
        </row>
        <row r="515">
          <cell r="A515">
            <v>921324</v>
          </cell>
          <cell r="B515" t="str">
            <v>MP</v>
          </cell>
        </row>
        <row r="516">
          <cell r="A516">
            <v>921326</v>
          </cell>
          <cell r="B516" t="str">
            <v>Suministros.</v>
          </cell>
        </row>
        <row r="517">
          <cell r="A517">
            <v>921625</v>
          </cell>
          <cell r="B517" t="str">
            <v>Planilla de Remuneraciones O.</v>
          </cell>
        </row>
        <row r="518">
          <cell r="A518">
            <v>921627</v>
          </cell>
          <cell r="B518" t="str">
            <v>Seguridad y previsión social</v>
          </cell>
        </row>
        <row r="519">
          <cell r="A519">
            <v>922625</v>
          </cell>
          <cell r="B519" t="str">
            <v>Planilla de Remuneraciones O.</v>
          </cell>
        </row>
        <row r="520">
          <cell r="A520">
            <v>922627</v>
          </cell>
          <cell r="B520" t="str">
            <v>Seguridad y previsión social</v>
          </cell>
        </row>
        <row r="521">
          <cell r="A521">
            <v>9211262</v>
          </cell>
          <cell r="B521" t="str">
            <v>implementos de seguridad</v>
          </cell>
        </row>
        <row r="522">
          <cell r="A522">
            <v>9211621</v>
          </cell>
          <cell r="B522" t="str">
            <v>sueldos</v>
          </cell>
        </row>
        <row r="523">
          <cell r="A523">
            <v>9211622</v>
          </cell>
          <cell r="B523" t="str">
            <v>salarios</v>
          </cell>
        </row>
        <row r="524">
          <cell r="A524">
            <v>9211636</v>
          </cell>
          <cell r="B524" t="str">
            <v>Electricidad</v>
          </cell>
        </row>
        <row r="525">
          <cell r="A525">
            <v>9211681</v>
          </cell>
          <cell r="B525" t="str">
            <v>depreciacion</v>
          </cell>
        </row>
        <row r="526">
          <cell r="A526">
            <v>9211686</v>
          </cell>
          <cell r="B526" t="str">
            <v>cts</v>
          </cell>
        </row>
        <row r="527">
          <cell r="A527">
            <v>9212262</v>
          </cell>
          <cell r="B527" t="str">
            <v>implementos de seguridad</v>
          </cell>
        </row>
        <row r="528">
          <cell r="A528">
            <v>9212621</v>
          </cell>
          <cell r="B528" t="str">
            <v>sueldos</v>
          </cell>
        </row>
        <row r="529">
          <cell r="A529">
            <v>9212622</v>
          </cell>
          <cell r="B529" t="str">
            <v>salarios</v>
          </cell>
        </row>
        <row r="530">
          <cell r="A530">
            <v>9212636</v>
          </cell>
          <cell r="B530" t="str">
            <v>Electricidad</v>
          </cell>
        </row>
        <row r="531">
          <cell r="A531">
            <v>9212681</v>
          </cell>
          <cell r="B531" t="str">
            <v>depreciacion</v>
          </cell>
        </row>
        <row r="532">
          <cell r="A532">
            <v>9212686</v>
          </cell>
          <cell r="B532" t="str">
            <v>cts</v>
          </cell>
        </row>
        <row r="533">
          <cell r="A533">
            <v>9213262</v>
          </cell>
          <cell r="B533" t="str">
            <v>implementos de seguridad</v>
          </cell>
        </row>
        <row r="534">
          <cell r="A534">
            <v>9213621</v>
          </cell>
          <cell r="B534" t="str">
            <v>sueldos</v>
          </cell>
        </row>
        <row r="535">
          <cell r="A535">
            <v>9213622</v>
          </cell>
          <cell r="B535" t="str">
            <v>salarios</v>
          </cell>
        </row>
        <row r="536">
          <cell r="A536">
            <v>9213636</v>
          </cell>
          <cell r="B536" t="str">
            <v>Electricidad</v>
          </cell>
        </row>
        <row r="537">
          <cell r="A537">
            <v>9213681</v>
          </cell>
          <cell r="B537" t="str">
            <v>depreciacion</v>
          </cell>
        </row>
        <row r="538">
          <cell r="A538">
            <v>9213686</v>
          </cell>
          <cell r="B538" t="str">
            <v>cts</v>
          </cell>
        </row>
        <row r="539">
          <cell r="A539">
            <v>92116391</v>
          </cell>
          <cell r="B539" t="str">
            <v>gastos diversos c.chica</v>
          </cell>
        </row>
        <row r="540">
          <cell r="A540">
            <v>92126391</v>
          </cell>
          <cell r="B540" t="str">
            <v>gastos diversos c.chica</v>
          </cell>
        </row>
        <row r="541">
          <cell r="A541">
            <v>92136391</v>
          </cell>
          <cell r="B541" t="str">
            <v>gastos diversos c.chica</v>
          </cell>
        </row>
      </sheetData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ESUMEN CONCILIACIÓN BANCARIA"/>
      <sheetName val="CORTE DE CHEQUES"/>
      <sheetName val="POSICION EN MONEDA EXTRANJERA"/>
      <sheetName val="DATOS BANK"/>
      <sheetName val="CONFIRMACION BANCOS"/>
      <sheetName val="INTEGRACIÓN DEUDORES"/>
      <sheetName val="PRUEBA GLOBAL IVA ACREDITABLE"/>
      <sheetName val="Prueba Global de IVA"/>
      <sheetName val="ROTACIÓN DE INVENTARIOS"/>
      <sheetName val="ANALISIS DE SEGUROS"/>
      <sheetName val="A.FIJO-INVERSION"/>
      <sheetName val="A.F. DEPRECIACIÓN"/>
      <sheetName val="ALTAS DE ACTIVO FIJO"/>
      <sheetName val="BAJAS DE A.FIJO"/>
      <sheetName val="ANALISIS DE CREDITOS "/>
      <sheetName val="ANALISIS DE INTERES"/>
      <sheetName val="ESTADO DE VARIACION"/>
      <sheetName val="ROTACIÓN DE CARTERA"/>
      <sheetName val="ANALISIS DE LA RESERV CTAS X CO"/>
      <sheetName val="RESUMEN PAGOS PROVISONALES"/>
      <sheetName val=" IMSS"/>
      <sheetName val="SAR-Infonavit"/>
      <sheetName val="2% S-NOMINA"/>
      <sheetName val="ISPT- CREDITO AL SALARIO"/>
      <sheetName val="ISR-IVA HONORARIOS"/>
      <sheetName val="ISR-IVA ARRENDAMIENTO"/>
      <sheetName val="FLETES"/>
      <sheetName val="HONORARIOS AL CONSEJO"/>
      <sheetName val="ANALITICA DE SUELDO"/>
      <sheetName val="SALDOS X COBRAR X PAGAR INTERCO"/>
      <sheetName val="TRANSACCIONES INTERCO"/>
      <sheetName val="MARGEN DE UTILIDAD MENSUAL"/>
      <sheetName val="AMARRE DEL COSTO X DIFERENCIA"/>
      <sheetName val="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34">
          <cell r="I34">
            <v>0</v>
          </cell>
        </row>
      </sheetData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re a Resultados"/>
      <sheetName val="Suficiencia"/>
      <sheetName val="PagosProv.-Definitivos"/>
      <sheetName val="IMSS"/>
      <sheetName val="SAR-Infonavit"/>
      <sheetName val="2% Nomina"/>
      <sheetName val="XREF"/>
      <sheetName val="Tickmarks"/>
    </sheetNames>
    <sheetDataSet>
      <sheetData sheetId="0" refreshError="1"/>
      <sheetData sheetId="1"/>
      <sheetData sheetId="2" refreshError="1"/>
      <sheetData sheetId="3" refreshError="1"/>
      <sheetData sheetId="4">
        <row r="13">
          <cell r="F13">
            <v>2786.46</v>
          </cell>
        </row>
      </sheetData>
      <sheetData sheetId="5" refreshError="1"/>
      <sheetData sheetId="6" refreshError="1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"/>
      <sheetName val="Posición .M.E."/>
      <sheetName val="Fluctuación Cambiaria"/>
      <sheetName val="Resumen conciliaciones"/>
      <sheetName val="Corte de cheques"/>
      <sheetName val="B.Conf.bancaria."/>
      <sheetName val="Analisis de seguros"/>
      <sheetName val="Amarre saldos contables IVA"/>
      <sheetName val="Prueba IVA Acred"/>
      <sheetName val="Prueba IVA Trasl"/>
      <sheetName val="Cobros post."/>
      <sheetName val="Corte formas"/>
      <sheetName val="Compras"/>
      <sheetName val="Analítica Ing-CV"/>
      <sheetName val="E.50-PRUEBA COSTO"/>
      <sheetName val="Activo fijo"/>
      <sheetName val="Altas A.F. "/>
      <sheetName val="Bajas A.F."/>
      <sheetName val="Doctos. x pag."/>
      <sheetName val="Pagos post."/>
      <sheetName val="Vaciado PP"/>
      <sheetName val="vaciado pp act"/>
      <sheetName val=" IMSS"/>
      <sheetName val="SAR-Infonavit"/>
      <sheetName val=" 2% Nomina"/>
      <sheetName val="M.10- ISR-IVA honorarios"/>
      <sheetName val="M.10- ISR-IVA arrendamiento"/>
      <sheetName val="M.10- IVA comisionistas"/>
      <sheetName val="M.10- IVA transportistas"/>
      <sheetName val="M.10- ISR extranjero"/>
      <sheetName val="M.10- ISPT- Credito al salario"/>
      <sheetName val="Pagos prov IVA"/>
      <sheetName val="X.30-Global R, Cambiario USD "/>
      <sheetName val="X.30-Prueba Global de res. euro"/>
      <sheetName val="Anal-nominas"/>
      <sheetName val="Transacciones Interco Ingresos "/>
      <sheetName val="Saldos Interco "/>
      <sheetName val="Compatibility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NDICE"/>
      <sheetName val="5"/>
      <sheetName val="6.1"/>
      <sheetName val="Hoja19"/>
      <sheetName val="CRONOGRAMA"/>
      <sheetName val="6.2"/>
      <sheetName val="Gráfico1"/>
      <sheetName val="Gráfico2"/>
      <sheetName val="Hoja1"/>
      <sheetName val="7.1"/>
      <sheetName val="7.2"/>
      <sheetName val="7.3"/>
      <sheetName val="8"/>
      <sheetName val="9.1"/>
      <sheetName val="9.2"/>
      <sheetName val="10.1"/>
      <sheetName val="10.2"/>
      <sheetName val="10.3"/>
      <sheetName val="11"/>
      <sheetName val="13"/>
      <sheetName val="13.1"/>
      <sheetName val="13.2"/>
      <sheetName val="13.3"/>
      <sheetName val="13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3">
          <cell r="C83" t="str">
            <v>361300</v>
          </cell>
          <cell r="D83">
            <v>36180</v>
          </cell>
        </row>
        <row r="84">
          <cell r="C84" t="str">
            <v>361301</v>
          </cell>
          <cell r="D84">
            <v>36180</v>
          </cell>
        </row>
        <row r="85">
          <cell r="C85" t="str">
            <v>361302</v>
          </cell>
          <cell r="D85">
            <v>36181</v>
          </cell>
        </row>
        <row r="86">
          <cell r="C86" t="str">
            <v>361303</v>
          </cell>
          <cell r="D86">
            <v>36181</v>
          </cell>
        </row>
        <row r="87">
          <cell r="C87" t="str">
            <v>361304</v>
          </cell>
          <cell r="D87">
            <v>36182</v>
          </cell>
        </row>
        <row r="88">
          <cell r="C88" t="str">
            <v>361305</v>
          </cell>
          <cell r="D88">
            <v>36182</v>
          </cell>
        </row>
        <row r="89">
          <cell r="C89" t="str">
            <v>361306</v>
          </cell>
          <cell r="D89">
            <v>36178</v>
          </cell>
        </row>
        <row r="90">
          <cell r="C90" t="str">
            <v>361307</v>
          </cell>
          <cell r="D90">
            <v>36178</v>
          </cell>
        </row>
        <row r="91">
          <cell r="C91" t="str">
            <v>361308</v>
          </cell>
          <cell r="D91">
            <v>36179</v>
          </cell>
        </row>
        <row r="92">
          <cell r="C92" t="str">
            <v>361309</v>
          </cell>
          <cell r="D92">
            <v>36179</v>
          </cell>
        </row>
        <row r="93">
          <cell r="C93" t="str">
            <v>361610</v>
          </cell>
          <cell r="D93">
            <v>36209</v>
          </cell>
        </row>
        <row r="94">
          <cell r="C94" t="str">
            <v>361611</v>
          </cell>
          <cell r="D94">
            <v>36209</v>
          </cell>
        </row>
        <row r="95">
          <cell r="C95" t="str">
            <v>361612</v>
          </cell>
          <cell r="D95">
            <v>36210</v>
          </cell>
        </row>
        <row r="96">
          <cell r="C96" t="str">
            <v>361613</v>
          </cell>
          <cell r="D96">
            <v>36210</v>
          </cell>
        </row>
        <row r="97">
          <cell r="C97" t="str">
            <v>361614</v>
          </cell>
          <cell r="D97">
            <v>36203</v>
          </cell>
        </row>
        <row r="98">
          <cell r="C98" t="str">
            <v>361615</v>
          </cell>
          <cell r="D98">
            <v>36203</v>
          </cell>
        </row>
        <row r="99">
          <cell r="C99" t="str">
            <v>361616</v>
          </cell>
          <cell r="D99">
            <v>36207</v>
          </cell>
        </row>
        <row r="100">
          <cell r="C100" t="str">
            <v>361617</v>
          </cell>
          <cell r="D100">
            <v>36207</v>
          </cell>
        </row>
        <row r="101">
          <cell r="C101" t="str">
            <v>361618</v>
          </cell>
          <cell r="D101">
            <v>36208</v>
          </cell>
        </row>
        <row r="102">
          <cell r="C102" t="str">
            <v>361619</v>
          </cell>
          <cell r="D102">
            <v>36208</v>
          </cell>
        </row>
        <row r="103">
          <cell r="C103" t="str">
            <v>361920</v>
          </cell>
          <cell r="D103">
            <v>36238</v>
          </cell>
        </row>
        <row r="104">
          <cell r="C104" t="str">
            <v>361921</v>
          </cell>
          <cell r="D104">
            <v>36238</v>
          </cell>
        </row>
        <row r="105">
          <cell r="C105" t="str">
            <v>361922</v>
          </cell>
          <cell r="D105">
            <v>36231</v>
          </cell>
        </row>
        <row r="106">
          <cell r="C106" t="str">
            <v>361923</v>
          </cell>
          <cell r="D106">
            <v>36231</v>
          </cell>
        </row>
        <row r="107">
          <cell r="C107" t="str">
            <v>361924</v>
          </cell>
          <cell r="D107">
            <v>36235</v>
          </cell>
        </row>
        <row r="108">
          <cell r="C108" t="str">
            <v>361925</v>
          </cell>
          <cell r="D108">
            <v>36235</v>
          </cell>
        </row>
        <row r="109">
          <cell r="C109" t="str">
            <v>361926</v>
          </cell>
          <cell r="D109">
            <v>36236</v>
          </cell>
        </row>
        <row r="110">
          <cell r="C110" t="str">
            <v>361927</v>
          </cell>
          <cell r="D110">
            <v>36236</v>
          </cell>
        </row>
        <row r="111">
          <cell r="C111" t="str">
            <v>361928</v>
          </cell>
          <cell r="D111">
            <v>36237</v>
          </cell>
        </row>
        <row r="112">
          <cell r="C112" t="str">
            <v>361929</v>
          </cell>
          <cell r="D112">
            <v>36237</v>
          </cell>
        </row>
        <row r="113">
          <cell r="C113" t="str">
            <v>362200</v>
          </cell>
          <cell r="D113">
            <v>36266</v>
          </cell>
        </row>
        <row r="114">
          <cell r="C114" t="str">
            <v>362201</v>
          </cell>
          <cell r="D114">
            <v>36266</v>
          </cell>
        </row>
        <row r="115">
          <cell r="C115" t="str">
            <v>362202</v>
          </cell>
          <cell r="D115">
            <v>36269</v>
          </cell>
        </row>
        <row r="116">
          <cell r="C116" t="str">
            <v>362203</v>
          </cell>
          <cell r="D116">
            <v>36269</v>
          </cell>
        </row>
        <row r="117">
          <cell r="C117" t="str">
            <v>362204</v>
          </cell>
          <cell r="D117">
            <v>36270</v>
          </cell>
        </row>
        <row r="118">
          <cell r="C118" t="str">
            <v>362205</v>
          </cell>
          <cell r="D118">
            <v>36270</v>
          </cell>
        </row>
        <row r="119">
          <cell r="C119" t="str">
            <v>362206</v>
          </cell>
          <cell r="D119">
            <v>36271</v>
          </cell>
        </row>
        <row r="120">
          <cell r="C120" t="str">
            <v>362207</v>
          </cell>
          <cell r="D120">
            <v>36271</v>
          </cell>
        </row>
        <row r="121">
          <cell r="C121" t="str">
            <v>362208</v>
          </cell>
          <cell r="D121">
            <v>36272</v>
          </cell>
        </row>
        <row r="122">
          <cell r="C122" t="str">
            <v>362209</v>
          </cell>
          <cell r="D122">
            <v>36272</v>
          </cell>
        </row>
        <row r="123">
          <cell r="C123" t="str">
            <v>362510</v>
          </cell>
          <cell r="D123">
            <v>36298</v>
          </cell>
        </row>
        <row r="124">
          <cell r="C124" t="str">
            <v>362511</v>
          </cell>
          <cell r="D124">
            <v>36298</v>
          </cell>
        </row>
        <row r="125">
          <cell r="C125" t="str">
            <v>362512</v>
          </cell>
          <cell r="D125">
            <v>36299</v>
          </cell>
        </row>
        <row r="126">
          <cell r="C126" t="str">
            <v>362513</v>
          </cell>
          <cell r="D126">
            <v>36299</v>
          </cell>
        </row>
        <row r="127">
          <cell r="C127" t="str">
            <v>362514</v>
          </cell>
          <cell r="D127">
            <v>36300</v>
          </cell>
        </row>
        <row r="128">
          <cell r="C128" t="str">
            <v>362515</v>
          </cell>
          <cell r="D128">
            <v>36300</v>
          </cell>
        </row>
        <row r="129">
          <cell r="C129" t="str">
            <v>362516</v>
          </cell>
          <cell r="D129">
            <v>36301</v>
          </cell>
        </row>
        <row r="130">
          <cell r="C130" t="str">
            <v>362517</v>
          </cell>
          <cell r="D130">
            <v>36301</v>
          </cell>
        </row>
        <row r="131">
          <cell r="C131" t="str">
            <v>362518</v>
          </cell>
          <cell r="D131">
            <v>36297</v>
          </cell>
        </row>
        <row r="132">
          <cell r="C132" t="str">
            <v>362519</v>
          </cell>
          <cell r="D132">
            <v>36297</v>
          </cell>
        </row>
        <row r="133">
          <cell r="C133" t="str">
            <v>362810</v>
          </cell>
          <cell r="D133">
            <v>36328</v>
          </cell>
        </row>
        <row r="134">
          <cell r="C134" t="str">
            <v>362811</v>
          </cell>
          <cell r="D134">
            <v>36328</v>
          </cell>
        </row>
        <row r="135">
          <cell r="C135" t="str">
            <v>362812</v>
          </cell>
          <cell r="D135">
            <v>36329</v>
          </cell>
        </row>
        <row r="136">
          <cell r="C136" t="str">
            <v>362813</v>
          </cell>
          <cell r="D136">
            <v>36329</v>
          </cell>
        </row>
        <row r="137">
          <cell r="C137" t="str">
            <v>362814</v>
          </cell>
          <cell r="D137">
            <v>36332</v>
          </cell>
        </row>
        <row r="138">
          <cell r="C138" t="str">
            <v>362815</v>
          </cell>
          <cell r="D138">
            <v>36332</v>
          </cell>
        </row>
        <row r="139">
          <cell r="C139" t="str">
            <v>362816</v>
          </cell>
          <cell r="D139">
            <v>36325</v>
          </cell>
        </row>
        <row r="140">
          <cell r="C140" t="str">
            <v>362817</v>
          </cell>
          <cell r="D140">
            <v>36325</v>
          </cell>
        </row>
        <row r="141">
          <cell r="C141" t="str">
            <v>362818</v>
          </cell>
          <cell r="D141">
            <v>36327</v>
          </cell>
        </row>
        <row r="142">
          <cell r="C142" t="str">
            <v>362819</v>
          </cell>
          <cell r="D142">
            <v>36327</v>
          </cell>
        </row>
        <row r="143">
          <cell r="C143" t="str">
            <v>363120</v>
          </cell>
          <cell r="D143">
            <v>36361</v>
          </cell>
        </row>
        <row r="144">
          <cell r="C144" t="str">
            <v>363121</v>
          </cell>
          <cell r="D144">
            <v>36361</v>
          </cell>
        </row>
        <row r="145">
          <cell r="C145" t="str">
            <v>363122</v>
          </cell>
          <cell r="D145">
            <v>36362</v>
          </cell>
        </row>
        <row r="146">
          <cell r="C146" t="str">
            <v>363123</v>
          </cell>
          <cell r="D146">
            <v>36362</v>
          </cell>
        </row>
        <row r="147">
          <cell r="C147" t="str">
            <v>363124</v>
          </cell>
          <cell r="D147">
            <v>36355</v>
          </cell>
        </row>
        <row r="148">
          <cell r="C148" t="str">
            <v>363125</v>
          </cell>
          <cell r="D148">
            <v>36355</v>
          </cell>
        </row>
        <row r="149">
          <cell r="C149" t="str">
            <v>363126</v>
          </cell>
          <cell r="D149">
            <v>36357</v>
          </cell>
        </row>
        <row r="150">
          <cell r="C150" t="str">
            <v>363127</v>
          </cell>
          <cell r="D150">
            <v>36357</v>
          </cell>
        </row>
        <row r="151">
          <cell r="C151" t="str">
            <v>363128</v>
          </cell>
          <cell r="D151">
            <v>36360</v>
          </cell>
        </row>
        <row r="152">
          <cell r="C152" t="str">
            <v>363129</v>
          </cell>
          <cell r="D152">
            <v>36360</v>
          </cell>
        </row>
        <row r="153">
          <cell r="C153" t="str">
            <v>363420</v>
          </cell>
          <cell r="D153">
            <v>36392</v>
          </cell>
        </row>
        <row r="154">
          <cell r="C154" t="str">
            <v>363421</v>
          </cell>
          <cell r="D154">
            <v>36395</v>
          </cell>
        </row>
        <row r="155">
          <cell r="C155" t="str">
            <v>363422</v>
          </cell>
          <cell r="D155">
            <v>36382</v>
          </cell>
        </row>
        <row r="156">
          <cell r="C156" t="str">
            <v>363423</v>
          </cell>
          <cell r="D156">
            <v>36383</v>
          </cell>
        </row>
        <row r="157">
          <cell r="C157" t="str">
            <v>363424</v>
          </cell>
          <cell r="D157">
            <v>36384</v>
          </cell>
        </row>
        <row r="158">
          <cell r="C158" t="str">
            <v>363425</v>
          </cell>
          <cell r="D158">
            <v>36385</v>
          </cell>
        </row>
        <row r="159">
          <cell r="C159" t="str">
            <v>363426</v>
          </cell>
          <cell r="D159">
            <v>36388</v>
          </cell>
        </row>
        <row r="160">
          <cell r="C160" t="str">
            <v>363427</v>
          </cell>
          <cell r="D160">
            <v>36389</v>
          </cell>
        </row>
        <row r="161">
          <cell r="C161" t="str">
            <v>363428</v>
          </cell>
          <cell r="D161">
            <v>36390</v>
          </cell>
        </row>
        <row r="162">
          <cell r="C162" t="str">
            <v>363429</v>
          </cell>
          <cell r="D162">
            <v>36391</v>
          </cell>
        </row>
        <row r="163">
          <cell r="C163" t="str">
            <v>363730</v>
          </cell>
          <cell r="D163">
            <v>36425</v>
          </cell>
        </row>
        <row r="164">
          <cell r="C164" t="str">
            <v>363731</v>
          </cell>
          <cell r="D164">
            <v>36412</v>
          </cell>
        </row>
        <row r="165">
          <cell r="C165" t="str">
            <v>363732</v>
          </cell>
          <cell r="D165">
            <v>36413</v>
          </cell>
        </row>
        <row r="166">
          <cell r="C166" t="str">
            <v>363733</v>
          </cell>
          <cell r="D166">
            <v>36416</v>
          </cell>
        </row>
        <row r="167">
          <cell r="C167" t="str">
            <v>363734</v>
          </cell>
          <cell r="D167">
            <v>36417</v>
          </cell>
        </row>
        <row r="168">
          <cell r="C168" t="str">
            <v>363735</v>
          </cell>
          <cell r="D168">
            <v>36418</v>
          </cell>
        </row>
        <row r="169">
          <cell r="C169" t="str">
            <v>363736</v>
          </cell>
          <cell r="D169">
            <v>36419</v>
          </cell>
        </row>
        <row r="170">
          <cell r="C170" t="str">
            <v>363737</v>
          </cell>
          <cell r="D170">
            <v>36420</v>
          </cell>
        </row>
        <row r="171">
          <cell r="C171" t="str">
            <v>363738</v>
          </cell>
          <cell r="D171">
            <v>36423</v>
          </cell>
        </row>
        <row r="172">
          <cell r="C172" t="str">
            <v>363739</v>
          </cell>
          <cell r="D172">
            <v>36424</v>
          </cell>
        </row>
        <row r="173">
          <cell r="C173" t="str">
            <v>364040</v>
          </cell>
          <cell r="D173">
            <v>36445</v>
          </cell>
        </row>
        <row r="174">
          <cell r="C174" t="str">
            <v>364041</v>
          </cell>
          <cell r="D174">
            <v>36446</v>
          </cell>
        </row>
        <row r="175">
          <cell r="C175" t="str">
            <v>364042</v>
          </cell>
          <cell r="D175">
            <v>36447</v>
          </cell>
        </row>
        <row r="176">
          <cell r="C176" t="str">
            <v>364043</v>
          </cell>
          <cell r="D176">
            <v>36448</v>
          </cell>
        </row>
        <row r="177">
          <cell r="C177" t="str">
            <v>364044</v>
          </cell>
          <cell r="D177">
            <v>36451</v>
          </cell>
        </row>
        <row r="178">
          <cell r="C178" t="str">
            <v>364045</v>
          </cell>
          <cell r="D178">
            <v>36452</v>
          </cell>
        </row>
        <row r="179">
          <cell r="C179" t="str">
            <v>364046</v>
          </cell>
          <cell r="D179">
            <v>36453</v>
          </cell>
        </row>
        <row r="180">
          <cell r="C180" t="str">
            <v>364047</v>
          </cell>
          <cell r="D180">
            <v>36454</v>
          </cell>
        </row>
        <row r="181">
          <cell r="C181" t="str">
            <v>364048</v>
          </cell>
          <cell r="D181">
            <v>36455</v>
          </cell>
        </row>
        <row r="182">
          <cell r="C182" t="str">
            <v>364049</v>
          </cell>
          <cell r="D182">
            <v>36458</v>
          </cell>
        </row>
        <row r="183">
          <cell r="C183" t="str">
            <v>364340</v>
          </cell>
          <cell r="D183">
            <v>36475</v>
          </cell>
        </row>
        <row r="184">
          <cell r="C184" t="str">
            <v>364341</v>
          </cell>
          <cell r="D184">
            <v>36476</v>
          </cell>
        </row>
        <row r="185">
          <cell r="C185" t="str">
            <v>364342</v>
          </cell>
          <cell r="D185">
            <v>36479</v>
          </cell>
        </row>
        <row r="186">
          <cell r="C186" t="str">
            <v>364343</v>
          </cell>
          <cell r="D186">
            <v>36480</v>
          </cell>
        </row>
        <row r="187">
          <cell r="C187" t="str">
            <v>364344</v>
          </cell>
          <cell r="D187">
            <v>36481</v>
          </cell>
        </row>
        <row r="188">
          <cell r="C188" t="str">
            <v>364345</v>
          </cell>
          <cell r="D188">
            <v>36482</v>
          </cell>
        </row>
        <row r="189">
          <cell r="C189" t="str">
            <v>364346</v>
          </cell>
          <cell r="D189">
            <v>36483</v>
          </cell>
        </row>
        <row r="190">
          <cell r="C190" t="str">
            <v>364347</v>
          </cell>
          <cell r="D190">
            <v>36486</v>
          </cell>
        </row>
        <row r="191">
          <cell r="C191" t="str">
            <v>364348</v>
          </cell>
          <cell r="D191">
            <v>36487</v>
          </cell>
        </row>
        <row r="192">
          <cell r="C192" t="str">
            <v>364349</v>
          </cell>
          <cell r="D192">
            <v>36474</v>
          </cell>
        </row>
        <row r="193">
          <cell r="C193" t="str">
            <v>364650</v>
          </cell>
          <cell r="D193">
            <v>36508</v>
          </cell>
        </row>
        <row r="194">
          <cell r="C194" t="str">
            <v>364651</v>
          </cell>
          <cell r="D194">
            <v>36509</v>
          </cell>
        </row>
        <row r="195">
          <cell r="C195" t="str">
            <v>364652</v>
          </cell>
          <cell r="D195">
            <v>36510</v>
          </cell>
        </row>
        <row r="196">
          <cell r="C196" t="str">
            <v>364653</v>
          </cell>
          <cell r="D196">
            <v>36511</v>
          </cell>
        </row>
        <row r="197">
          <cell r="C197" t="str">
            <v>364654</v>
          </cell>
          <cell r="D197">
            <v>36514</v>
          </cell>
        </row>
        <row r="198">
          <cell r="C198" t="str">
            <v>364655</v>
          </cell>
          <cell r="D198">
            <v>36515</v>
          </cell>
        </row>
        <row r="199">
          <cell r="C199" t="str">
            <v>364656</v>
          </cell>
          <cell r="D199">
            <v>36516</v>
          </cell>
        </row>
        <row r="200">
          <cell r="C200" t="str">
            <v>364657</v>
          </cell>
          <cell r="D200">
            <v>36517</v>
          </cell>
        </row>
        <row r="201">
          <cell r="C201" t="str">
            <v>364658</v>
          </cell>
          <cell r="D201">
            <v>36504</v>
          </cell>
        </row>
        <row r="202">
          <cell r="C202" t="str">
            <v>364659</v>
          </cell>
          <cell r="D202">
            <v>36507</v>
          </cell>
        </row>
        <row r="203">
          <cell r="C203" t="str">
            <v>364950</v>
          </cell>
          <cell r="D203">
            <v>36539</v>
          </cell>
        </row>
        <row r="204">
          <cell r="C204" t="str">
            <v>364951</v>
          </cell>
          <cell r="D204">
            <v>36542</v>
          </cell>
        </row>
        <row r="205">
          <cell r="C205" t="str">
            <v>364952</v>
          </cell>
          <cell r="D205">
            <v>36543</v>
          </cell>
        </row>
        <row r="206">
          <cell r="C206" t="str">
            <v>364953</v>
          </cell>
          <cell r="D206">
            <v>36544</v>
          </cell>
        </row>
        <row r="207">
          <cell r="C207" t="str">
            <v>364954</v>
          </cell>
          <cell r="D207">
            <v>36545</v>
          </cell>
        </row>
        <row r="208">
          <cell r="C208" t="str">
            <v>364955</v>
          </cell>
          <cell r="D208">
            <v>36546</v>
          </cell>
        </row>
        <row r="209">
          <cell r="C209" t="str">
            <v>364956</v>
          </cell>
          <cell r="D209">
            <v>36549</v>
          </cell>
        </row>
        <row r="210">
          <cell r="C210" t="str">
            <v>364957</v>
          </cell>
          <cell r="D210">
            <v>36536</v>
          </cell>
        </row>
        <row r="211">
          <cell r="C211" t="str">
            <v>364958</v>
          </cell>
          <cell r="D211">
            <v>36537</v>
          </cell>
        </row>
        <row r="212">
          <cell r="C212" t="str">
            <v>364959</v>
          </cell>
          <cell r="D212">
            <v>36538</v>
          </cell>
        </row>
        <row r="213">
          <cell r="C213" t="str">
            <v>365260</v>
          </cell>
          <cell r="D213">
            <v>36571</v>
          </cell>
        </row>
        <row r="214">
          <cell r="C214" t="str">
            <v>365261</v>
          </cell>
          <cell r="D214">
            <v>36572</v>
          </cell>
        </row>
        <row r="215">
          <cell r="C215" t="str">
            <v>365262</v>
          </cell>
          <cell r="D215">
            <v>36573</v>
          </cell>
        </row>
        <row r="216">
          <cell r="C216" t="str">
            <v>365263</v>
          </cell>
          <cell r="D216">
            <v>36574</v>
          </cell>
        </row>
        <row r="217">
          <cell r="C217" t="str">
            <v>365264</v>
          </cell>
          <cell r="D217">
            <v>36577</v>
          </cell>
        </row>
        <row r="218">
          <cell r="C218" t="str">
            <v>365265</v>
          </cell>
          <cell r="D218">
            <v>36578</v>
          </cell>
        </row>
        <row r="219">
          <cell r="C219" t="str">
            <v>365266</v>
          </cell>
          <cell r="D219">
            <v>36565</v>
          </cell>
        </row>
        <row r="220">
          <cell r="C220" t="str">
            <v>365267</v>
          </cell>
          <cell r="D220">
            <v>36566</v>
          </cell>
        </row>
        <row r="221">
          <cell r="C221" t="str">
            <v>365268</v>
          </cell>
          <cell r="D221">
            <v>36567</v>
          </cell>
        </row>
        <row r="222">
          <cell r="C222" t="str">
            <v>365269</v>
          </cell>
          <cell r="D222">
            <v>36570</v>
          </cell>
        </row>
        <row r="223">
          <cell r="C223" t="str">
            <v>365570</v>
          </cell>
          <cell r="D223">
            <v>36601</v>
          </cell>
        </row>
        <row r="224">
          <cell r="C224" t="str">
            <v>365571</v>
          </cell>
          <cell r="D224">
            <v>36602</v>
          </cell>
        </row>
        <row r="225">
          <cell r="C225" t="str">
            <v>365572</v>
          </cell>
          <cell r="D225">
            <v>36605</v>
          </cell>
        </row>
        <row r="226">
          <cell r="C226" t="str">
            <v>365573</v>
          </cell>
          <cell r="D226">
            <v>36606</v>
          </cell>
        </row>
        <row r="227">
          <cell r="C227" t="str">
            <v>365574</v>
          </cell>
          <cell r="D227">
            <v>36607</v>
          </cell>
        </row>
        <row r="228">
          <cell r="C228" t="str">
            <v>365575</v>
          </cell>
          <cell r="D228">
            <v>36594</v>
          </cell>
        </row>
        <row r="229">
          <cell r="C229" t="str">
            <v>365576</v>
          </cell>
          <cell r="D229">
            <v>36595</v>
          </cell>
        </row>
        <row r="230">
          <cell r="C230" t="str">
            <v>365577</v>
          </cell>
          <cell r="D230">
            <v>36598</v>
          </cell>
        </row>
        <row r="231">
          <cell r="C231" t="str">
            <v>365578</v>
          </cell>
          <cell r="D231">
            <v>36599</v>
          </cell>
        </row>
        <row r="232">
          <cell r="C232" t="str">
            <v>365579</v>
          </cell>
          <cell r="D232">
            <v>36600</v>
          </cell>
        </row>
        <row r="233">
          <cell r="C233" t="str">
            <v>365860</v>
          </cell>
          <cell r="D233">
            <v>36635</v>
          </cell>
        </row>
        <row r="234">
          <cell r="C234" t="str">
            <v>365861</v>
          </cell>
          <cell r="D234">
            <v>36640</v>
          </cell>
        </row>
        <row r="235">
          <cell r="C235" t="str">
            <v>365862</v>
          </cell>
          <cell r="D235">
            <v>36641</v>
          </cell>
        </row>
        <row r="236">
          <cell r="C236" t="str">
            <v>365863</v>
          </cell>
          <cell r="D236">
            <v>36641</v>
          </cell>
        </row>
        <row r="237">
          <cell r="C237" t="str">
            <v>365864</v>
          </cell>
          <cell r="D237">
            <v>36627</v>
          </cell>
        </row>
        <row r="238">
          <cell r="C238" t="str">
            <v>365865</v>
          </cell>
          <cell r="D238">
            <v>36628</v>
          </cell>
        </row>
        <row r="239">
          <cell r="C239" t="str">
            <v>365866</v>
          </cell>
          <cell r="D239">
            <v>36629</v>
          </cell>
        </row>
        <row r="240">
          <cell r="C240" t="str">
            <v>365867</v>
          </cell>
          <cell r="D240">
            <v>36630</v>
          </cell>
        </row>
        <row r="241">
          <cell r="C241" t="str">
            <v>365868</v>
          </cell>
          <cell r="D241">
            <v>36633</v>
          </cell>
        </row>
        <row r="242">
          <cell r="C242" t="str">
            <v>365869</v>
          </cell>
          <cell r="D242">
            <v>36634</v>
          </cell>
        </row>
        <row r="243">
          <cell r="C243" t="str">
            <v>366170</v>
          </cell>
          <cell r="D243">
            <v>36665</v>
          </cell>
        </row>
        <row r="244">
          <cell r="C244" t="str">
            <v>366171</v>
          </cell>
          <cell r="D244">
            <v>36668</v>
          </cell>
        </row>
        <row r="245">
          <cell r="C245" t="str">
            <v>366172</v>
          </cell>
          <cell r="D245">
            <v>36669</v>
          </cell>
        </row>
        <row r="246">
          <cell r="C246" t="str">
            <v>366173</v>
          </cell>
          <cell r="D246">
            <v>36656</v>
          </cell>
        </row>
        <row r="247">
          <cell r="C247" t="str">
            <v>366174</v>
          </cell>
          <cell r="D247">
            <v>36657</v>
          </cell>
        </row>
        <row r="248">
          <cell r="C248" t="str">
            <v>366175</v>
          </cell>
          <cell r="D248">
            <v>36658</v>
          </cell>
        </row>
        <row r="249">
          <cell r="C249" t="str">
            <v>366176</v>
          </cell>
          <cell r="D249">
            <v>36661</v>
          </cell>
        </row>
        <row r="250">
          <cell r="C250" t="str">
            <v>366177</v>
          </cell>
          <cell r="D250">
            <v>36662</v>
          </cell>
        </row>
        <row r="251">
          <cell r="C251" t="str">
            <v>366178</v>
          </cell>
          <cell r="D251">
            <v>36663</v>
          </cell>
        </row>
        <row r="252">
          <cell r="C252" t="str">
            <v>366179</v>
          </cell>
          <cell r="D252">
            <v>36664</v>
          </cell>
        </row>
        <row r="253">
          <cell r="C253" t="str">
            <v>366470</v>
          </cell>
          <cell r="D253">
            <v>36698</v>
          </cell>
        </row>
        <row r="254">
          <cell r="C254" t="str">
            <v>366471</v>
          </cell>
          <cell r="D254">
            <v>36699</v>
          </cell>
        </row>
        <row r="255">
          <cell r="C255" t="str">
            <v>366472</v>
          </cell>
          <cell r="D255">
            <v>36686</v>
          </cell>
        </row>
        <row r="256">
          <cell r="C256" t="str">
            <v>366473</v>
          </cell>
          <cell r="D256">
            <v>36689</v>
          </cell>
        </row>
        <row r="257">
          <cell r="C257" t="str">
            <v>366474</v>
          </cell>
          <cell r="D257">
            <v>36690</v>
          </cell>
        </row>
        <row r="258">
          <cell r="C258" t="str">
            <v>366475</v>
          </cell>
          <cell r="D258">
            <v>36691</v>
          </cell>
        </row>
        <row r="259">
          <cell r="C259" t="str">
            <v>366476</v>
          </cell>
          <cell r="D259">
            <v>36692</v>
          </cell>
        </row>
        <row r="260">
          <cell r="C260" t="str">
            <v>366477</v>
          </cell>
          <cell r="D260">
            <v>36693</v>
          </cell>
        </row>
        <row r="261">
          <cell r="C261" t="str">
            <v>366478</v>
          </cell>
          <cell r="D261">
            <v>36696</v>
          </cell>
        </row>
        <row r="262">
          <cell r="C262" t="str">
            <v>366479</v>
          </cell>
          <cell r="D262">
            <v>36697</v>
          </cell>
        </row>
        <row r="263">
          <cell r="C263" t="str">
            <v>366780</v>
          </cell>
          <cell r="D263">
            <v>36731</v>
          </cell>
        </row>
        <row r="264">
          <cell r="C264" t="str">
            <v>366781</v>
          </cell>
          <cell r="D264">
            <v>36718</v>
          </cell>
        </row>
        <row r="265">
          <cell r="C265" t="str">
            <v>366782</v>
          </cell>
          <cell r="D265">
            <v>36719</v>
          </cell>
        </row>
        <row r="266">
          <cell r="C266" t="str">
            <v>366783</v>
          </cell>
          <cell r="D266">
            <v>36720</v>
          </cell>
        </row>
        <row r="267">
          <cell r="C267" t="str">
            <v>366784</v>
          </cell>
          <cell r="D267">
            <v>36721</v>
          </cell>
        </row>
        <row r="268">
          <cell r="C268" t="str">
            <v>366785</v>
          </cell>
          <cell r="D268">
            <v>36724</v>
          </cell>
        </row>
        <row r="269">
          <cell r="C269" t="str">
            <v>366786</v>
          </cell>
          <cell r="D269">
            <v>36725</v>
          </cell>
        </row>
        <row r="270">
          <cell r="C270" t="str">
            <v>366787</v>
          </cell>
          <cell r="D270">
            <v>36726</v>
          </cell>
        </row>
        <row r="271">
          <cell r="C271" t="str">
            <v>366788</v>
          </cell>
          <cell r="D271">
            <v>36727</v>
          </cell>
        </row>
        <row r="272">
          <cell r="C272" t="str">
            <v>366789</v>
          </cell>
          <cell r="D272">
            <v>36728</v>
          </cell>
        </row>
        <row r="273">
          <cell r="C273" t="str">
            <v>367080</v>
          </cell>
          <cell r="D273">
            <v>36747</v>
          </cell>
        </row>
        <row r="274">
          <cell r="C274" t="str">
            <v>367081</v>
          </cell>
          <cell r="D274">
            <v>36748</v>
          </cell>
        </row>
        <row r="275">
          <cell r="C275" t="str">
            <v>367082</v>
          </cell>
          <cell r="D275">
            <v>36749</v>
          </cell>
        </row>
        <row r="276">
          <cell r="C276" t="str">
            <v>367083</v>
          </cell>
          <cell r="D276">
            <v>36752</v>
          </cell>
        </row>
        <row r="277">
          <cell r="C277" t="str">
            <v>367084</v>
          </cell>
          <cell r="D277">
            <v>36753</v>
          </cell>
        </row>
        <row r="278">
          <cell r="C278" t="str">
            <v>367085</v>
          </cell>
          <cell r="D278">
            <v>36754</v>
          </cell>
        </row>
        <row r="279">
          <cell r="C279" t="str">
            <v>367086</v>
          </cell>
          <cell r="D279">
            <v>36755</v>
          </cell>
        </row>
        <row r="280">
          <cell r="C280" t="str">
            <v>367087</v>
          </cell>
          <cell r="D280">
            <v>36756</v>
          </cell>
        </row>
        <row r="281">
          <cell r="C281" t="str">
            <v>367088</v>
          </cell>
          <cell r="D281">
            <v>36759</v>
          </cell>
        </row>
        <row r="282">
          <cell r="C282" t="str">
            <v>367089</v>
          </cell>
          <cell r="D282">
            <v>36760</v>
          </cell>
        </row>
        <row r="283">
          <cell r="C283" t="str">
            <v>367390</v>
          </cell>
          <cell r="D283">
            <v>36781</v>
          </cell>
        </row>
        <row r="284">
          <cell r="C284" t="str">
            <v>367391</v>
          </cell>
          <cell r="D284">
            <v>36782</v>
          </cell>
        </row>
        <row r="285">
          <cell r="C285" t="str">
            <v>367392</v>
          </cell>
          <cell r="D285">
            <v>36783</v>
          </cell>
        </row>
        <row r="286">
          <cell r="C286" t="str">
            <v>367393</v>
          </cell>
          <cell r="D286">
            <v>36784</v>
          </cell>
        </row>
        <row r="287">
          <cell r="C287" t="str">
            <v>367394</v>
          </cell>
          <cell r="D287">
            <v>36787</v>
          </cell>
        </row>
        <row r="288">
          <cell r="C288" t="str">
            <v>367395</v>
          </cell>
          <cell r="D288">
            <v>36788</v>
          </cell>
        </row>
        <row r="289">
          <cell r="C289" t="str">
            <v>367396</v>
          </cell>
          <cell r="D289">
            <v>36789</v>
          </cell>
        </row>
        <row r="290">
          <cell r="C290" t="str">
            <v>367397</v>
          </cell>
          <cell r="D290">
            <v>36790</v>
          </cell>
        </row>
        <row r="291">
          <cell r="C291" t="str">
            <v>367398</v>
          </cell>
          <cell r="D291">
            <v>36791</v>
          </cell>
        </row>
        <row r="292">
          <cell r="C292" t="str">
            <v>367399</v>
          </cell>
          <cell r="D292">
            <v>36780</v>
          </cell>
        </row>
        <row r="293">
          <cell r="C293" t="str">
            <v>367700</v>
          </cell>
          <cell r="D293">
            <v>36811</v>
          </cell>
        </row>
        <row r="294">
          <cell r="C294" t="str">
            <v>367701</v>
          </cell>
          <cell r="D294">
            <v>36812</v>
          </cell>
        </row>
        <row r="295">
          <cell r="C295" t="str">
            <v>367702</v>
          </cell>
          <cell r="D295">
            <v>36815</v>
          </cell>
        </row>
        <row r="296">
          <cell r="C296" t="str">
            <v>367703</v>
          </cell>
          <cell r="D296">
            <v>36816</v>
          </cell>
        </row>
        <row r="297">
          <cell r="C297" t="str">
            <v>367704</v>
          </cell>
          <cell r="D297">
            <v>36817</v>
          </cell>
        </row>
        <row r="298">
          <cell r="C298" t="str">
            <v>367705</v>
          </cell>
          <cell r="D298">
            <v>36575</v>
          </cell>
        </row>
        <row r="299">
          <cell r="C299" t="str">
            <v>367706</v>
          </cell>
          <cell r="D299">
            <v>36819</v>
          </cell>
        </row>
        <row r="300">
          <cell r="C300" t="str">
            <v>367707</v>
          </cell>
          <cell r="D300">
            <v>36822</v>
          </cell>
        </row>
        <row r="301">
          <cell r="C301" t="str">
            <v>367708</v>
          </cell>
          <cell r="D301">
            <v>36809</v>
          </cell>
        </row>
        <row r="302">
          <cell r="C302" t="str">
            <v>367709</v>
          </cell>
          <cell r="D302">
            <v>36810</v>
          </cell>
        </row>
        <row r="303">
          <cell r="C303" t="str">
            <v>368000</v>
          </cell>
          <cell r="D303">
            <v>36845</v>
          </cell>
        </row>
        <row r="304">
          <cell r="C304" t="str">
            <v>368001</v>
          </cell>
          <cell r="D304">
            <v>36846</v>
          </cell>
        </row>
        <row r="305">
          <cell r="C305" t="str">
            <v>368002</v>
          </cell>
          <cell r="D305">
            <v>36847</v>
          </cell>
        </row>
        <row r="306">
          <cell r="C306" t="str">
            <v>368003</v>
          </cell>
          <cell r="D306">
            <v>36850</v>
          </cell>
        </row>
        <row r="307">
          <cell r="C307" t="str">
            <v>368004</v>
          </cell>
          <cell r="D307">
            <v>36851</v>
          </cell>
        </row>
        <row r="308">
          <cell r="C308" t="str">
            <v>368005</v>
          </cell>
          <cell r="D308">
            <v>36852</v>
          </cell>
        </row>
        <row r="309">
          <cell r="C309" t="str">
            <v>368006</v>
          </cell>
          <cell r="D309">
            <v>36853</v>
          </cell>
        </row>
        <row r="310">
          <cell r="C310" t="str">
            <v>368007</v>
          </cell>
          <cell r="D310">
            <v>36840</v>
          </cell>
        </row>
        <row r="311">
          <cell r="C311" t="str">
            <v>368008</v>
          </cell>
          <cell r="D311">
            <v>36843</v>
          </cell>
        </row>
        <row r="312">
          <cell r="C312" t="str">
            <v>368009</v>
          </cell>
          <cell r="D312">
            <v>36844</v>
          </cell>
        </row>
        <row r="313">
          <cell r="C313" t="str">
            <v>368310</v>
          </cell>
          <cell r="D313">
            <v>36878</v>
          </cell>
        </row>
        <row r="314">
          <cell r="C314" t="str">
            <v>368311</v>
          </cell>
          <cell r="D314">
            <v>36879</v>
          </cell>
        </row>
        <row r="315">
          <cell r="C315" t="str">
            <v>368312</v>
          </cell>
          <cell r="D315">
            <v>36880</v>
          </cell>
        </row>
        <row r="316">
          <cell r="C316" t="str">
            <v>368313</v>
          </cell>
          <cell r="D316">
            <v>36881</v>
          </cell>
        </row>
        <row r="317">
          <cell r="C317" t="str">
            <v>368314</v>
          </cell>
          <cell r="D317">
            <v>36882</v>
          </cell>
        </row>
        <row r="318">
          <cell r="C318" t="str">
            <v>368315</v>
          </cell>
          <cell r="D318">
            <v>36886</v>
          </cell>
        </row>
        <row r="319">
          <cell r="C319" t="str">
            <v>368316</v>
          </cell>
          <cell r="D319">
            <v>36872</v>
          </cell>
        </row>
        <row r="320">
          <cell r="C320" t="str">
            <v>368317</v>
          </cell>
          <cell r="D320">
            <v>36873</v>
          </cell>
        </row>
        <row r="321">
          <cell r="C321" t="str">
            <v>368318</v>
          </cell>
          <cell r="D321">
            <v>36874</v>
          </cell>
        </row>
        <row r="322">
          <cell r="C322" t="str">
            <v>368319</v>
          </cell>
          <cell r="D322">
            <v>36875</v>
          </cell>
        </row>
        <row r="323">
          <cell r="C323" t="str">
            <v>368610</v>
          </cell>
          <cell r="D323">
            <v>36908</v>
          </cell>
        </row>
        <row r="324">
          <cell r="C324" t="str">
            <v>368611</v>
          </cell>
          <cell r="D324">
            <v>36909</v>
          </cell>
        </row>
        <row r="325">
          <cell r="C325" t="str">
            <v>368612</v>
          </cell>
          <cell r="D325">
            <v>36910</v>
          </cell>
        </row>
        <row r="326">
          <cell r="C326" t="str">
            <v>368613</v>
          </cell>
          <cell r="D326">
            <v>36913</v>
          </cell>
        </row>
        <row r="327">
          <cell r="C327" t="str">
            <v>368614</v>
          </cell>
          <cell r="D327">
            <v>36914</v>
          </cell>
        </row>
        <row r="328">
          <cell r="C328" t="str">
            <v>368615</v>
          </cell>
          <cell r="D328">
            <v>36901</v>
          </cell>
        </row>
        <row r="329">
          <cell r="C329" t="str">
            <v>368616</v>
          </cell>
          <cell r="D329">
            <v>36902</v>
          </cell>
        </row>
        <row r="330">
          <cell r="C330" t="str">
            <v>368617</v>
          </cell>
          <cell r="D330">
            <v>36903</v>
          </cell>
        </row>
        <row r="331">
          <cell r="C331" t="str">
            <v>368618</v>
          </cell>
          <cell r="D331">
            <v>36906</v>
          </cell>
        </row>
        <row r="332">
          <cell r="C332" t="str">
            <v>368619</v>
          </cell>
          <cell r="D332">
            <v>36907</v>
          </cell>
        </row>
        <row r="333">
          <cell r="C333" t="str">
            <v>368920</v>
          </cell>
          <cell r="D333">
            <v>36941</v>
          </cell>
        </row>
        <row r="334">
          <cell r="C334" t="str">
            <v>368921</v>
          </cell>
          <cell r="D334">
            <v>36942</v>
          </cell>
        </row>
        <row r="335">
          <cell r="C335" t="str">
            <v>368922</v>
          </cell>
          <cell r="D335">
            <v>36943</v>
          </cell>
        </row>
        <row r="336">
          <cell r="C336" t="str">
            <v>368923</v>
          </cell>
          <cell r="D336">
            <v>36972</v>
          </cell>
        </row>
        <row r="337">
          <cell r="C337" t="str">
            <v>368924</v>
          </cell>
          <cell r="D337">
            <v>36931</v>
          </cell>
        </row>
        <row r="338">
          <cell r="C338" t="str">
            <v>368925</v>
          </cell>
          <cell r="D338">
            <v>36934</v>
          </cell>
        </row>
        <row r="339">
          <cell r="C339" t="str">
            <v>368926</v>
          </cell>
          <cell r="D339">
            <v>36935</v>
          </cell>
        </row>
        <row r="340">
          <cell r="C340" t="str">
            <v>368927</v>
          </cell>
          <cell r="D340">
            <v>36936</v>
          </cell>
        </row>
        <row r="341">
          <cell r="C341" t="str">
            <v>368928</v>
          </cell>
          <cell r="D341">
            <v>36937</v>
          </cell>
        </row>
        <row r="342">
          <cell r="C342" t="str">
            <v>368929</v>
          </cell>
          <cell r="D342">
            <v>36938</v>
          </cell>
        </row>
        <row r="343">
          <cell r="C343" t="str">
            <v>369230</v>
          </cell>
          <cell r="D343">
            <v>36970</v>
          </cell>
        </row>
        <row r="344">
          <cell r="C344" t="str">
            <v>369231</v>
          </cell>
          <cell r="D344">
            <v>36971</v>
          </cell>
        </row>
        <row r="345">
          <cell r="C345" t="str">
            <v>369232</v>
          </cell>
          <cell r="D345">
            <v>36972</v>
          </cell>
        </row>
        <row r="346">
          <cell r="C346" t="str">
            <v>369233</v>
          </cell>
          <cell r="D346">
            <v>36959</v>
          </cell>
        </row>
        <row r="347">
          <cell r="C347" t="str">
            <v>369234</v>
          </cell>
          <cell r="D347">
            <v>36962</v>
          </cell>
        </row>
        <row r="348">
          <cell r="C348" t="str">
            <v>369235</v>
          </cell>
          <cell r="D348">
            <v>36963</v>
          </cell>
        </row>
        <row r="349">
          <cell r="C349" t="str">
            <v>369236</v>
          </cell>
          <cell r="D349">
            <v>36964</v>
          </cell>
        </row>
        <row r="350">
          <cell r="C350" t="str">
            <v>369237</v>
          </cell>
          <cell r="D350">
            <v>36965</v>
          </cell>
        </row>
        <row r="351">
          <cell r="C351" t="str">
            <v>369238</v>
          </cell>
          <cell r="D351">
            <v>36966</v>
          </cell>
        </row>
        <row r="352">
          <cell r="C352" t="str">
            <v>369239</v>
          </cell>
          <cell r="D352">
            <v>36969</v>
          </cell>
        </row>
        <row r="353">
          <cell r="C353" t="str">
            <v>369510</v>
          </cell>
          <cell r="D353">
            <v>37005</v>
          </cell>
        </row>
        <row r="354">
          <cell r="C354" t="str">
            <v>369511</v>
          </cell>
          <cell r="D354">
            <v>37006</v>
          </cell>
        </row>
        <row r="355">
          <cell r="C355" t="str">
            <v>369512</v>
          </cell>
          <cell r="D355">
            <v>36991</v>
          </cell>
        </row>
        <row r="356">
          <cell r="C356" t="str">
            <v>369513</v>
          </cell>
          <cell r="D356">
            <v>36992</v>
          </cell>
        </row>
        <row r="357">
          <cell r="C357" t="str">
            <v>369514</v>
          </cell>
          <cell r="D357">
            <v>36997</v>
          </cell>
        </row>
        <row r="358">
          <cell r="C358" t="str">
            <v>369515</v>
          </cell>
          <cell r="D358">
            <v>36998</v>
          </cell>
        </row>
        <row r="359">
          <cell r="C359" t="str">
            <v>369516</v>
          </cell>
          <cell r="D359">
            <v>36999</v>
          </cell>
        </row>
        <row r="360">
          <cell r="C360" t="str">
            <v>369517</v>
          </cell>
          <cell r="D360">
            <v>37000</v>
          </cell>
        </row>
        <row r="361">
          <cell r="C361" t="str">
            <v>369518</v>
          </cell>
          <cell r="D361">
            <v>37001</v>
          </cell>
        </row>
        <row r="362">
          <cell r="C362" t="str">
            <v>369519</v>
          </cell>
          <cell r="D362">
            <v>37004</v>
          </cell>
        </row>
        <row r="363">
          <cell r="C363" t="str">
            <v>369820</v>
          </cell>
          <cell r="D363">
            <v>37034</v>
          </cell>
        </row>
        <row r="364">
          <cell r="C364" t="str">
            <v>369821</v>
          </cell>
          <cell r="D364">
            <v>37021</v>
          </cell>
        </row>
        <row r="365">
          <cell r="C365" t="str">
            <v>369822</v>
          </cell>
          <cell r="D365">
            <v>37022</v>
          </cell>
        </row>
        <row r="366">
          <cell r="C366" t="str">
            <v>369823</v>
          </cell>
          <cell r="D366">
            <v>37025</v>
          </cell>
        </row>
        <row r="367">
          <cell r="C367" t="str">
            <v>369824</v>
          </cell>
          <cell r="D367">
            <v>37026</v>
          </cell>
        </row>
        <row r="368">
          <cell r="C368" t="str">
            <v>369825</v>
          </cell>
          <cell r="D368">
            <v>37027</v>
          </cell>
        </row>
        <row r="369">
          <cell r="C369" t="str">
            <v>369826</v>
          </cell>
          <cell r="D369">
            <v>37028</v>
          </cell>
        </row>
        <row r="370">
          <cell r="C370" t="str">
            <v>369827</v>
          </cell>
          <cell r="D370">
            <v>37029</v>
          </cell>
        </row>
        <row r="371">
          <cell r="C371" t="str">
            <v>369828</v>
          </cell>
          <cell r="D371">
            <v>37032</v>
          </cell>
        </row>
        <row r="372">
          <cell r="C372" t="str">
            <v>369829</v>
          </cell>
          <cell r="D372">
            <v>37033</v>
          </cell>
        </row>
        <row r="373">
          <cell r="C373" t="str">
            <v>370120</v>
          </cell>
          <cell r="D373">
            <v>37053</v>
          </cell>
        </row>
        <row r="374">
          <cell r="C374" t="str">
            <v>370121</v>
          </cell>
          <cell r="D374">
            <v>37054</v>
          </cell>
        </row>
        <row r="375">
          <cell r="C375" t="str">
            <v>370122</v>
          </cell>
          <cell r="D375">
            <v>37055</v>
          </cell>
        </row>
        <row r="376">
          <cell r="C376" t="str">
            <v>370123</v>
          </cell>
          <cell r="D376">
            <v>37056</v>
          </cell>
        </row>
        <row r="377">
          <cell r="C377" t="str">
            <v>370124</v>
          </cell>
          <cell r="D377">
            <v>37057</v>
          </cell>
        </row>
        <row r="378">
          <cell r="C378" t="str">
            <v>370125</v>
          </cell>
          <cell r="D378">
            <v>37060</v>
          </cell>
        </row>
        <row r="379">
          <cell r="C379" t="str">
            <v>370126</v>
          </cell>
          <cell r="D379">
            <v>37061</v>
          </cell>
        </row>
        <row r="380">
          <cell r="C380" t="str">
            <v>370127</v>
          </cell>
          <cell r="D380">
            <v>37062</v>
          </cell>
        </row>
        <row r="381">
          <cell r="C381" t="str">
            <v>370128</v>
          </cell>
          <cell r="D381">
            <v>37063</v>
          </cell>
        </row>
        <row r="382">
          <cell r="C382" t="str">
            <v>370129</v>
          </cell>
          <cell r="D382">
            <v>37064</v>
          </cell>
        </row>
        <row r="383">
          <cell r="C383" t="str">
            <v>370430</v>
          </cell>
          <cell r="D383">
            <v>37083</v>
          </cell>
        </row>
        <row r="384">
          <cell r="C384" t="str">
            <v>370431</v>
          </cell>
          <cell r="D384">
            <v>37084</v>
          </cell>
        </row>
        <row r="385">
          <cell r="C385" t="str">
            <v>370432</v>
          </cell>
          <cell r="D385">
            <v>37085</v>
          </cell>
        </row>
        <row r="386">
          <cell r="C386" t="str">
            <v>370433</v>
          </cell>
          <cell r="D386">
            <v>37088</v>
          </cell>
        </row>
        <row r="387">
          <cell r="C387" t="str">
            <v>370434</v>
          </cell>
          <cell r="D387">
            <v>37089</v>
          </cell>
        </row>
        <row r="388">
          <cell r="C388" t="str">
            <v>370435</v>
          </cell>
          <cell r="D388">
            <v>37090</v>
          </cell>
        </row>
        <row r="389">
          <cell r="C389" t="str">
            <v>370436</v>
          </cell>
          <cell r="D389">
            <v>37091</v>
          </cell>
        </row>
        <row r="390">
          <cell r="C390" t="str">
            <v>370437</v>
          </cell>
          <cell r="D390">
            <v>37092</v>
          </cell>
        </row>
        <row r="391">
          <cell r="C391" t="str">
            <v>370438</v>
          </cell>
          <cell r="D391">
            <v>37095</v>
          </cell>
        </row>
        <row r="392">
          <cell r="C392" t="str">
            <v>370439</v>
          </cell>
          <cell r="D392">
            <v>37082</v>
          </cell>
        </row>
        <row r="393">
          <cell r="C393" t="str">
            <v>370730</v>
          </cell>
          <cell r="D393">
            <v>37116</v>
          </cell>
        </row>
        <row r="394">
          <cell r="C394" t="str">
            <v>370731</v>
          </cell>
          <cell r="D394">
            <v>37117</v>
          </cell>
        </row>
        <row r="395">
          <cell r="C395" t="str">
            <v>370732</v>
          </cell>
          <cell r="D395">
            <v>37118</v>
          </cell>
        </row>
        <row r="396">
          <cell r="C396" t="str">
            <v>370733</v>
          </cell>
          <cell r="D396">
            <v>37119</v>
          </cell>
        </row>
        <row r="397">
          <cell r="C397" t="str">
            <v>370734</v>
          </cell>
          <cell r="D397">
            <v>37120</v>
          </cell>
        </row>
        <row r="398">
          <cell r="C398" t="str">
            <v>370735</v>
          </cell>
          <cell r="D398">
            <v>37123</v>
          </cell>
        </row>
        <row r="399">
          <cell r="C399" t="str">
            <v>370736</v>
          </cell>
          <cell r="D399">
            <v>37124</v>
          </cell>
        </row>
        <row r="400">
          <cell r="C400" t="str">
            <v>370737</v>
          </cell>
          <cell r="D400">
            <v>37125</v>
          </cell>
        </row>
        <row r="401">
          <cell r="C401" t="str">
            <v>370738</v>
          </cell>
          <cell r="D401">
            <v>37112</v>
          </cell>
        </row>
        <row r="402">
          <cell r="C402" t="str">
            <v>370739</v>
          </cell>
          <cell r="D402">
            <v>37113</v>
          </cell>
        </row>
        <row r="403">
          <cell r="C403" t="str">
            <v>371040</v>
          </cell>
          <cell r="D403">
            <v>37148</v>
          </cell>
        </row>
        <row r="404">
          <cell r="C404" t="str">
            <v>371041</v>
          </cell>
          <cell r="D404">
            <v>37151</v>
          </cell>
        </row>
        <row r="405">
          <cell r="C405" t="str">
            <v>371042</v>
          </cell>
          <cell r="D405">
            <v>37152</v>
          </cell>
        </row>
        <row r="406">
          <cell r="C406" t="str">
            <v>371043</v>
          </cell>
          <cell r="D406">
            <v>37153</v>
          </cell>
        </row>
        <row r="407">
          <cell r="C407" t="str">
            <v>371044</v>
          </cell>
          <cell r="D407">
            <v>37154</v>
          </cell>
        </row>
        <row r="408">
          <cell r="C408" t="str">
            <v>371045</v>
          </cell>
          <cell r="D408">
            <v>37155</v>
          </cell>
        </row>
        <row r="409">
          <cell r="C409" t="str">
            <v>371046</v>
          </cell>
          <cell r="D409">
            <v>37158</v>
          </cell>
        </row>
        <row r="410">
          <cell r="C410" t="str">
            <v>371047</v>
          </cell>
          <cell r="D410">
            <v>37145</v>
          </cell>
        </row>
        <row r="411">
          <cell r="C411" t="str">
            <v>371048</v>
          </cell>
          <cell r="D411">
            <v>37146</v>
          </cell>
        </row>
        <row r="412">
          <cell r="C412" t="str">
            <v>371049</v>
          </cell>
          <cell r="D412">
            <v>37147</v>
          </cell>
        </row>
        <row r="413">
          <cell r="C413" t="str">
            <v>371350</v>
          </cell>
          <cell r="D413">
            <v>37180</v>
          </cell>
        </row>
        <row r="414">
          <cell r="C414" t="str">
            <v>371351</v>
          </cell>
          <cell r="D414">
            <v>37181</v>
          </cell>
        </row>
        <row r="415">
          <cell r="C415" t="str">
            <v>371352</v>
          </cell>
          <cell r="D415">
            <v>37182</v>
          </cell>
        </row>
        <row r="416">
          <cell r="C416" t="str">
            <v>371353</v>
          </cell>
          <cell r="D416">
            <v>37183</v>
          </cell>
        </row>
        <row r="417">
          <cell r="C417" t="str">
            <v>371354</v>
          </cell>
          <cell r="D417">
            <v>37186</v>
          </cell>
        </row>
        <row r="418">
          <cell r="C418" t="str">
            <v>371355</v>
          </cell>
          <cell r="D418">
            <v>37187</v>
          </cell>
        </row>
        <row r="419">
          <cell r="C419" t="str">
            <v>371356</v>
          </cell>
          <cell r="D419">
            <v>37174</v>
          </cell>
        </row>
        <row r="420">
          <cell r="C420" t="str">
            <v>371357</v>
          </cell>
          <cell r="D420">
            <v>37175</v>
          </cell>
        </row>
        <row r="421">
          <cell r="C421" t="str">
            <v>371358</v>
          </cell>
          <cell r="D421">
            <v>37176</v>
          </cell>
        </row>
        <row r="422">
          <cell r="C422" t="str">
            <v>371359</v>
          </cell>
          <cell r="D422">
            <v>37179</v>
          </cell>
        </row>
        <row r="423">
          <cell r="C423" t="str">
            <v>371650</v>
          </cell>
          <cell r="D423">
            <v>37214</v>
          </cell>
        </row>
        <row r="424">
          <cell r="C424" t="str">
            <v>371651</v>
          </cell>
          <cell r="D424">
            <v>37215</v>
          </cell>
        </row>
        <row r="425">
          <cell r="C425" t="str">
            <v>371652</v>
          </cell>
          <cell r="D425">
            <v>37216</v>
          </cell>
        </row>
        <row r="426">
          <cell r="C426" t="str">
            <v>371653</v>
          </cell>
          <cell r="D426">
            <v>37217</v>
          </cell>
        </row>
        <row r="427">
          <cell r="C427" t="str">
            <v>371654</v>
          </cell>
          <cell r="D427">
            <v>37218</v>
          </cell>
        </row>
        <row r="428">
          <cell r="C428" t="str">
            <v>371655</v>
          </cell>
          <cell r="D428">
            <v>37207</v>
          </cell>
        </row>
        <row r="429">
          <cell r="C429" t="str">
            <v>371656</v>
          </cell>
          <cell r="D429">
            <v>37208</v>
          </cell>
        </row>
        <row r="430">
          <cell r="C430" t="str">
            <v>371657</v>
          </cell>
          <cell r="D430">
            <v>37209</v>
          </cell>
        </row>
        <row r="431">
          <cell r="C431" t="str">
            <v>371658</v>
          </cell>
          <cell r="D431">
            <v>37210</v>
          </cell>
        </row>
        <row r="432">
          <cell r="C432" t="str">
            <v>371659</v>
          </cell>
          <cell r="D432">
            <v>37211</v>
          </cell>
        </row>
        <row r="433">
          <cell r="C433" t="str">
            <v>371960</v>
          </cell>
          <cell r="D433">
            <v>37244</v>
          </cell>
        </row>
        <row r="434">
          <cell r="C434" t="str">
            <v>371961</v>
          </cell>
          <cell r="D434">
            <v>37245</v>
          </cell>
        </row>
        <row r="435">
          <cell r="C435" t="str">
            <v>371962</v>
          </cell>
          <cell r="D435">
            <v>37246</v>
          </cell>
        </row>
        <row r="436">
          <cell r="C436" t="str">
            <v>371963</v>
          </cell>
          <cell r="D436">
            <v>37249</v>
          </cell>
        </row>
        <row r="437">
          <cell r="C437" t="str">
            <v>371964</v>
          </cell>
          <cell r="D437">
            <v>37236</v>
          </cell>
        </row>
        <row r="438">
          <cell r="C438" t="str">
            <v>371965</v>
          </cell>
          <cell r="D438">
            <v>37237</v>
          </cell>
        </row>
        <row r="439">
          <cell r="C439" t="str">
            <v>371966</v>
          </cell>
          <cell r="D439">
            <v>37238</v>
          </cell>
        </row>
        <row r="440">
          <cell r="C440" t="str">
            <v>371967</v>
          </cell>
          <cell r="D440">
            <v>37239</v>
          </cell>
        </row>
        <row r="441">
          <cell r="C441" t="str">
            <v>371968</v>
          </cell>
          <cell r="D441">
            <v>37242</v>
          </cell>
        </row>
        <row r="442">
          <cell r="C442" t="str">
            <v>371969</v>
          </cell>
          <cell r="D442">
            <v>37243</v>
          </cell>
        </row>
        <row r="443">
          <cell r="C443" t="str">
            <v>372260</v>
          </cell>
          <cell r="D443">
            <v>37277</v>
          </cell>
        </row>
        <row r="444">
          <cell r="C444" t="str">
            <v>372261</v>
          </cell>
          <cell r="D444">
            <v>37278</v>
          </cell>
        </row>
        <row r="445">
          <cell r="C445" t="str">
            <v>372262</v>
          </cell>
          <cell r="D445">
            <v>37279</v>
          </cell>
        </row>
        <row r="446">
          <cell r="C446" t="str">
            <v>372263</v>
          </cell>
          <cell r="D446">
            <v>37266</v>
          </cell>
        </row>
        <row r="447">
          <cell r="C447" t="str">
            <v>372264</v>
          </cell>
          <cell r="D447">
            <v>37267</v>
          </cell>
        </row>
        <row r="448">
          <cell r="C448" t="str">
            <v>372265</v>
          </cell>
          <cell r="D448">
            <v>37270</v>
          </cell>
        </row>
        <row r="449">
          <cell r="C449" t="str">
            <v>372266</v>
          </cell>
          <cell r="D449">
            <v>37271</v>
          </cell>
        </row>
        <row r="450">
          <cell r="C450" t="str">
            <v>372267</v>
          </cell>
          <cell r="D450">
            <v>37272</v>
          </cell>
        </row>
        <row r="451">
          <cell r="C451" t="str">
            <v>372268</v>
          </cell>
          <cell r="D451">
            <v>37273</v>
          </cell>
        </row>
        <row r="452">
          <cell r="C452" t="str">
            <v>372269</v>
          </cell>
          <cell r="D452">
            <v>37274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-30"/>
      <sheetName val="REGLA 106"/>
      <sheetName val="20"/>
      <sheetName val="CUFINRE"/>
      <sheetName val="CUCA"/>
      <sheetName val="pglobal"/>
      <sheetName val="Prima Antig. (Final)"/>
      <sheetName val="Pensiones y Jubilac.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B10">
            <v>-18028.98</v>
          </cell>
          <cell r="C10" t="str">
            <v>!</v>
          </cell>
          <cell r="K10">
            <v>138470</v>
          </cell>
          <cell r="L10" t="str">
            <v>!</v>
          </cell>
        </row>
        <row r="19">
          <cell r="K19">
            <v>105442</v>
          </cell>
          <cell r="L19" t="str">
            <v>!</v>
          </cell>
        </row>
        <row r="20">
          <cell r="K20">
            <v>429626</v>
          </cell>
          <cell r="L20" t="str">
            <v>!</v>
          </cell>
        </row>
        <row r="21">
          <cell r="K21">
            <v>1964</v>
          </cell>
          <cell r="L21" t="str">
            <v>!</v>
          </cell>
        </row>
        <row r="22">
          <cell r="K22">
            <v>2312</v>
          </cell>
          <cell r="L22" t="str">
            <v>!</v>
          </cell>
        </row>
      </sheetData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es "/>
      <sheetName val="Tickmarks"/>
    </sheetNames>
    <sheetDataSet>
      <sheetData sheetId="0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Request"/>
      <sheetName val="Second Request"/>
      <sheetName val="Trial Balance"/>
      <sheetName val="Arcline"/>
      <sheetName val="Charitable"/>
      <sheetName val="Misc"/>
      <sheetName val="Legal"/>
      <sheetName val=" Sales by State"/>
      <sheetName val=" FA-PR by State"/>
      <sheetName val="RE Roll"/>
      <sheetName val="FA Roll"/>
      <sheetName val="FA Reconcile"/>
      <sheetName val="Lease Autos"/>
      <sheetName val="2009 Payouts"/>
      <sheetName val="Restructuring"/>
      <sheetName val="Royalty Income"/>
      <sheetName val="Meal &amp; Ent"/>
      <sheetName val="Unicap"/>
      <sheetName val="Foreign Taxes"/>
      <sheetName val="Corp Other"/>
    </sheetNames>
    <sheetDataSet>
      <sheetData sheetId="0" refreshError="1"/>
      <sheetData sheetId="1" refreshError="1"/>
      <sheetData sheetId="2">
        <row r="2">
          <cell r="A2" t="str">
            <v>2008 TAX PACKAGE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414ED-12A2-4F86-A6A1-CB4C6DA0A71C}">
  <dimension ref="A4:A27"/>
  <sheetViews>
    <sheetView showGridLines="0" zoomScale="130" zoomScaleNormal="130" workbookViewId="0"/>
  </sheetViews>
  <sheetFormatPr baseColWidth="10" defaultColWidth="11.5546875" defaultRowHeight="15" x14ac:dyDescent="0.2"/>
  <sheetData>
    <row r="4" spans="1:1" ht="15.75" x14ac:dyDescent="0.25">
      <c r="A4" s="124" t="s">
        <v>514</v>
      </c>
    </row>
    <row r="6" spans="1:1" x14ac:dyDescent="0.2">
      <c r="A6" s="500" t="s">
        <v>983</v>
      </c>
    </row>
    <row r="7" spans="1:1" x14ac:dyDescent="0.2">
      <c r="A7" s="500" t="s">
        <v>984</v>
      </c>
    </row>
    <row r="8" spans="1:1" x14ac:dyDescent="0.2">
      <c r="A8" s="500" t="s">
        <v>985</v>
      </c>
    </row>
    <row r="9" spans="1:1" x14ac:dyDescent="0.2">
      <c r="A9" s="500" t="s">
        <v>986</v>
      </c>
    </row>
    <row r="10" spans="1:1" x14ac:dyDescent="0.2">
      <c r="A10" s="500" t="s">
        <v>987</v>
      </c>
    </row>
    <row r="11" spans="1:1" x14ac:dyDescent="0.2">
      <c r="A11" s="500" t="s">
        <v>988</v>
      </c>
    </row>
    <row r="12" spans="1:1" x14ac:dyDescent="0.2">
      <c r="A12" s="501" t="s">
        <v>989</v>
      </c>
    </row>
    <row r="13" spans="1:1" x14ac:dyDescent="0.2">
      <c r="A13" s="500" t="s">
        <v>990</v>
      </c>
    </row>
    <row r="14" spans="1:1" x14ac:dyDescent="0.2">
      <c r="A14" s="500" t="s">
        <v>991</v>
      </c>
    </row>
    <row r="15" spans="1:1" x14ac:dyDescent="0.2">
      <c r="A15" s="501" t="s">
        <v>992</v>
      </c>
    </row>
    <row r="16" spans="1:1" x14ac:dyDescent="0.2">
      <c r="A16" s="500" t="s">
        <v>993</v>
      </c>
    </row>
    <row r="17" spans="1:1" x14ac:dyDescent="0.2">
      <c r="A17" s="500" t="s">
        <v>994</v>
      </c>
    </row>
    <row r="18" spans="1:1" x14ac:dyDescent="0.2">
      <c r="A18" s="500" t="s">
        <v>995</v>
      </c>
    </row>
    <row r="19" spans="1:1" x14ac:dyDescent="0.2">
      <c r="A19" s="500" t="s">
        <v>996</v>
      </c>
    </row>
    <row r="20" spans="1:1" x14ac:dyDescent="0.2">
      <c r="A20" s="500" t="s">
        <v>997</v>
      </c>
    </row>
    <row r="21" spans="1:1" x14ac:dyDescent="0.2">
      <c r="A21" s="500" t="s">
        <v>1025</v>
      </c>
    </row>
    <row r="22" spans="1:1" x14ac:dyDescent="0.2">
      <c r="A22" s="500" t="s">
        <v>1026</v>
      </c>
    </row>
    <row r="23" spans="1:1" x14ac:dyDescent="0.2">
      <c r="A23" s="500" t="s">
        <v>1027</v>
      </c>
    </row>
    <row r="24" spans="1:1" x14ac:dyDescent="0.2">
      <c r="A24" s="500" t="s">
        <v>1028</v>
      </c>
    </row>
    <row r="25" spans="1:1" x14ac:dyDescent="0.2">
      <c r="A25" s="500" t="s">
        <v>1029</v>
      </c>
    </row>
    <row r="26" spans="1:1" x14ac:dyDescent="0.2">
      <c r="A26" s="647" t="s">
        <v>1030</v>
      </c>
    </row>
    <row r="27" spans="1:1" x14ac:dyDescent="0.2">
      <c r="A27" s="500" t="s">
        <v>1031</v>
      </c>
    </row>
  </sheetData>
  <hyperlinks>
    <hyperlink ref="A6" location="'I. Balanza'!A1" display="I. Balanza" xr:uid="{8FE5B04A-7363-4F07-A6F0-BF434640A47D}"/>
    <hyperlink ref="A7" location="'II. Balance general '!A1" display="II. Balance General" xr:uid="{D500DBD0-1C10-449F-B593-1EB75F041DB5}"/>
    <hyperlink ref="A8" location="'III, Estado de Resultados'!A1" display="III. Estado de Resultados" xr:uid="{86BA2993-854F-4AF2-8335-7FF1F677453D}"/>
    <hyperlink ref="A9" location="'IV. Edo de Cambios'!A1" display="IV. Estado de Cambios en el Capital Contable" xr:uid="{4D3D0E41-CC91-46A2-A4FF-3195AFD0A454}"/>
    <hyperlink ref="A10" location="'V. Flujo de Efectivo'!A1" display="V.Estado de Flujo de Efectivo" xr:uid="{AFEC69DD-8FA7-47FF-BB96-2D32A85DEA23}"/>
    <hyperlink ref="A11" location="'VI. Conciliacion Activo'!A1" display="VI. Conciliaciones de Balance Activo" xr:uid="{5E00A616-1F44-4E3C-BC95-ED3E42912D08}"/>
    <hyperlink ref="A13" location="'VIII. Ajuste Anual  Por Infl'!A1" display="VIII. Ajuste anual por inflacion" xr:uid="{A74429F4-6069-4108-BEA4-4F0D9BB4C093}"/>
    <hyperlink ref="A14" location="'IX. Ajuste Anual Ctas Dolares'!A1" display="IX. Cuentas en moneda extranjera Ajuste Anual" xr:uid="{5E95DBC5-E86D-469C-A03E-26E56605A56E}"/>
    <hyperlink ref="A12" location="'VII. Conciliacion Pasivo'!A1" display="VII. Conciliaciones de Balance Pasivo" xr:uid="{78F530DA-09B6-4A71-9145-CB26A41B35DE}"/>
    <hyperlink ref="A15" location="'X. Venta de Activo Fijo'!A1" display="X. Utilidad o Perdida Fiscal Venta de Activo Fijo" xr:uid="{FBA90002-835D-43D4-8EB7-A38B43F7F46E}"/>
    <hyperlink ref="A16" location="'XI. Regalias Pagadas'!A1" display="XI. Regalias Pagadas Durante el Ejercicio" xr:uid="{A2168D4F-3C17-4E42-A143-A17F9EC14A47}"/>
    <hyperlink ref="A17" location="'XII. Provisiones'!A1" display="XII. Provisiones" xr:uid="{FA5B0EB2-73CF-4433-9FE1-D57A4782855E}"/>
    <hyperlink ref="A18" location="'XIII.Resultado Fiscal'!A1" display="XIII. Resultado Fiscal" xr:uid="{943B08F9-BE92-4535-9EE5-8F83D9F2CDF1}"/>
    <hyperlink ref="A19" location="'XIV. Coef Utilidad'!A1" display="XIV. Coeficiente de Utilidad" xr:uid="{8D0ABFF6-7A7C-45DC-B039-615025B32FB2}"/>
    <hyperlink ref="A20" location="'XV. Tasa Efectiva'!A1" display="XV. Tasa Efectiva Impuesto Diferido" xr:uid="{D90ADA97-06B1-4A5C-B8C3-E7A629F762DE}"/>
    <hyperlink ref="A21" location="'XVI. Ej Polizas Cont Impuestos'!A1" display="XVI. Ej Polizas Cont Impuestos" xr:uid="{E1178E64-C550-44D8-A173-93AA4A8DE4B7}"/>
    <hyperlink ref="A22" location="'XVII. Razones Financieras'!A1" display="XVII. Razones Financieras" xr:uid="{B4F4E13A-6782-4043-BB2D-8069474FD09C}"/>
    <hyperlink ref="A23" location="'XVII. Razones Financieras'!A1" display="XVIII. Calendario" xr:uid="{1460BA3A-BD02-4AC2-BB86-201CD0DDB59A}"/>
    <hyperlink ref="A24" location="'XIX. Lista de Revision'!A1" display="XIX. Lista de Revision" xr:uid="{D961001F-28C4-4CB6-9201-CBD5941E9EAE}"/>
    <hyperlink ref="A25" location="'XX. INPC'!A1" display="XX. INPC" xr:uid="{77F350EA-26EE-475B-8801-1EE2B41A53DB}"/>
    <hyperlink ref="A26" location="'XXI. T. Cambio'!A1" display="XXI. T. Cambio" xr:uid="{BE50671B-3FA4-46B5-9880-FC666C4D36A7}"/>
    <hyperlink ref="A27" location="'XXII. Int Saldos a Favor'!A1" display="XXII. Int Saldos a Favor" xr:uid="{87071711-A928-4CD0-83CD-01C8CE8987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87824-A27F-4BAA-9AF1-BD9FF6949D19}">
  <dimension ref="A1:Z626"/>
  <sheetViews>
    <sheetView showGridLines="0" zoomScale="90" zoomScaleNormal="90" workbookViewId="0">
      <pane xSplit="4" ySplit="8" topLeftCell="E9" activePane="bottomRight" state="frozen"/>
      <selection activeCell="C1" sqref="C1"/>
      <selection pane="topRight" activeCell="E1" sqref="E1"/>
      <selection pane="bottomLeft" activeCell="C9" sqref="C9"/>
      <selection pane="bottomRight" activeCell="C4" sqref="C4"/>
    </sheetView>
  </sheetViews>
  <sheetFormatPr baseColWidth="10" defaultColWidth="8.77734375" defaultRowHeight="12.75" outlineLevelRow="1" outlineLevelCol="1" x14ac:dyDescent="0.2"/>
  <cols>
    <col min="1" max="1" width="14.109375" style="58" hidden="1" customWidth="1" outlineLevel="1"/>
    <col min="2" max="2" width="16.44140625" style="59" hidden="1" customWidth="1" outlineLevel="1"/>
    <col min="3" max="3" width="13.109375" style="62" bestFit="1" customWidth="1" collapsed="1"/>
    <col min="4" max="4" width="31.5546875" style="62" customWidth="1"/>
    <col min="5" max="5" width="11" style="63" bestFit="1" customWidth="1"/>
    <col min="6" max="13" width="11" style="63" customWidth="1" outlineLevel="1"/>
    <col min="14" max="14" width="11.77734375" style="63" customWidth="1" outlineLevel="1"/>
    <col min="15" max="15" width="11" style="63" customWidth="1" outlineLevel="1"/>
    <col min="16" max="16" width="11.109375" style="63" customWidth="1" outlineLevel="1"/>
    <col min="17" max="17" width="11" style="63" customWidth="1"/>
    <col min="18" max="18" width="18.88671875" style="62" customWidth="1"/>
    <col min="19" max="19" width="63.109375" style="62" bestFit="1" customWidth="1"/>
    <col min="20" max="16384" width="8.77734375" style="62"/>
  </cols>
  <sheetData>
    <row r="1" spans="1:26" s="31" customFormat="1" ht="15" x14ac:dyDescent="0.2">
      <c r="A1" s="98"/>
      <c r="C1" s="38"/>
      <c r="D1" s="46"/>
      <c r="E1" s="38"/>
      <c r="F1" s="51"/>
      <c r="G1" s="51"/>
      <c r="R1" s="499" t="s">
        <v>1015</v>
      </c>
    </row>
    <row r="2" spans="1:26" s="31" customFormat="1" x14ac:dyDescent="0.2">
      <c r="A2" s="98"/>
      <c r="C2" s="38"/>
      <c r="D2" s="46"/>
      <c r="E2" s="38"/>
      <c r="F2" s="51"/>
      <c r="G2" s="51"/>
    </row>
    <row r="3" spans="1:26" s="31" customFormat="1" x14ac:dyDescent="0.2">
      <c r="A3" s="98"/>
      <c r="C3" s="38"/>
      <c r="D3" s="46"/>
      <c r="E3" s="38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6" s="125" customFormat="1" ht="15.75" x14ac:dyDescent="0.25">
      <c r="C4" s="124" t="s">
        <v>1032</v>
      </c>
      <c r="D4" s="127"/>
      <c r="E4" s="126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26" s="125" customFormat="1" ht="15.75" x14ac:dyDescent="0.25">
      <c r="C5" s="124" t="s">
        <v>514</v>
      </c>
      <c r="D5" s="127"/>
      <c r="E5" s="126"/>
      <c r="F5" s="128"/>
      <c r="G5" s="128"/>
    </row>
    <row r="6" spans="1:26" s="34" customFormat="1" ht="13.5" thickBot="1" x14ac:dyDescent="0.25">
      <c r="A6" s="32"/>
      <c r="B6" s="32"/>
      <c r="C6" s="39">
        <v>1</v>
      </c>
      <c r="D6" s="47">
        <v>2</v>
      </c>
      <c r="E6" s="39">
        <v>3</v>
      </c>
      <c r="F6" s="47">
        <v>4</v>
      </c>
      <c r="G6" s="39">
        <v>5</v>
      </c>
      <c r="H6" s="47">
        <v>6</v>
      </c>
      <c r="I6" s="39">
        <v>7</v>
      </c>
      <c r="J6" s="47">
        <v>8</v>
      </c>
      <c r="K6" s="39">
        <v>9</v>
      </c>
      <c r="L6" s="47">
        <v>10</v>
      </c>
      <c r="M6" s="39">
        <v>11</v>
      </c>
      <c r="N6" s="47">
        <v>12</v>
      </c>
      <c r="O6" s="39">
        <v>13</v>
      </c>
      <c r="P6" s="47">
        <v>14</v>
      </c>
      <c r="Q6" s="39">
        <v>15</v>
      </c>
      <c r="R6" s="33"/>
      <c r="S6" s="33"/>
      <c r="T6" s="33"/>
      <c r="U6" s="33"/>
      <c r="V6" s="33"/>
      <c r="W6" s="33"/>
      <c r="X6" s="33"/>
      <c r="Y6" s="33"/>
      <c r="Z6" s="33"/>
    </row>
    <row r="7" spans="1:26" ht="13.5" thickTop="1" x14ac:dyDescent="0.2">
      <c r="E7" s="172">
        <v>2023</v>
      </c>
      <c r="Q7" s="172">
        <v>2024</v>
      </c>
    </row>
    <row r="8" spans="1:26" s="60" customFormat="1" x14ac:dyDescent="0.2">
      <c r="A8" s="58" t="s">
        <v>409</v>
      </c>
      <c r="B8" s="59" t="s">
        <v>265</v>
      </c>
      <c r="C8" s="60" t="s">
        <v>233</v>
      </c>
      <c r="D8" s="60" t="s">
        <v>231</v>
      </c>
      <c r="E8" s="61" t="s">
        <v>227</v>
      </c>
      <c r="F8" s="61" t="s">
        <v>217</v>
      </c>
      <c r="G8" s="61" t="s">
        <v>216</v>
      </c>
      <c r="H8" s="61" t="s">
        <v>218</v>
      </c>
      <c r="I8" s="61" t="s">
        <v>219</v>
      </c>
      <c r="J8" s="61" t="s">
        <v>220</v>
      </c>
      <c r="K8" s="61" t="s">
        <v>221</v>
      </c>
      <c r="L8" s="61" t="s">
        <v>222</v>
      </c>
      <c r="M8" s="61" t="s">
        <v>223</v>
      </c>
      <c r="N8" s="61" t="s">
        <v>224</v>
      </c>
      <c r="O8" s="61" t="s">
        <v>225</v>
      </c>
      <c r="P8" s="61" t="s">
        <v>226</v>
      </c>
      <c r="Q8" s="61" t="s">
        <v>227</v>
      </c>
      <c r="S8" s="441" t="s">
        <v>976</v>
      </c>
    </row>
    <row r="9" spans="1:26" x14ac:dyDescent="0.2">
      <c r="C9" s="151" t="s">
        <v>0</v>
      </c>
    </row>
    <row r="10" spans="1:26" outlineLevel="1" x14ac:dyDescent="0.2"/>
    <row r="11" spans="1:26" outlineLevel="1" x14ac:dyDescent="0.2">
      <c r="C11" s="60">
        <v>11</v>
      </c>
      <c r="D11" s="60" t="s">
        <v>1</v>
      </c>
    </row>
    <row r="12" spans="1:26" ht="13.5" outlineLevel="1" thickBot="1" x14ac:dyDescent="0.25">
      <c r="C12" s="62">
        <v>1101</v>
      </c>
      <c r="D12" s="62" t="s">
        <v>3</v>
      </c>
    </row>
    <row r="13" spans="1:26" ht="13.5" outlineLevel="1" thickBot="1" x14ac:dyDescent="0.25">
      <c r="C13" s="62">
        <v>11010001</v>
      </c>
      <c r="D13" s="62" t="s">
        <v>4</v>
      </c>
      <c r="E13" s="63">
        <v>15000</v>
      </c>
      <c r="F13" s="63">
        <v>89287.44</v>
      </c>
      <c r="G13" s="63">
        <v>89893.1</v>
      </c>
      <c r="H13" s="63">
        <v>107448.09</v>
      </c>
      <c r="I13" s="63">
        <v>125703.72</v>
      </c>
      <c r="J13" s="63">
        <v>116175.55</v>
      </c>
      <c r="K13" s="63">
        <v>150457.21</v>
      </c>
      <c r="L13" s="63">
        <v>159459.96</v>
      </c>
      <c r="M13" s="63">
        <v>162833.14000000001</v>
      </c>
      <c r="N13" s="63">
        <v>128907.88</v>
      </c>
      <c r="O13" s="63">
        <v>127531.59</v>
      </c>
      <c r="P13" s="63">
        <v>131441.5</v>
      </c>
      <c r="Q13" s="63">
        <v>136449.06</v>
      </c>
      <c r="S13" s="492" t="s">
        <v>930</v>
      </c>
    </row>
    <row r="14" spans="1:26" outlineLevel="1" x14ac:dyDescent="0.2">
      <c r="C14" s="62">
        <v>11010002</v>
      </c>
      <c r="D14" s="62" t="s">
        <v>5</v>
      </c>
      <c r="E14" s="63">
        <v>4500</v>
      </c>
      <c r="F14" s="63">
        <v>2500</v>
      </c>
      <c r="G14" s="63">
        <v>5000</v>
      </c>
      <c r="H14" s="63">
        <v>5000</v>
      </c>
      <c r="I14" s="63">
        <v>5000</v>
      </c>
      <c r="J14" s="63">
        <v>5000</v>
      </c>
      <c r="K14" s="63">
        <v>5000</v>
      </c>
      <c r="L14" s="63">
        <v>5000</v>
      </c>
      <c r="M14" s="63">
        <v>5000</v>
      </c>
      <c r="N14" s="63">
        <v>5000</v>
      </c>
      <c r="O14" s="63">
        <v>5000</v>
      </c>
      <c r="P14" s="63">
        <v>5000</v>
      </c>
      <c r="Q14" s="63">
        <v>5000</v>
      </c>
      <c r="S14" s="492" t="s">
        <v>930</v>
      </c>
    </row>
    <row r="15" spans="1:26" outlineLevel="1" x14ac:dyDescent="0.2">
      <c r="D15" s="62" t="s">
        <v>2</v>
      </c>
      <c r="E15" s="63" t="s">
        <v>264</v>
      </c>
      <c r="F15" s="63" t="s">
        <v>264</v>
      </c>
      <c r="G15" s="63" t="s">
        <v>264</v>
      </c>
      <c r="H15" s="63" t="s">
        <v>264</v>
      </c>
      <c r="I15" s="63" t="s">
        <v>264</v>
      </c>
      <c r="J15" s="63" t="s">
        <v>264</v>
      </c>
      <c r="K15" s="63" t="s">
        <v>264</v>
      </c>
      <c r="L15" s="63" t="s">
        <v>264</v>
      </c>
      <c r="M15" s="63" t="s">
        <v>264</v>
      </c>
      <c r="N15" s="63" t="s">
        <v>264</v>
      </c>
      <c r="O15" s="63" t="s">
        <v>264</v>
      </c>
      <c r="P15" s="63" t="s">
        <v>264</v>
      </c>
      <c r="Q15" s="63" t="s">
        <v>264</v>
      </c>
    </row>
    <row r="16" spans="1:26" x14ac:dyDescent="0.2">
      <c r="A16" s="58" t="s">
        <v>381</v>
      </c>
      <c r="B16" s="59">
        <v>1101</v>
      </c>
      <c r="C16" s="64" t="s">
        <v>6</v>
      </c>
      <c r="D16" s="64" t="s">
        <v>3</v>
      </c>
      <c r="E16" s="65">
        <f>SUM(E13:E15)</f>
        <v>19500</v>
      </c>
      <c r="F16" s="65">
        <f t="shared" ref="F16:Q16" si="0">SUM(F13:F15)</f>
        <v>91787.44</v>
      </c>
      <c r="G16" s="65">
        <f t="shared" si="0"/>
        <v>94893.1</v>
      </c>
      <c r="H16" s="65">
        <f t="shared" si="0"/>
        <v>112448.09</v>
      </c>
      <c r="I16" s="65">
        <f t="shared" si="0"/>
        <v>130703.72</v>
      </c>
      <c r="J16" s="65">
        <f t="shared" si="0"/>
        <v>121175.55</v>
      </c>
      <c r="K16" s="65">
        <f t="shared" si="0"/>
        <v>155457.21</v>
      </c>
      <c r="L16" s="65">
        <f t="shared" si="0"/>
        <v>164459.96</v>
      </c>
      <c r="M16" s="65">
        <f t="shared" si="0"/>
        <v>167833.14</v>
      </c>
      <c r="N16" s="65">
        <f t="shared" si="0"/>
        <v>133907.88</v>
      </c>
      <c r="O16" s="65">
        <f t="shared" si="0"/>
        <v>132531.59</v>
      </c>
      <c r="P16" s="65">
        <f t="shared" si="0"/>
        <v>136441.5</v>
      </c>
      <c r="Q16" s="65">
        <f t="shared" si="0"/>
        <v>141449.06</v>
      </c>
    </row>
    <row r="17" spans="1:19" outlineLevel="1" x14ac:dyDescent="0.2">
      <c r="D17" s="62" t="s">
        <v>2</v>
      </c>
    </row>
    <row r="18" spans="1:19" ht="13.5" outlineLevel="1" thickBot="1" x14ac:dyDescent="0.25">
      <c r="C18" s="62">
        <v>1102</v>
      </c>
      <c r="D18" s="62" t="s">
        <v>7</v>
      </c>
    </row>
    <row r="19" spans="1:19" s="66" customFormat="1" ht="13.5" outlineLevel="1" thickBot="1" x14ac:dyDescent="0.25">
      <c r="A19" s="58"/>
      <c r="B19" s="59"/>
      <c r="C19" s="62">
        <v>11020001</v>
      </c>
      <c r="D19" s="62" t="s">
        <v>8</v>
      </c>
      <c r="E19" s="63">
        <v>1131965.1499999999</v>
      </c>
      <c r="F19" s="63">
        <v>989788.44</v>
      </c>
      <c r="G19" s="63">
        <v>1228818.24</v>
      </c>
      <c r="H19" s="63">
        <v>1046655.39</v>
      </c>
      <c r="I19" s="63">
        <v>329951.15999999997</v>
      </c>
      <c r="J19" s="63">
        <v>492247.99</v>
      </c>
      <c r="K19" s="63">
        <v>626273.24</v>
      </c>
      <c r="L19" s="63">
        <v>62412.06</v>
      </c>
      <c r="M19" s="63">
        <v>-2809.22</v>
      </c>
      <c r="N19" s="63">
        <v>923219.85</v>
      </c>
      <c r="O19" s="63">
        <v>696069.33</v>
      </c>
      <c r="P19" s="63">
        <v>961398.41</v>
      </c>
      <c r="Q19" s="63">
        <v>1243029.31</v>
      </c>
      <c r="R19" s="62"/>
      <c r="S19" s="492" t="s">
        <v>930</v>
      </c>
    </row>
    <row r="20" spans="1:19" s="66" customFormat="1" outlineLevel="1" x14ac:dyDescent="0.2">
      <c r="A20" s="58"/>
      <c r="B20" s="59"/>
      <c r="C20" s="62">
        <v>11020002</v>
      </c>
      <c r="D20" s="62" t="s">
        <v>9</v>
      </c>
      <c r="E20" s="63">
        <v>19941587.82000003</v>
      </c>
      <c r="F20" s="63">
        <v>14512249</v>
      </c>
      <c r="G20" s="63">
        <v>14528038.250499651</v>
      </c>
      <c r="H20" s="63">
        <v>17695499.800749447</v>
      </c>
      <c r="I20" s="63">
        <v>19890598.790999234</v>
      </c>
      <c r="J20" s="63">
        <v>14449482.291249089</v>
      </c>
      <c r="K20" s="63">
        <v>29261694.401498914</v>
      </c>
      <c r="L20" s="63">
        <v>30800402.341748711</v>
      </c>
      <c r="M20" s="63">
        <v>30979408.391998578</v>
      </c>
      <c r="N20" s="63">
        <v>34310473.652248412</v>
      </c>
      <c r="O20" s="63">
        <v>34407177.922498152</v>
      </c>
      <c r="P20" s="63">
        <v>36290301.972747967</v>
      </c>
      <c r="Q20" s="63">
        <v>52878516.602997735</v>
      </c>
      <c r="R20" s="68"/>
      <c r="S20" s="492" t="s">
        <v>930</v>
      </c>
    </row>
    <row r="21" spans="1:19" s="66" customFormat="1" outlineLevel="1" x14ac:dyDescent="0.2">
      <c r="A21" s="58"/>
      <c r="B21" s="59"/>
      <c r="C21" s="62"/>
      <c r="D21" s="62" t="s">
        <v>2</v>
      </c>
      <c r="E21" s="63" t="s">
        <v>264</v>
      </c>
      <c r="F21" s="63" t="s">
        <v>264</v>
      </c>
      <c r="G21" s="63" t="s">
        <v>264</v>
      </c>
      <c r="H21" s="63" t="s">
        <v>264</v>
      </c>
      <c r="I21" s="63" t="s">
        <v>264</v>
      </c>
      <c r="J21" s="63" t="s">
        <v>264</v>
      </c>
      <c r="K21" s="63" t="s">
        <v>264</v>
      </c>
      <c r="L21" s="63" t="s">
        <v>264</v>
      </c>
      <c r="M21" s="63" t="s">
        <v>264</v>
      </c>
      <c r="N21" s="63" t="s">
        <v>264</v>
      </c>
      <c r="O21" s="63" t="s">
        <v>264</v>
      </c>
      <c r="P21" s="63" t="s">
        <v>264</v>
      </c>
      <c r="Q21" s="63" t="s">
        <v>264</v>
      </c>
      <c r="R21" s="62"/>
      <c r="S21" s="62"/>
    </row>
    <row r="22" spans="1:19" s="66" customFormat="1" x14ac:dyDescent="0.2">
      <c r="A22" s="58" t="s">
        <v>381</v>
      </c>
      <c r="B22" s="59">
        <v>1102</v>
      </c>
      <c r="C22" s="64" t="s">
        <v>10</v>
      </c>
      <c r="D22" s="64" t="s">
        <v>7</v>
      </c>
      <c r="E22" s="65">
        <f>SUM(E19:E21)</f>
        <v>21073552.970000029</v>
      </c>
      <c r="F22" s="65">
        <f t="shared" ref="F22:Q22" si="1">SUM(F19:F21)</f>
        <v>15502037.439999999</v>
      </c>
      <c r="G22" s="65">
        <f t="shared" si="1"/>
        <v>15756856.490499651</v>
      </c>
      <c r="H22" s="65">
        <f t="shared" si="1"/>
        <v>18742155.190749448</v>
      </c>
      <c r="I22" s="65">
        <f t="shared" si="1"/>
        <v>20220549.950999234</v>
      </c>
      <c r="J22" s="65">
        <f t="shared" si="1"/>
        <v>14941730.281249089</v>
      </c>
      <c r="K22" s="65">
        <f t="shared" si="1"/>
        <v>29887967.641498912</v>
      </c>
      <c r="L22" s="65">
        <f t="shared" si="1"/>
        <v>30862814.401748709</v>
      </c>
      <c r="M22" s="65">
        <f t="shared" si="1"/>
        <v>30976599.171998579</v>
      </c>
      <c r="N22" s="65">
        <f t="shared" si="1"/>
        <v>35233693.502248414</v>
      </c>
      <c r="O22" s="65">
        <f t="shared" si="1"/>
        <v>35103247.25249815</v>
      </c>
      <c r="P22" s="65">
        <f t="shared" si="1"/>
        <v>37251700.382747963</v>
      </c>
      <c r="Q22" s="65">
        <f t="shared" si="1"/>
        <v>54121545.912997738</v>
      </c>
      <c r="R22" s="62"/>
      <c r="S22" s="62"/>
    </row>
    <row r="23" spans="1:19" s="66" customFormat="1" outlineLevel="1" x14ac:dyDescent="0.2">
      <c r="A23" s="58"/>
      <c r="B23" s="59"/>
      <c r="C23" s="62"/>
      <c r="D23" s="62" t="s">
        <v>2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2"/>
      <c r="S23" s="62"/>
    </row>
    <row r="24" spans="1:19" s="66" customFormat="1" outlineLevel="1" x14ac:dyDescent="0.2">
      <c r="A24" s="58"/>
      <c r="B24" s="59"/>
      <c r="C24" s="62">
        <v>1103</v>
      </c>
      <c r="D24" s="62" t="s">
        <v>11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2"/>
      <c r="S24" s="62"/>
    </row>
    <row r="25" spans="1:19" s="66" customFormat="1" outlineLevel="1" x14ac:dyDescent="0.2">
      <c r="A25" s="58"/>
      <c r="B25" s="59"/>
      <c r="C25" s="62">
        <v>11030001</v>
      </c>
      <c r="D25" s="62" t="s">
        <v>12</v>
      </c>
      <c r="E25" s="63">
        <v>11106254.080000004</v>
      </c>
      <c r="F25" s="63">
        <v>9440628.8700000122</v>
      </c>
      <c r="G25" s="63">
        <v>9791153.5900000129</v>
      </c>
      <c r="H25" s="63">
        <v>6444531.7900000028</v>
      </c>
      <c r="I25" s="63">
        <v>3072845.9400000046</v>
      </c>
      <c r="J25" s="63">
        <v>3510826.0100000133</v>
      </c>
      <c r="K25" s="63">
        <v>7635293.9499999946</v>
      </c>
      <c r="L25" s="63">
        <v>3432940.9900000202</v>
      </c>
      <c r="M25" s="63">
        <v>6169685.439999979</v>
      </c>
      <c r="N25" s="63">
        <v>11047437.369999969</v>
      </c>
      <c r="O25" s="63">
        <v>8870573.5399999861</v>
      </c>
      <c r="P25" s="63">
        <v>8350224.5699999938</v>
      </c>
      <c r="Q25" s="63">
        <v>7119037.3399999999</v>
      </c>
      <c r="R25" s="62"/>
      <c r="S25" s="493" t="s">
        <v>931</v>
      </c>
    </row>
    <row r="26" spans="1:19" s="66" customFormat="1" outlineLevel="1" x14ac:dyDescent="0.2">
      <c r="A26" s="58"/>
      <c r="B26" s="59"/>
      <c r="C26" s="62"/>
      <c r="D26" s="62" t="s">
        <v>2</v>
      </c>
      <c r="E26" s="63" t="s">
        <v>264</v>
      </c>
      <c r="F26" s="63" t="s">
        <v>264</v>
      </c>
      <c r="G26" s="63" t="s">
        <v>264</v>
      </c>
      <c r="H26" s="63" t="s">
        <v>264</v>
      </c>
      <c r="I26" s="63" t="s">
        <v>264</v>
      </c>
      <c r="J26" s="63" t="s">
        <v>264</v>
      </c>
      <c r="K26" s="63" t="s">
        <v>264</v>
      </c>
      <c r="L26" s="63" t="s">
        <v>264</v>
      </c>
      <c r="M26" s="63" t="s">
        <v>264</v>
      </c>
      <c r="N26" s="63" t="s">
        <v>264</v>
      </c>
      <c r="O26" s="63" t="s">
        <v>264</v>
      </c>
      <c r="P26" s="63" t="s">
        <v>264</v>
      </c>
      <c r="Q26" s="63" t="s">
        <v>264</v>
      </c>
      <c r="R26" s="62"/>
      <c r="S26" s="62"/>
    </row>
    <row r="27" spans="1:19" s="66" customFormat="1" x14ac:dyDescent="0.2">
      <c r="A27" s="58" t="s">
        <v>410</v>
      </c>
      <c r="B27" s="59">
        <v>1103</v>
      </c>
      <c r="C27" s="64" t="s">
        <v>13</v>
      </c>
      <c r="D27" s="64" t="s">
        <v>11</v>
      </c>
      <c r="E27" s="65">
        <f>+E25</f>
        <v>11106254.080000004</v>
      </c>
      <c r="F27" s="65">
        <f t="shared" ref="F27:Q27" si="2">+F25</f>
        <v>9440628.8700000122</v>
      </c>
      <c r="G27" s="65">
        <f t="shared" si="2"/>
        <v>9791153.5900000129</v>
      </c>
      <c r="H27" s="65">
        <f t="shared" si="2"/>
        <v>6444531.7900000028</v>
      </c>
      <c r="I27" s="65">
        <f t="shared" si="2"/>
        <v>3072845.9400000046</v>
      </c>
      <c r="J27" s="65">
        <f t="shared" si="2"/>
        <v>3510826.0100000133</v>
      </c>
      <c r="K27" s="65">
        <f t="shared" si="2"/>
        <v>7635293.9499999946</v>
      </c>
      <c r="L27" s="65">
        <f t="shared" si="2"/>
        <v>3432940.9900000202</v>
      </c>
      <c r="M27" s="65">
        <f t="shared" si="2"/>
        <v>6169685.439999979</v>
      </c>
      <c r="N27" s="65">
        <f t="shared" si="2"/>
        <v>11047437.369999969</v>
      </c>
      <c r="O27" s="65">
        <f t="shared" si="2"/>
        <v>8870573.5399999861</v>
      </c>
      <c r="P27" s="65">
        <f t="shared" si="2"/>
        <v>8350224.5699999938</v>
      </c>
      <c r="Q27" s="65">
        <f t="shared" si="2"/>
        <v>7119037.3399999999</v>
      </c>
      <c r="R27" s="62"/>
      <c r="S27" s="62"/>
    </row>
    <row r="28" spans="1:19" s="66" customFormat="1" outlineLevel="1" x14ac:dyDescent="0.2">
      <c r="A28" s="58"/>
      <c r="B28" s="59"/>
      <c r="C28" s="62"/>
      <c r="D28" s="62" t="s">
        <v>2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2"/>
      <c r="S28" s="62"/>
    </row>
    <row r="29" spans="1:19" outlineLevel="1" x14ac:dyDescent="0.2">
      <c r="C29" s="62">
        <v>1104</v>
      </c>
      <c r="D29" s="62" t="s">
        <v>14</v>
      </c>
      <c r="S29" s="493" t="s">
        <v>933</v>
      </c>
    </row>
    <row r="30" spans="1:19" outlineLevel="1" x14ac:dyDescent="0.2">
      <c r="C30" s="62">
        <v>11040001</v>
      </c>
      <c r="D30" s="62" t="s">
        <v>15</v>
      </c>
      <c r="E30" s="63">
        <v>24258781.760000002</v>
      </c>
      <c r="F30" s="63">
        <v>24845216.16</v>
      </c>
      <c r="G30" s="63">
        <v>23332996.239999998</v>
      </c>
      <c r="H30" s="63">
        <v>23219006.420000002</v>
      </c>
      <c r="I30" s="63">
        <v>23841656.66</v>
      </c>
      <c r="J30" s="63">
        <v>21406067.289999999</v>
      </c>
      <c r="K30" s="63">
        <v>25644085.129999999</v>
      </c>
      <c r="L30" s="63">
        <v>28484302.190000001</v>
      </c>
      <c r="M30" s="63">
        <v>27003616.489999998</v>
      </c>
      <c r="N30" s="63">
        <v>22250061.140000001</v>
      </c>
      <c r="O30" s="63">
        <v>21423995.5</v>
      </c>
      <c r="P30" s="63">
        <v>22272356.460000001</v>
      </c>
      <c r="Q30" s="63">
        <v>22476482.829999998</v>
      </c>
      <c r="R30" s="68"/>
      <c r="S30" s="493" t="s">
        <v>933</v>
      </c>
    </row>
    <row r="31" spans="1:19" outlineLevel="1" x14ac:dyDescent="0.2">
      <c r="C31" s="62">
        <v>11040002</v>
      </c>
      <c r="D31" s="62" t="s">
        <v>16</v>
      </c>
      <c r="E31" s="63">
        <v>5407015.0499999998</v>
      </c>
      <c r="F31" s="63">
        <v>3494623.44</v>
      </c>
      <c r="G31" s="63">
        <v>3839595.88</v>
      </c>
      <c r="H31" s="63">
        <v>5658548.5300000003</v>
      </c>
      <c r="I31" s="63">
        <v>5459320.2599999998</v>
      </c>
      <c r="J31" s="63">
        <v>7714263.7800000003</v>
      </c>
      <c r="K31" s="63">
        <v>7088308.3300000001</v>
      </c>
      <c r="L31" s="63">
        <v>6261965.0300000003</v>
      </c>
      <c r="M31" s="63">
        <v>5558540.8600000003</v>
      </c>
      <c r="N31" s="63">
        <v>6314815.9699999997</v>
      </c>
      <c r="O31" s="63">
        <v>4069500.7</v>
      </c>
      <c r="P31" s="63">
        <v>4806502.33</v>
      </c>
      <c r="Q31" s="63">
        <v>5134567.3</v>
      </c>
      <c r="R31" s="68"/>
      <c r="S31" s="493" t="s">
        <v>935</v>
      </c>
    </row>
    <row r="32" spans="1:19" outlineLevel="1" x14ac:dyDescent="0.2">
      <c r="C32" s="62">
        <v>11040003</v>
      </c>
      <c r="D32" s="62" t="s">
        <v>17</v>
      </c>
      <c r="E32" s="63">
        <v>3472693.01</v>
      </c>
      <c r="F32" s="63">
        <v>5162670.7300000004</v>
      </c>
      <c r="G32" s="63">
        <v>6218473.29</v>
      </c>
      <c r="H32" s="63">
        <v>7488065.0899999999</v>
      </c>
      <c r="I32" s="63">
        <v>8967298.1300000008</v>
      </c>
      <c r="J32" s="63">
        <v>11670280.01</v>
      </c>
      <c r="K32" s="63">
        <v>4152908.29</v>
      </c>
      <c r="L32" s="63">
        <v>7308410.2000000002</v>
      </c>
      <c r="M32" s="63">
        <v>6913719.7400000002</v>
      </c>
      <c r="N32" s="63">
        <v>10397579.220000001</v>
      </c>
      <c r="O32" s="63">
        <v>13687191.83</v>
      </c>
      <c r="P32" s="63">
        <v>14402016.029999999</v>
      </c>
      <c r="Q32" s="63">
        <v>4515180.57</v>
      </c>
      <c r="R32" s="68"/>
      <c r="S32" s="493" t="s">
        <v>934</v>
      </c>
    </row>
    <row r="33" spans="1:19" outlineLevel="1" x14ac:dyDescent="0.2">
      <c r="C33" s="62">
        <v>11040004</v>
      </c>
      <c r="D33" s="62" t="s">
        <v>18</v>
      </c>
      <c r="S33" s="493" t="s">
        <v>932</v>
      </c>
    </row>
    <row r="34" spans="1:19" outlineLevel="1" x14ac:dyDescent="0.2">
      <c r="D34" s="62" t="s">
        <v>2</v>
      </c>
      <c r="E34" s="63" t="s">
        <v>264</v>
      </c>
      <c r="F34" s="63" t="s">
        <v>264</v>
      </c>
      <c r="G34" s="63" t="s">
        <v>264</v>
      </c>
      <c r="H34" s="63" t="s">
        <v>264</v>
      </c>
      <c r="I34" s="63" t="s">
        <v>264</v>
      </c>
      <c r="J34" s="63" t="s">
        <v>264</v>
      </c>
      <c r="K34" s="63" t="s">
        <v>264</v>
      </c>
      <c r="L34" s="63" t="s">
        <v>264</v>
      </c>
      <c r="M34" s="63" t="s">
        <v>264</v>
      </c>
      <c r="N34" s="63" t="s">
        <v>264</v>
      </c>
      <c r="O34" s="63" t="s">
        <v>264</v>
      </c>
      <c r="P34" s="63" t="s">
        <v>264</v>
      </c>
      <c r="Q34" s="63" t="s">
        <v>264</v>
      </c>
    </row>
    <row r="35" spans="1:19" ht="15" x14ac:dyDescent="0.25">
      <c r="A35" s="28" t="s">
        <v>422</v>
      </c>
      <c r="B35" s="59">
        <v>1104</v>
      </c>
      <c r="C35" s="64" t="s">
        <v>19</v>
      </c>
      <c r="D35" s="64" t="s">
        <v>14</v>
      </c>
      <c r="E35" s="65">
        <f>SUM(E30:E34)</f>
        <v>33138489.82</v>
      </c>
      <c r="F35" s="65">
        <f t="shared" ref="F35:Q35" si="3">SUM(F30:F34)</f>
        <v>33502510.330000002</v>
      </c>
      <c r="G35" s="65">
        <f t="shared" si="3"/>
        <v>33391065.409999996</v>
      </c>
      <c r="H35" s="65">
        <f t="shared" si="3"/>
        <v>36365620.040000007</v>
      </c>
      <c r="I35" s="65">
        <f t="shared" si="3"/>
        <v>38268275.050000004</v>
      </c>
      <c r="J35" s="65">
        <f t="shared" si="3"/>
        <v>40790611.079999998</v>
      </c>
      <c r="K35" s="65">
        <f t="shared" si="3"/>
        <v>36885301.75</v>
      </c>
      <c r="L35" s="65">
        <f t="shared" si="3"/>
        <v>42054677.420000002</v>
      </c>
      <c r="M35" s="65">
        <f t="shared" si="3"/>
        <v>39475877.089999996</v>
      </c>
      <c r="N35" s="65">
        <f t="shared" si="3"/>
        <v>38962456.329999998</v>
      </c>
      <c r="O35" s="65">
        <f t="shared" si="3"/>
        <v>39180688.030000001</v>
      </c>
      <c r="P35" s="65">
        <f t="shared" si="3"/>
        <v>41480874.82</v>
      </c>
      <c r="Q35" s="65">
        <f t="shared" si="3"/>
        <v>32126230.699999999</v>
      </c>
      <c r="R35" s="68"/>
      <c r="S35" s="68"/>
    </row>
    <row r="36" spans="1:19" outlineLevel="1" x14ac:dyDescent="0.2">
      <c r="D36" s="62" t="s">
        <v>2</v>
      </c>
    </row>
    <row r="37" spans="1:19" outlineLevel="1" x14ac:dyDescent="0.2">
      <c r="C37" s="62">
        <v>1108</v>
      </c>
      <c r="D37" s="62" t="s">
        <v>20</v>
      </c>
      <c r="S37" s="493" t="s">
        <v>933</v>
      </c>
    </row>
    <row r="38" spans="1:19" outlineLevel="1" x14ac:dyDescent="0.2">
      <c r="C38" s="62">
        <v>11080001</v>
      </c>
      <c r="D38" s="62" t="s">
        <v>20</v>
      </c>
      <c r="E38" s="63">
        <v>-247882.17</v>
      </c>
      <c r="F38" s="63">
        <v>-247882.17</v>
      </c>
      <c r="G38" s="63">
        <v>-247882.17</v>
      </c>
      <c r="H38" s="63">
        <v>-921843.99</v>
      </c>
      <c r="I38" s="63">
        <v>-921843.99</v>
      </c>
      <c r="J38" s="63">
        <v>-906210.96</v>
      </c>
      <c r="K38" s="63">
        <v>-1042695.84</v>
      </c>
      <c r="L38" s="63">
        <v>-1042695.84</v>
      </c>
      <c r="M38" s="63">
        <v>-1042695.84</v>
      </c>
      <c r="N38" s="63">
        <v>-606534.77</v>
      </c>
      <c r="O38" s="63">
        <v>-606534.77</v>
      </c>
      <c r="P38" s="63">
        <v>-606534.77</v>
      </c>
      <c r="Q38" s="63">
        <v>-339716.6</v>
      </c>
      <c r="S38" s="493" t="s">
        <v>933</v>
      </c>
    </row>
    <row r="39" spans="1:19" outlineLevel="1" x14ac:dyDescent="0.2">
      <c r="D39" s="62" t="s">
        <v>2</v>
      </c>
      <c r="E39" s="63" t="s">
        <v>264</v>
      </c>
      <c r="F39" s="63" t="s">
        <v>264</v>
      </c>
      <c r="G39" s="63" t="s">
        <v>264</v>
      </c>
      <c r="H39" s="63" t="s">
        <v>264</v>
      </c>
      <c r="I39" s="63" t="s">
        <v>264</v>
      </c>
      <c r="J39" s="63" t="s">
        <v>264</v>
      </c>
      <c r="K39" s="63" t="s">
        <v>264</v>
      </c>
      <c r="L39" s="63" t="s">
        <v>264</v>
      </c>
      <c r="M39" s="63" t="s">
        <v>264</v>
      </c>
      <c r="N39" s="63" t="s">
        <v>264</v>
      </c>
      <c r="O39" s="63" t="s">
        <v>264</v>
      </c>
      <c r="P39" s="63" t="s">
        <v>264</v>
      </c>
      <c r="Q39" s="63" t="s">
        <v>264</v>
      </c>
    </row>
    <row r="40" spans="1:19" ht="15" x14ac:dyDescent="0.25">
      <c r="A40" s="28" t="s">
        <v>422</v>
      </c>
      <c r="B40" s="59" t="str">
        <f>+RIGHT(C40,5)</f>
        <v xml:space="preserve">1108 </v>
      </c>
      <c r="C40" s="64" t="s">
        <v>21</v>
      </c>
      <c r="D40" s="64" t="s">
        <v>20</v>
      </c>
      <c r="E40" s="65">
        <f>+E38</f>
        <v>-247882.17</v>
      </c>
      <c r="F40" s="65">
        <f t="shared" ref="F40:Q40" si="4">+F38</f>
        <v>-247882.17</v>
      </c>
      <c r="G40" s="65">
        <f t="shared" si="4"/>
        <v>-247882.17</v>
      </c>
      <c r="H40" s="65">
        <f t="shared" si="4"/>
        <v>-921843.99</v>
      </c>
      <c r="I40" s="65">
        <f t="shared" si="4"/>
        <v>-921843.99</v>
      </c>
      <c r="J40" s="65">
        <f t="shared" si="4"/>
        <v>-906210.96</v>
      </c>
      <c r="K40" s="65">
        <f t="shared" si="4"/>
        <v>-1042695.84</v>
      </c>
      <c r="L40" s="65">
        <f t="shared" si="4"/>
        <v>-1042695.84</v>
      </c>
      <c r="M40" s="65">
        <f t="shared" si="4"/>
        <v>-1042695.84</v>
      </c>
      <c r="N40" s="65">
        <f t="shared" si="4"/>
        <v>-606534.77</v>
      </c>
      <c r="O40" s="65">
        <f t="shared" si="4"/>
        <v>-606534.77</v>
      </c>
      <c r="P40" s="65">
        <f t="shared" si="4"/>
        <v>-606534.77</v>
      </c>
      <c r="Q40" s="65">
        <f t="shared" si="4"/>
        <v>-339716.6</v>
      </c>
    </row>
    <row r="41" spans="1:19" outlineLevel="1" x14ac:dyDescent="0.2">
      <c r="D41" s="62" t="s">
        <v>2</v>
      </c>
    </row>
    <row r="42" spans="1:19" outlineLevel="1" x14ac:dyDescent="0.2">
      <c r="C42" s="62">
        <v>1109</v>
      </c>
      <c r="D42" s="62" t="s">
        <v>22</v>
      </c>
      <c r="S42" s="494" t="s">
        <v>938</v>
      </c>
    </row>
    <row r="43" spans="1:19" s="66" customFormat="1" outlineLevel="1" x14ac:dyDescent="0.2">
      <c r="A43" s="58"/>
      <c r="B43" s="59"/>
      <c r="C43" s="62">
        <v>11090112</v>
      </c>
      <c r="D43" s="62" t="s">
        <v>253</v>
      </c>
      <c r="E43" s="63"/>
      <c r="F43" s="63">
        <v>4308.82</v>
      </c>
      <c r="G43" s="63">
        <v>2585.3000000000002</v>
      </c>
      <c r="H43" s="63">
        <v>861.78</v>
      </c>
      <c r="I43" s="63"/>
      <c r="J43" s="63"/>
      <c r="K43" s="63"/>
      <c r="L43" s="63"/>
      <c r="M43" s="63"/>
      <c r="N43" s="63"/>
      <c r="O43" s="63"/>
      <c r="P43" s="63"/>
      <c r="Q43" s="63"/>
      <c r="R43" s="62"/>
      <c r="S43" s="494" t="s">
        <v>938</v>
      </c>
    </row>
    <row r="44" spans="1:19" s="66" customFormat="1" outlineLevel="1" x14ac:dyDescent="0.2">
      <c r="A44" s="58"/>
      <c r="B44" s="59"/>
      <c r="C44" s="62">
        <v>11090113</v>
      </c>
      <c r="D44" s="62" t="s">
        <v>254</v>
      </c>
      <c r="E44" s="63"/>
      <c r="F44" s="63">
        <v>3803.79</v>
      </c>
      <c r="G44" s="63">
        <v>2420.59</v>
      </c>
      <c r="H44" s="63">
        <v>691.59</v>
      </c>
      <c r="I44" s="63"/>
      <c r="J44" s="63"/>
      <c r="K44" s="63"/>
      <c r="L44" s="63"/>
      <c r="M44" s="63">
        <v>2074.79</v>
      </c>
      <c r="N44" s="63">
        <v>778.04</v>
      </c>
      <c r="O44" s="63">
        <v>4913.01</v>
      </c>
      <c r="P44" s="63">
        <v>4513.01</v>
      </c>
      <c r="Q44" s="63">
        <v>4513.01</v>
      </c>
      <c r="R44" s="62"/>
      <c r="S44" s="494" t="s">
        <v>938</v>
      </c>
    </row>
    <row r="45" spans="1:19" s="66" customFormat="1" outlineLevel="1" x14ac:dyDescent="0.2">
      <c r="A45" s="58"/>
      <c r="B45" s="59"/>
      <c r="C45" s="62">
        <v>11090183</v>
      </c>
      <c r="D45" s="62" t="s">
        <v>255</v>
      </c>
      <c r="E45" s="63"/>
      <c r="F45" s="63"/>
      <c r="G45" s="63"/>
      <c r="H45" s="63"/>
      <c r="I45" s="63">
        <v>5063.7</v>
      </c>
      <c r="J45" s="63"/>
      <c r="K45" s="63"/>
      <c r="L45" s="63"/>
      <c r="M45" s="63"/>
      <c r="N45" s="63"/>
      <c r="O45" s="63">
        <v>7675.68</v>
      </c>
      <c r="P45" s="63">
        <v>4605.3999999999996</v>
      </c>
      <c r="Q45" s="63">
        <v>4605.3999999999996</v>
      </c>
      <c r="R45" s="62"/>
      <c r="S45" s="494" t="s">
        <v>938</v>
      </c>
    </row>
    <row r="46" spans="1:19" s="66" customFormat="1" outlineLevel="1" x14ac:dyDescent="0.2">
      <c r="A46" s="58"/>
      <c r="B46" s="59"/>
      <c r="C46" s="62"/>
      <c r="D46" s="62" t="s">
        <v>2</v>
      </c>
      <c r="E46" s="63" t="s">
        <v>264</v>
      </c>
      <c r="F46" s="63" t="s">
        <v>264</v>
      </c>
      <c r="G46" s="63" t="s">
        <v>264</v>
      </c>
      <c r="H46" s="63" t="s">
        <v>264</v>
      </c>
      <c r="I46" s="63" t="s">
        <v>264</v>
      </c>
      <c r="J46" s="63" t="s">
        <v>264</v>
      </c>
      <c r="K46" s="63" t="s">
        <v>264</v>
      </c>
      <c r="L46" s="63" t="s">
        <v>264</v>
      </c>
      <c r="M46" s="63" t="s">
        <v>264</v>
      </c>
      <c r="N46" s="63" t="s">
        <v>264</v>
      </c>
      <c r="O46" s="63" t="s">
        <v>264</v>
      </c>
      <c r="P46" s="63" t="s">
        <v>264</v>
      </c>
      <c r="Q46" s="63" t="s">
        <v>264</v>
      </c>
      <c r="R46" s="62"/>
      <c r="S46" s="62"/>
    </row>
    <row r="47" spans="1:19" s="66" customFormat="1" x14ac:dyDescent="0.2">
      <c r="A47" s="495" t="s">
        <v>383</v>
      </c>
      <c r="B47" s="59" t="str">
        <f>+RIGHT(C47,5)</f>
        <v xml:space="preserve">1109 </v>
      </c>
      <c r="C47" s="64" t="s">
        <v>23</v>
      </c>
      <c r="D47" s="64" t="s">
        <v>22</v>
      </c>
      <c r="E47" s="65">
        <f>SUM(E43:E46)</f>
        <v>0</v>
      </c>
      <c r="F47" s="65">
        <f t="shared" ref="F47:P47" si="5">SUM(F43:F46)</f>
        <v>8112.61</v>
      </c>
      <c r="G47" s="65">
        <f t="shared" si="5"/>
        <v>5005.8900000000003</v>
      </c>
      <c r="H47" s="65">
        <f t="shared" si="5"/>
        <v>1553.37</v>
      </c>
      <c r="I47" s="65">
        <f t="shared" si="5"/>
        <v>5063.7</v>
      </c>
      <c r="J47" s="65">
        <f t="shared" si="5"/>
        <v>0</v>
      </c>
      <c r="K47" s="65">
        <f t="shared" si="5"/>
        <v>0</v>
      </c>
      <c r="L47" s="65">
        <f t="shared" si="5"/>
        <v>0</v>
      </c>
      <c r="M47" s="65">
        <f t="shared" si="5"/>
        <v>2074.79</v>
      </c>
      <c r="N47" s="65">
        <f t="shared" si="5"/>
        <v>778.04</v>
      </c>
      <c r="O47" s="65">
        <f t="shared" si="5"/>
        <v>12588.69</v>
      </c>
      <c r="P47" s="65">
        <f t="shared" si="5"/>
        <v>9118.41</v>
      </c>
      <c r="Q47" s="65">
        <f>SUM(Q43:Q46)</f>
        <v>9118.41</v>
      </c>
      <c r="R47" s="62"/>
      <c r="S47" s="62"/>
    </row>
    <row r="48" spans="1:19" s="66" customFormat="1" outlineLevel="1" x14ac:dyDescent="0.2">
      <c r="A48" s="58"/>
      <c r="B48" s="59"/>
      <c r="C48" s="62"/>
      <c r="D48" s="62" t="s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2"/>
      <c r="S48" s="62"/>
    </row>
    <row r="49" spans="1:19" s="66" customFormat="1" outlineLevel="1" x14ac:dyDescent="0.2">
      <c r="A49" s="58"/>
      <c r="B49" s="59"/>
      <c r="C49" s="62">
        <v>1113</v>
      </c>
      <c r="D49" s="62" t="s">
        <v>24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2"/>
      <c r="S49" s="494" t="s">
        <v>937</v>
      </c>
    </row>
    <row r="50" spans="1:19" s="66" customFormat="1" outlineLevel="1" x14ac:dyDescent="0.2">
      <c r="A50" s="58"/>
      <c r="B50" s="59"/>
      <c r="C50" s="62"/>
      <c r="D50" s="62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2"/>
      <c r="S50" s="62"/>
    </row>
    <row r="51" spans="1:19" s="66" customFormat="1" outlineLevel="1" x14ac:dyDescent="0.2">
      <c r="A51" s="58"/>
      <c r="B51" s="59"/>
      <c r="C51" s="62">
        <v>11130001</v>
      </c>
      <c r="D51" s="62" t="s">
        <v>258</v>
      </c>
      <c r="E51" s="63">
        <v>231628.61</v>
      </c>
      <c r="F51" s="63"/>
      <c r="G51" s="63"/>
      <c r="H51" s="63">
        <v>216067.62</v>
      </c>
      <c r="I51" s="63"/>
      <c r="J51" s="63"/>
      <c r="K51" s="63">
        <v>255863.67</v>
      </c>
      <c r="L51" s="63"/>
      <c r="M51" s="63"/>
      <c r="N51" s="63">
        <v>327211.87</v>
      </c>
      <c r="O51" s="63"/>
      <c r="P51" s="63"/>
      <c r="Q51" s="63">
        <v>558765.5</v>
      </c>
      <c r="R51" s="62"/>
      <c r="S51" s="496" t="s">
        <v>937</v>
      </c>
    </row>
    <row r="52" spans="1:19" s="66" customFormat="1" outlineLevel="1" x14ac:dyDescent="0.2">
      <c r="A52" s="58"/>
      <c r="B52" s="59"/>
      <c r="C52" s="62">
        <v>11130002</v>
      </c>
      <c r="D52" s="62" t="s">
        <v>259</v>
      </c>
      <c r="E52" s="63">
        <v>354476.17000000004</v>
      </c>
      <c r="F52" s="63"/>
      <c r="G52" s="63"/>
      <c r="H52" s="63">
        <v>128834.14</v>
      </c>
      <c r="I52" s="63"/>
      <c r="J52" s="63"/>
      <c r="K52" s="63">
        <v>177437.57</v>
      </c>
      <c r="L52" s="63"/>
      <c r="M52" s="63"/>
      <c r="N52" s="63">
        <v>612093.23</v>
      </c>
      <c r="O52" s="63"/>
      <c r="P52" s="63"/>
      <c r="Q52" s="63">
        <v>84466.18</v>
      </c>
      <c r="R52" s="62"/>
      <c r="S52" s="496" t="s">
        <v>937</v>
      </c>
    </row>
    <row r="53" spans="1:19" s="66" customFormat="1" outlineLevel="1" x14ac:dyDescent="0.2">
      <c r="A53" s="58"/>
      <c r="B53" s="59"/>
      <c r="C53" s="62">
        <v>11130003</v>
      </c>
      <c r="D53" s="62" t="s">
        <v>260</v>
      </c>
      <c r="E53" s="63">
        <v>46582.86</v>
      </c>
      <c r="F53" s="63"/>
      <c r="G53" s="63"/>
      <c r="H53" s="63">
        <v>477889.72</v>
      </c>
      <c r="I53" s="63"/>
      <c r="J53" s="63"/>
      <c r="K53" s="63">
        <v>40846.959999999999</v>
      </c>
      <c r="L53" s="63"/>
      <c r="M53" s="63"/>
      <c r="N53" s="63">
        <v>47366.25</v>
      </c>
      <c r="O53" s="63"/>
      <c r="P53" s="63"/>
      <c r="Q53" s="63">
        <v>522652.85000000009</v>
      </c>
      <c r="R53" s="62"/>
      <c r="S53" s="496" t="s">
        <v>937</v>
      </c>
    </row>
    <row r="54" spans="1:19" s="66" customFormat="1" outlineLevel="1" x14ac:dyDescent="0.2">
      <c r="A54" s="58"/>
      <c r="B54" s="59"/>
      <c r="C54" s="62">
        <v>11130004</v>
      </c>
      <c r="D54" s="62" t="s">
        <v>261</v>
      </c>
      <c r="E54" s="63">
        <v>245928.89</v>
      </c>
      <c r="F54" s="63"/>
      <c r="G54" s="63"/>
      <c r="H54" s="63">
        <v>98002.05</v>
      </c>
      <c r="I54" s="63"/>
      <c r="J54" s="63"/>
      <c r="K54" s="63">
        <v>88851.44</v>
      </c>
      <c r="L54" s="63"/>
      <c r="M54" s="63"/>
      <c r="N54" s="63">
        <v>766502.77</v>
      </c>
      <c r="O54" s="63"/>
      <c r="P54" s="63"/>
      <c r="Q54" s="63">
        <v>87530.38</v>
      </c>
      <c r="R54" s="62"/>
      <c r="S54" s="496" t="s">
        <v>937</v>
      </c>
    </row>
    <row r="55" spans="1:19" s="66" customFormat="1" outlineLevel="1" x14ac:dyDescent="0.2">
      <c r="A55" s="58"/>
      <c r="B55" s="59"/>
      <c r="C55" s="62">
        <v>11130005</v>
      </c>
      <c r="D55" s="62" t="s">
        <v>262</v>
      </c>
      <c r="E55" s="63"/>
      <c r="F55" s="63"/>
      <c r="G55" s="63"/>
      <c r="H55" s="63">
        <v>330852.36999999988</v>
      </c>
      <c r="I55" s="63"/>
      <c r="J55" s="63"/>
      <c r="K55" s="63">
        <v>444897.76999999996</v>
      </c>
      <c r="L55" s="63"/>
      <c r="M55" s="63"/>
      <c r="N55" s="63"/>
      <c r="O55" s="63"/>
      <c r="P55" s="63"/>
      <c r="Q55" s="63">
        <v>317503.65999999997</v>
      </c>
      <c r="R55" s="62"/>
      <c r="S55" s="496" t="s">
        <v>937</v>
      </c>
    </row>
    <row r="56" spans="1:19" s="66" customFormat="1" outlineLevel="1" x14ac:dyDescent="0.2">
      <c r="A56" s="58"/>
      <c r="B56" s="59"/>
      <c r="C56" s="62"/>
      <c r="E56" s="63" t="s">
        <v>264</v>
      </c>
      <c r="F56" s="63" t="s">
        <v>264</v>
      </c>
      <c r="G56" s="63" t="s">
        <v>264</v>
      </c>
      <c r="H56" s="63" t="s">
        <v>264</v>
      </c>
      <c r="I56" s="63" t="s">
        <v>264</v>
      </c>
      <c r="J56" s="63" t="s">
        <v>264</v>
      </c>
      <c r="K56" s="63" t="s">
        <v>264</v>
      </c>
      <c r="L56" s="63" t="s">
        <v>264</v>
      </c>
      <c r="M56" s="63" t="s">
        <v>264</v>
      </c>
      <c r="N56" s="63" t="s">
        <v>264</v>
      </c>
      <c r="O56" s="63" t="s">
        <v>264</v>
      </c>
      <c r="P56" s="63" t="s">
        <v>264</v>
      </c>
      <c r="Q56" s="63" t="s">
        <v>264</v>
      </c>
      <c r="R56" s="62"/>
      <c r="S56" s="62"/>
    </row>
    <row r="57" spans="1:19" s="66" customFormat="1" outlineLevel="1" x14ac:dyDescent="0.2">
      <c r="A57" s="58"/>
      <c r="B57" s="59"/>
      <c r="C57" s="62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2"/>
      <c r="S57" s="62"/>
    </row>
    <row r="58" spans="1:19" s="66" customFormat="1" x14ac:dyDescent="0.2">
      <c r="A58" s="495" t="s">
        <v>382</v>
      </c>
      <c r="B58" s="59" t="s">
        <v>408</v>
      </c>
      <c r="C58" s="64" t="s">
        <v>25</v>
      </c>
      <c r="D58" s="64" t="s">
        <v>24</v>
      </c>
      <c r="E58" s="65">
        <f>SUM(E51:E57)</f>
        <v>878616.53</v>
      </c>
      <c r="F58" s="65"/>
      <c r="G58" s="65"/>
      <c r="H58" s="65">
        <f>SUM(H51:H57)</f>
        <v>1251645.8999999999</v>
      </c>
      <c r="I58" s="65"/>
      <c r="J58" s="65"/>
      <c r="K58" s="65">
        <f>SUM(K51:K57)</f>
        <v>1007897.4099999999</v>
      </c>
      <c r="L58" s="65"/>
      <c r="M58" s="65"/>
      <c r="N58" s="65">
        <f>SUM(N51:N57)</f>
        <v>1753174.12</v>
      </c>
      <c r="O58" s="65"/>
      <c r="P58" s="65"/>
      <c r="Q58" s="65">
        <f>SUM(Q51:Q57)</f>
        <v>1570918.57</v>
      </c>
      <c r="R58" s="68">
        <f>+Q58-P58</f>
        <v>1570918.57</v>
      </c>
      <c r="S58" s="62"/>
    </row>
    <row r="59" spans="1:19" s="66" customFormat="1" outlineLevel="1" x14ac:dyDescent="0.2">
      <c r="A59" s="58"/>
      <c r="B59" s="59"/>
      <c r="C59" s="62"/>
      <c r="D59" s="62" t="s">
        <v>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7"/>
      <c r="S59" s="67"/>
    </row>
    <row r="60" spans="1:19" s="66" customFormat="1" outlineLevel="1" x14ac:dyDescent="0.2">
      <c r="A60" s="58"/>
      <c r="B60" s="59"/>
      <c r="C60" s="62">
        <v>1114</v>
      </c>
      <c r="D60" s="62" t="s">
        <v>26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2"/>
      <c r="S60" s="494" t="s">
        <v>937</v>
      </c>
    </row>
    <row r="61" spans="1:19" s="66" customFormat="1" outlineLevel="1" x14ac:dyDescent="0.2">
      <c r="A61" s="58"/>
      <c r="B61" s="59"/>
      <c r="C61" s="62">
        <v>11140001</v>
      </c>
      <c r="D61" s="62" t="s">
        <v>27</v>
      </c>
      <c r="E61" s="63">
        <v>162324.12</v>
      </c>
      <c r="F61" s="63">
        <v>316863.71000000002</v>
      </c>
      <c r="G61" s="63">
        <v>323433.88</v>
      </c>
      <c r="H61" s="63">
        <v>281473.71999999997</v>
      </c>
      <c r="I61" s="63">
        <v>224201.53</v>
      </c>
      <c r="J61" s="63">
        <v>283439.39</v>
      </c>
      <c r="K61" s="63">
        <v>162098.65</v>
      </c>
      <c r="L61" s="63">
        <v>224384.36</v>
      </c>
      <c r="M61" s="63">
        <v>255476.51</v>
      </c>
      <c r="N61" s="63">
        <v>115646.26</v>
      </c>
      <c r="O61" s="63">
        <v>187922.08</v>
      </c>
      <c r="P61" s="63">
        <v>176858.3</v>
      </c>
      <c r="Q61" s="63">
        <v>48576.710000000006</v>
      </c>
      <c r="R61" s="68"/>
      <c r="S61" s="496" t="s">
        <v>937</v>
      </c>
    </row>
    <row r="62" spans="1:19" s="66" customFormat="1" outlineLevel="1" x14ac:dyDescent="0.2">
      <c r="A62" s="58"/>
      <c r="B62" s="59"/>
      <c r="C62" s="62">
        <v>11140002</v>
      </c>
      <c r="D62" s="62" t="s">
        <v>28</v>
      </c>
      <c r="E62" s="63">
        <v>792464.85</v>
      </c>
      <c r="F62" s="63">
        <v>986799.72</v>
      </c>
      <c r="G62" s="63">
        <v>743304.88</v>
      </c>
      <c r="H62" s="63">
        <v>394952.3</v>
      </c>
      <c r="I62" s="63">
        <v>213802.58</v>
      </c>
      <c r="J62" s="63">
        <v>350975.18</v>
      </c>
      <c r="K62" s="63">
        <v>669218.99</v>
      </c>
      <c r="L62" s="63">
        <v>1038064.21</v>
      </c>
      <c r="M62" s="63">
        <v>919300.95</v>
      </c>
      <c r="N62" s="63">
        <v>496186.15</v>
      </c>
      <c r="O62" s="63">
        <v>918803.97</v>
      </c>
      <c r="P62" s="63">
        <v>1130439.24</v>
      </c>
      <c r="Q62" s="63">
        <v>165592.87</v>
      </c>
      <c r="R62" s="62"/>
      <c r="S62" s="496" t="s">
        <v>937</v>
      </c>
    </row>
    <row r="63" spans="1:19" s="66" customFormat="1" outlineLevel="1" x14ac:dyDescent="0.2">
      <c r="A63" s="58"/>
      <c r="B63" s="59"/>
      <c r="C63" s="62">
        <v>11140003</v>
      </c>
      <c r="D63" s="62" t="s">
        <v>29</v>
      </c>
      <c r="E63" s="63">
        <v>543306.59</v>
      </c>
      <c r="F63" s="63">
        <v>1060557.58</v>
      </c>
      <c r="G63" s="63">
        <v>1559190.27</v>
      </c>
      <c r="H63" s="63">
        <v>1356911.54</v>
      </c>
      <c r="I63" s="63">
        <v>1080817.25</v>
      </c>
      <c r="J63" s="63">
        <v>1366387.19</v>
      </c>
      <c r="K63" s="63">
        <v>781434.74</v>
      </c>
      <c r="L63" s="63">
        <v>1081698.25</v>
      </c>
      <c r="M63" s="63">
        <v>1231585.71</v>
      </c>
      <c r="N63" s="63">
        <v>557500.23</v>
      </c>
      <c r="O63" s="63">
        <v>905923.35</v>
      </c>
      <c r="P63" s="63">
        <v>852587.25</v>
      </c>
      <c r="Q63" s="63">
        <v>278131.12</v>
      </c>
      <c r="R63" s="62"/>
      <c r="S63" s="496" t="s">
        <v>937</v>
      </c>
    </row>
    <row r="64" spans="1:19" s="66" customFormat="1" outlineLevel="1" x14ac:dyDescent="0.2">
      <c r="A64" s="58"/>
      <c r="B64" s="59"/>
      <c r="C64" s="62"/>
      <c r="D64" s="62" t="s">
        <v>2</v>
      </c>
      <c r="E64" s="63" t="s">
        <v>264</v>
      </c>
      <c r="F64" s="63" t="s">
        <v>264</v>
      </c>
      <c r="G64" s="63" t="s">
        <v>264</v>
      </c>
      <c r="H64" s="63" t="s">
        <v>264</v>
      </c>
      <c r="I64" s="63" t="s">
        <v>264</v>
      </c>
      <c r="J64" s="63" t="s">
        <v>264</v>
      </c>
      <c r="K64" s="63" t="s">
        <v>264</v>
      </c>
      <c r="L64" s="63" t="s">
        <v>264</v>
      </c>
      <c r="M64" s="63" t="s">
        <v>264</v>
      </c>
      <c r="N64" s="63" t="s">
        <v>264</v>
      </c>
      <c r="O64" s="63" t="s">
        <v>264</v>
      </c>
      <c r="P64" s="63" t="s">
        <v>264</v>
      </c>
      <c r="Q64" s="63" t="s">
        <v>264</v>
      </c>
      <c r="R64" s="62"/>
      <c r="S64" s="62"/>
    </row>
    <row r="65" spans="1:19" s="66" customFormat="1" x14ac:dyDescent="0.2">
      <c r="A65" s="495" t="s">
        <v>382</v>
      </c>
      <c r="B65" s="59" t="s">
        <v>408</v>
      </c>
      <c r="C65" s="64" t="s">
        <v>30</v>
      </c>
      <c r="D65" s="64" t="s">
        <v>26</v>
      </c>
      <c r="E65" s="65">
        <f>SUM(E61:E64)</f>
        <v>1498095.56</v>
      </c>
      <c r="F65" s="65">
        <f>SUM(F61:F64)</f>
        <v>2364221.0099999998</v>
      </c>
      <c r="G65" s="65">
        <f>SUM(G61:G64)</f>
        <v>2625929.0300000003</v>
      </c>
      <c r="H65" s="65">
        <f t="shared" ref="H65:Q65" si="6">SUM(H61:H64)</f>
        <v>2033337.56</v>
      </c>
      <c r="I65" s="65">
        <f t="shared" si="6"/>
        <v>1518821.3599999999</v>
      </c>
      <c r="J65" s="65">
        <f t="shared" si="6"/>
        <v>2000801.76</v>
      </c>
      <c r="K65" s="65">
        <f t="shared" si="6"/>
        <v>1612752.38</v>
      </c>
      <c r="L65" s="65">
        <f t="shared" si="6"/>
        <v>2344146.8199999998</v>
      </c>
      <c r="M65" s="65">
        <f t="shared" si="6"/>
        <v>2406363.17</v>
      </c>
      <c r="N65" s="65">
        <f t="shared" si="6"/>
        <v>1169332.6400000001</v>
      </c>
      <c r="O65" s="65">
        <f t="shared" si="6"/>
        <v>2012649.4</v>
      </c>
      <c r="P65" s="65">
        <f t="shared" si="6"/>
        <v>2159884.79</v>
      </c>
      <c r="Q65" s="65">
        <f t="shared" si="6"/>
        <v>492300.7</v>
      </c>
      <c r="R65" s="68">
        <f>+Q65-P65</f>
        <v>-1667584.09</v>
      </c>
      <c r="S65" s="62"/>
    </row>
    <row r="66" spans="1:19" s="66" customFormat="1" outlineLevel="1" x14ac:dyDescent="0.2">
      <c r="A66" s="58"/>
      <c r="B66" s="59"/>
      <c r="C66" s="62"/>
      <c r="D66" s="62" t="s">
        <v>2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2"/>
      <c r="S66" s="62"/>
    </row>
    <row r="67" spans="1:19" s="66" customFormat="1" outlineLevel="1" x14ac:dyDescent="0.2">
      <c r="A67" s="58"/>
      <c r="B67" s="59"/>
      <c r="C67" s="62">
        <v>1115</v>
      </c>
      <c r="D67" s="62" t="s">
        <v>31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2"/>
      <c r="S67" s="494" t="s">
        <v>937</v>
      </c>
    </row>
    <row r="68" spans="1:19" s="66" customFormat="1" outlineLevel="1" x14ac:dyDescent="0.2">
      <c r="A68" s="58"/>
      <c r="B68" s="59"/>
      <c r="C68" s="62">
        <v>11150001</v>
      </c>
      <c r="D68" s="62" t="s">
        <v>249</v>
      </c>
      <c r="E68" s="63">
        <v>5220846.13</v>
      </c>
      <c r="F68" s="63">
        <v>5468480.0439999998</v>
      </c>
      <c r="G68" s="63">
        <v>5915484.3119999999</v>
      </c>
      <c r="H68" s="63">
        <v>5134332.9020000007</v>
      </c>
      <c r="I68" s="63">
        <v>6127122.0099999998</v>
      </c>
      <c r="J68" s="63">
        <v>6052717.0279999999</v>
      </c>
      <c r="K68" s="63">
        <v>4684977.7920000004</v>
      </c>
      <c r="L68" s="63">
        <v>5601327.1459999997</v>
      </c>
      <c r="M68" s="63">
        <v>6241665.2760000005</v>
      </c>
      <c r="N68" s="63">
        <v>5104989.0940000005</v>
      </c>
      <c r="O68" s="63">
        <v>5810920.6399999997</v>
      </c>
      <c r="P68" s="63">
        <v>5805358.0240000002</v>
      </c>
      <c r="Q68" s="63">
        <v>3585000</v>
      </c>
      <c r="R68" s="69"/>
      <c r="S68" s="496" t="s">
        <v>937</v>
      </c>
    </row>
    <row r="69" spans="1:19" s="66" customFormat="1" outlineLevel="1" x14ac:dyDescent="0.2">
      <c r="A69" s="58"/>
      <c r="B69" s="59"/>
      <c r="C69" s="62">
        <v>11150002</v>
      </c>
      <c r="D69" s="62" t="s">
        <v>250</v>
      </c>
      <c r="E69" s="63">
        <v>4756643.82</v>
      </c>
      <c r="F69" s="63">
        <v>4946014.5140000004</v>
      </c>
      <c r="G69" s="63">
        <v>5810774.5920000002</v>
      </c>
      <c r="H69" s="63">
        <v>4760717.972000001</v>
      </c>
      <c r="I69" s="63">
        <v>5374855.1199999992</v>
      </c>
      <c r="J69" s="63">
        <v>5436582.2680000002</v>
      </c>
      <c r="K69" s="63">
        <v>4260288.5720000006</v>
      </c>
      <c r="L69" s="63">
        <v>4895293.6160000004</v>
      </c>
      <c r="M69" s="63">
        <v>5754155.9560000002</v>
      </c>
      <c r="N69" s="63">
        <v>3944664.7940000002</v>
      </c>
      <c r="O69" s="63">
        <v>5152585.5199999996</v>
      </c>
      <c r="P69" s="63">
        <v>5218077.6140000001</v>
      </c>
      <c r="Q69" s="63">
        <v>16134670.99</v>
      </c>
      <c r="R69" s="62"/>
      <c r="S69" s="496" t="s">
        <v>937</v>
      </c>
    </row>
    <row r="70" spans="1:19" s="66" customFormat="1" outlineLevel="1" x14ac:dyDescent="0.2">
      <c r="A70" s="58"/>
      <c r="B70" s="59"/>
      <c r="C70" s="62">
        <v>11150005</v>
      </c>
      <c r="D70" s="62" t="s">
        <v>251</v>
      </c>
      <c r="E70" s="63">
        <v>4779917.75</v>
      </c>
      <c r="F70" s="63">
        <v>4946157.2340000002</v>
      </c>
      <c r="G70" s="63">
        <v>5123647.6119999997</v>
      </c>
      <c r="H70" s="63">
        <v>4833167.8920000009</v>
      </c>
      <c r="I70" s="63">
        <v>5316721.0199999996</v>
      </c>
      <c r="J70" s="63">
        <v>5450016.2579999994</v>
      </c>
      <c r="K70" s="63">
        <v>4463502.1520000007</v>
      </c>
      <c r="L70" s="63">
        <v>5012210.2360000005</v>
      </c>
      <c r="M70" s="63">
        <v>5659564.8459999999</v>
      </c>
      <c r="N70" s="63">
        <v>4622661.6639999999</v>
      </c>
      <c r="O70" s="63">
        <v>5024747.76</v>
      </c>
      <c r="P70" s="63">
        <v>5047970.6340000005</v>
      </c>
      <c r="Q70" s="63">
        <v>1827807.9699999951</v>
      </c>
      <c r="R70" s="68"/>
      <c r="S70" s="496" t="s">
        <v>937</v>
      </c>
    </row>
    <row r="71" spans="1:19" outlineLevel="1" x14ac:dyDescent="0.2">
      <c r="C71" s="62">
        <v>11150010</v>
      </c>
      <c r="D71" s="62" t="s">
        <v>252</v>
      </c>
      <c r="E71" s="63">
        <v>6558848.2300000004</v>
      </c>
      <c r="F71" s="63">
        <v>6465549.4240000006</v>
      </c>
      <c r="G71" s="63">
        <v>6789142.9220000003</v>
      </c>
      <c r="H71" s="63">
        <v>6239402.7520000003</v>
      </c>
      <c r="I71" s="63">
        <v>5745563.9100000001</v>
      </c>
      <c r="J71" s="63">
        <v>5084208.648</v>
      </c>
      <c r="K71" s="63">
        <v>4119731.1420000005</v>
      </c>
      <c r="L71" s="63">
        <v>4599340.1560000004</v>
      </c>
      <c r="M71" s="63">
        <v>5228662.3859999999</v>
      </c>
      <c r="N71" s="63">
        <v>4311793.5439999998</v>
      </c>
      <c r="O71" s="63">
        <v>4740621.38</v>
      </c>
      <c r="P71" s="63">
        <v>4687187.8940000003</v>
      </c>
      <c r="Q71" s="63">
        <v>325627.28000000003</v>
      </c>
      <c r="S71" s="496" t="s">
        <v>937</v>
      </c>
    </row>
    <row r="72" spans="1:19" outlineLevel="1" x14ac:dyDescent="0.2">
      <c r="C72" s="62">
        <v>11150013</v>
      </c>
      <c r="D72" s="62" t="s">
        <v>32</v>
      </c>
      <c r="E72" s="63">
        <v>5790421.6299999999</v>
      </c>
      <c r="F72" s="63">
        <v>3902078.8540000003</v>
      </c>
      <c r="G72" s="63">
        <v>4114017.352</v>
      </c>
      <c r="H72" s="63">
        <v>5974951.9920000006</v>
      </c>
      <c r="I72" s="63">
        <v>4339126.6399999997</v>
      </c>
      <c r="J72" s="63">
        <v>4271454.358</v>
      </c>
      <c r="K72" s="63">
        <v>5726562.5920000002</v>
      </c>
      <c r="L72" s="63">
        <v>4063522.8360000001</v>
      </c>
      <c r="M72" s="63">
        <v>4754363.966</v>
      </c>
      <c r="N72" s="63">
        <v>4513929.1740000006</v>
      </c>
      <c r="O72" s="63">
        <v>4244827.25</v>
      </c>
      <c r="P72" s="63">
        <v>4246155.3840000005</v>
      </c>
      <c r="Q72" s="63">
        <v>1296856.3899999999</v>
      </c>
      <c r="R72" s="68"/>
      <c r="S72" s="496" t="s">
        <v>937</v>
      </c>
    </row>
    <row r="73" spans="1:19" outlineLevel="1" x14ac:dyDescent="0.2">
      <c r="D73" s="62" t="s">
        <v>2</v>
      </c>
      <c r="E73" s="63" t="s">
        <v>264</v>
      </c>
      <c r="F73" s="63" t="s">
        <v>264</v>
      </c>
      <c r="G73" s="63" t="s">
        <v>264</v>
      </c>
      <c r="H73" s="63" t="s">
        <v>264</v>
      </c>
      <c r="I73" s="63" t="s">
        <v>264</v>
      </c>
      <c r="J73" s="63" t="s">
        <v>264</v>
      </c>
      <c r="K73" s="63" t="s">
        <v>264</v>
      </c>
      <c r="L73" s="63" t="s">
        <v>264</v>
      </c>
      <c r="M73" s="63" t="s">
        <v>264</v>
      </c>
      <c r="N73" s="63" t="s">
        <v>264</v>
      </c>
      <c r="O73" s="63" t="s">
        <v>264</v>
      </c>
      <c r="P73" s="63" t="s">
        <v>264</v>
      </c>
      <c r="Q73" s="63" t="s">
        <v>264</v>
      </c>
      <c r="R73" s="68"/>
      <c r="S73" s="68"/>
    </row>
    <row r="74" spans="1:19" x14ac:dyDescent="0.2">
      <c r="A74" s="495" t="s">
        <v>382</v>
      </c>
      <c r="B74" s="59" t="s">
        <v>408</v>
      </c>
      <c r="C74" s="64" t="s">
        <v>33</v>
      </c>
      <c r="D74" s="64" t="s">
        <v>31</v>
      </c>
      <c r="E74" s="65">
        <f t="shared" ref="E74:P74" si="7">SUM(E68:E72)</f>
        <v>27106677.559999999</v>
      </c>
      <c r="F74" s="65">
        <f t="shared" si="7"/>
        <v>25728280.07</v>
      </c>
      <c r="G74" s="65">
        <f t="shared" si="7"/>
        <v>27753066.789999999</v>
      </c>
      <c r="H74" s="65">
        <f t="shared" si="7"/>
        <v>26942573.510000005</v>
      </c>
      <c r="I74" s="65">
        <f t="shared" si="7"/>
        <v>26903388.699999999</v>
      </c>
      <c r="J74" s="65">
        <f t="shared" si="7"/>
        <v>26294978.559999999</v>
      </c>
      <c r="K74" s="65">
        <f t="shared" si="7"/>
        <v>23255062.25</v>
      </c>
      <c r="L74" s="65">
        <f t="shared" si="7"/>
        <v>24171693.989999998</v>
      </c>
      <c r="M74" s="65">
        <f t="shared" si="7"/>
        <v>27638412.43</v>
      </c>
      <c r="N74" s="65">
        <f t="shared" si="7"/>
        <v>22498038.270000003</v>
      </c>
      <c r="O74" s="65">
        <f t="shared" si="7"/>
        <v>24973702.550000001</v>
      </c>
      <c r="P74" s="65">
        <f t="shared" si="7"/>
        <v>25004749.550000001</v>
      </c>
      <c r="Q74" s="65">
        <f>SUM(Q68:Q72)</f>
        <v>23169962.629999999</v>
      </c>
      <c r="R74" s="68">
        <f>+Q74-P74</f>
        <v>-1834786.9200000018</v>
      </c>
    </row>
    <row r="75" spans="1:19" outlineLevel="1" x14ac:dyDescent="0.2">
      <c r="D75" s="62" t="s">
        <v>2</v>
      </c>
    </row>
    <row r="76" spans="1:19" outlineLevel="1" x14ac:dyDescent="0.2">
      <c r="C76" s="62">
        <v>1117</v>
      </c>
      <c r="D76" s="62" t="s">
        <v>34</v>
      </c>
      <c r="S76" s="494" t="s">
        <v>937</v>
      </c>
    </row>
    <row r="77" spans="1:19" outlineLevel="1" x14ac:dyDescent="0.2">
      <c r="C77" s="62">
        <v>11170001</v>
      </c>
      <c r="D77" s="62" t="s">
        <v>34</v>
      </c>
      <c r="H77" s="63">
        <v>1612633</v>
      </c>
      <c r="K77" s="63">
        <v>1499584</v>
      </c>
      <c r="N77" s="63">
        <v>2050510</v>
      </c>
      <c r="Q77" s="63">
        <v>0</v>
      </c>
      <c r="S77" s="496" t="s">
        <v>937</v>
      </c>
    </row>
    <row r="78" spans="1:19" outlineLevel="1" x14ac:dyDescent="0.2">
      <c r="D78" s="62" t="s">
        <v>2</v>
      </c>
      <c r="E78" s="63" t="s">
        <v>264</v>
      </c>
      <c r="F78" s="63" t="s">
        <v>264</v>
      </c>
      <c r="G78" s="63" t="s">
        <v>264</v>
      </c>
      <c r="H78" s="63" t="s">
        <v>264</v>
      </c>
      <c r="I78" s="63" t="s">
        <v>264</v>
      </c>
      <c r="J78" s="63" t="s">
        <v>264</v>
      </c>
      <c r="K78" s="63" t="s">
        <v>264</v>
      </c>
      <c r="L78" s="63" t="s">
        <v>264</v>
      </c>
      <c r="M78" s="63" t="s">
        <v>264</v>
      </c>
      <c r="N78" s="63" t="s">
        <v>264</v>
      </c>
      <c r="O78" s="63" t="s">
        <v>264</v>
      </c>
      <c r="P78" s="63" t="s">
        <v>264</v>
      </c>
      <c r="Q78" s="63" t="s">
        <v>264</v>
      </c>
    </row>
    <row r="79" spans="1:19" x14ac:dyDescent="0.2">
      <c r="A79" s="495" t="s">
        <v>382</v>
      </c>
      <c r="B79" s="59" t="s">
        <v>408</v>
      </c>
      <c r="C79" s="64" t="s">
        <v>35</v>
      </c>
      <c r="D79" s="64" t="s">
        <v>34</v>
      </c>
      <c r="E79" s="65"/>
      <c r="F79" s="65"/>
      <c r="G79" s="65"/>
      <c r="H79" s="65">
        <v>1612633</v>
      </c>
      <c r="I79" s="65"/>
      <c r="J79" s="65"/>
      <c r="K79" s="65">
        <v>1499584</v>
      </c>
      <c r="L79" s="65"/>
      <c r="M79" s="65"/>
      <c r="N79" s="65">
        <v>2050510</v>
      </c>
      <c r="O79" s="65"/>
      <c r="P79" s="65"/>
      <c r="Q79" s="65">
        <v>0</v>
      </c>
      <c r="R79" s="68"/>
    </row>
    <row r="80" spans="1:19" outlineLevel="1" x14ac:dyDescent="0.2">
      <c r="D80" s="62" t="s">
        <v>2</v>
      </c>
    </row>
    <row r="81" spans="1:19" outlineLevel="1" x14ac:dyDescent="0.2">
      <c r="C81" s="62">
        <v>1118</v>
      </c>
      <c r="D81" s="62" t="s">
        <v>36</v>
      </c>
      <c r="S81" s="494" t="s">
        <v>937</v>
      </c>
    </row>
    <row r="82" spans="1:19" s="66" customFormat="1" outlineLevel="1" x14ac:dyDescent="0.2">
      <c r="A82" s="58"/>
      <c r="B82" s="59"/>
      <c r="C82" s="62">
        <v>11180001</v>
      </c>
      <c r="D82" s="62" t="s">
        <v>36</v>
      </c>
      <c r="E82" s="63">
        <v>-5860176.4800000004</v>
      </c>
      <c r="F82" s="63">
        <v>-5860176.4800000004</v>
      </c>
      <c r="G82" s="63">
        <v>-5860176.4800000004</v>
      </c>
      <c r="H82" s="63">
        <v>-4867742.4800000004</v>
      </c>
      <c r="I82" s="63">
        <v>-4867742.4800000004</v>
      </c>
      <c r="J82" s="63">
        <v>-4222280.79</v>
      </c>
      <c r="K82" s="63">
        <v>-4387324.21</v>
      </c>
      <c r="L82" s="63">
        <v>-4387324.21</v>
      </c>
      <c r="M82" s="63">
        <v>-4387324.21</v>
      </c>
      <c r="N82" s="63">
        <v>-3701912.21</v>
      </c>
      <c r="O82" s="63">
        <v>-3701912.21</v>
      </c>
      <c r="P82" s="63">
        <v>-3701912.21</v>
      </c>
      <c r="Q82" s="63">
        <v>-1533803.21</v>
      </c>
      <c r="R82" s="68"/>
      <c r="S82" s="496" t="s">
        <v>937</v>
      </c>
    </row>
    <row r="83" spans="1:19" s="66" customFormat="1" outlineLevel="1" x14ac:dyDescent="0.2">
      <c r="A83" s="58"/>
      <c r="B83" s="59"/>
      <c r="C83" s="62"/>
      <c r="D83" s="62" t="s">
        <v>2</v>
      </c>
      <c r="E83" s="63" t="s">
        <v>264</v>
      </c>
      <c r="F83" s="63" t="s">
        <v>264</v>
      </c>
      <c r="G83" s="63" t="s">
        <v>264</v>
      </c>
      <c r="H83" s="63" t="s">
        <v>264</v>
      </c>
      <c r="I83" s="63" t="s">
        <v>264</v>
      </c>
      <c r="J83" s="63" t="s">
        <v>264</v>
      </c>
      <c r="K83" s="63" t="s">
        <v>264</v>
      </c>
      <c r="L83" s="63" t="s">
        <v>264</v>
      </c>
      <c r="M83" s="63" t="s">
        <v>264</v>
      </c>
      <c r="N83" s="63" t="s">
        <v>264</v>
      </c>
      <c r="O83" s="63" t="s">
        <v>264</v>
      </c>
      <c r="P83" s="63" t="s">
        <v>264</v>
      </c>
      <c r="Q83" s="63" t="s">
        <v>264</v>
      </c>
      <c r="R83" s="62"/>
      <c r="S83" s="62"/>
    </row>
    <row r="84" spans="1:19" s="66" customFormat="1" x14ac:dyDescent="0.2">
      <c r="A84" s="495" t="s">
        <v>382</v>
      </c>
      <c r="B84" s="59" t="str">
        <f>+RIGHT(C84,5)</f>
        <v xml:space="preserve">1118 </v>
      </c>
      <c r="C84" s="64" t="s">
        <v>37</v>
      </c>
      <c r="D84" s="64" t="s">
        <v>36</v>
      </c>
      <c r="E84" s="65">
        <f>+E82</f>
        <v>-5860176.4800000004</v>
      </c>
      <c r="F84" s="65">
        <f t="shared" ref="F84:Q84" si="8">+F82</f>
        <v>-5860176.4800000004</v>
      </c>
      <c r="G84" s="65">
        <f t="shared" si="8"/>
        <v>-5860176.4800000004</v>
      </c>
      <c r="H84" s="65">
        <f t="shared" si="8"/>
        <v>-4867742.4800000004</v>
      </c>
      <c r="I84" s="65">
        <f t="shared" si="8"/>
        <v>-4867742.4800000004</v>
      </c>
      <c r="J84" s="65">
        <f t="shared" si="8"/>
        <v>-4222280.79</v>
      </c>
      <c r="K84" s="65">
        <f t="shared" si="8"/>
        <v>-4387324.21</v>
      </c>
      <c r="L84" s="65">
        <f t="shared" si="8"/>
        <v>-4387324.21</v>
      </c>
      <c r="M84" s="65">
        <f t="shared" si="8"/>
        <v>-4387324.21</v>
      </c>
      <c r="N84" s="65">
        <f t="shared" si="8"/>
        <v>-3701912.21</v>
      </c>
      <c r="O84" s="65">
        <f t="shared" si="8"/>
        <v>-3701912.21</v>
      </c>
      <c r="P84" s="65">
        <f t="shared" si="8"/>
        <v>-3701912.21</v>
      </c>
      <c r="Q84" s="65">
        <f t="shared" si="8"/>
        <v>-1533803.21</v>
      </c>
      <c r="R84" s="62"/>
      <c r="S84" s="62"/>
    </row>
    <row r="85" spans="1:19" s="66" customFormat="1" outlineLevel="1" x14ac:dyDescent="0.2">
      <c r="A85" s="58"/>
      <c r="B85" s="59"/>
      <c r="C85" s="62"/>
      <c r="D85" s="62" t="s">
        <v>2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2"/>
      <c r="S85" s="62"/>
    </row>
    <row r="86" spans="1:19" s="66" customFormat="1" outlineLevel="1" x14ac:dyDescent="0.2">
      <c r="A86" s="58"/>
      <c r="B86" s="59"/>
      <c r="C86" s="62">
        <v>1301</v>
      </c>
      <c r="D86" s="62" t="s">
        <v>71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2"/>
      <c r="S86" s="494" t="s">
        <v>938</v>
      </c>
    </row>
    <row r="87" spans="1:19" s="66" customFormat="1" outlineLevel="1" x14ac:dyDescent="0.2">
      <c r="A87" s="58"/>
      <c r="B87" s="59"/>
      <c r="C87" s="62">
        <v>13010001</v>
      </c>
      <c r="D87" s="62" t="s">
        <v>71</v>
      </c>
      <c r="E87" s="63">
        <v>141349.69000000006</v>
      </c>
      <c r="F87" s="63">
        <v>69058.48</v>
      </c>
      <c r="G87" s="63">
        <v>259926.76</v>
      </c>
      <c r="H87" s="63">
        <v>176608.68000000002</v>
      </c>
      <c r="I87" s="63">
        <v>76976.969999999972</v>
      </c>
      <c r="J87" s="63">
        <v>120490.65999999996</v>
      </c>
      <c r="K87" s="63">
        <v>780869.77</v>
      </c>
      <c r="L87" s="63">
        <v>596307.42000000004</v>
      </c>
      <c r="M87" s="63">
        <v>79049.36</v>
      </c>
      <c r="N87" s="63">
        <v>243385.82</v>
      </c>
      <c r="O87" s="63">
        <v>330548.36</v>
      </c>
      <c r="P87" s="63">
        <v>244622.83000000002</v>
      </c>
      <c r="Q87" s="63">
        <v>355084.01</v>
      </c>
      <c r="R87" s="62"/>
      <c r="S87" s="494" t="s">
        <v>938</v>
      </c>
    </row>
    <row r="88" spans="1:19" s="66" customFormat="1" outlineLevel="1" x14ac:dyDescent="0.2">
      <c r="A88" s="58"/>
      <c r="B88" s="59"/>
      <c r="C88" s="62">
        <v>13010003</v>
      </c>
      <c r="D88" s="62" t="s">
        <v>256</v>
      </c>
      <c r="E88" s="63">
        <v>236051.34</v>
      </c>
      <c r="F88" s="63">
        <v>115041.93</v>
      </c>
      <c r="G88" s="63">
        <v>64331.43</v>
      </c>
      <c r="H88" s="63">
        <v>191802.1</v>
      </c>
      <c r="I88" s="63">
        <v>224228.14</v>
      </c>
      <c r="J88" s="63">
        <v>326810.09000000003</v>
      </c>
      <c r="K88" s="63">
        <v>85934.2</v>
      </c>
      <c r="L88" s="63">
        <v>88808.62</v>
      </c>
      <c r="M88" s="63">
        <v>89618.67</v>
      </c>
      <c r="N88" s="63">
        <v>100768.5</v>
      </c>
      <c r="O88" s="63">
        <v>94527.3</v>
      </c>
      <c r="P88" s="63">
        <v>94555.06</v>
      </c>
      <c r="Q88" s="63">
        <v>151280.85999999999</v>
      </c>
      <c r="R88" s="68"/>
      <c r="S88" s="494" t="s">
        <v>938</v>
      </c>
    </row>
    <row r="89" spans="1:19" s="66" customFormat="1" outlineLevel="1" x14ac:dyDescent="0.2">
      <c r="A89" s="58"/>
      <c r="B89" s="59"/>
      <c r="C89" s="62"/>
      <c r="D89" s="62" t="s">
        <v>2</v>
      </c>
      <c r="E89" s="63" t="s">
        <v>264</v>
      </c>
      <c r="F89" s="63" t="s">
        <v>264</v>
      </c>
      <c r="G89" s="63" t="s">
        <v>264</v>
      </c>
      <c r="H89" s="63" t="s">
        <v>264</v>
      </c>
      <c r="I89" s="63" t="s">
        <v>264</v>
      </c>
      <c r="J89" s="63" t="s">
        <v>264</v>
      </c>
      <c r="K89" s="63" t="s">
        <v>264</v>
      </c>
      <c r="L89" s="63" t="s">
        <v>264</v>
      </c>
      <c r="M89" s="63" t="s">
        <v>264</v>
      </c>
      <c r="N89" s="63" t="s">
        <v>264</v>
      </c>
      <c r="O89" s="63" t="s">
        <v>264</v>
      </c>
      <c r="P89" s="63" t="s">
        <v>264</v>
      </c>
      <c r="Q89" s="63" t="s">
        <v>264</v>
      </c>
      <c r="R89" s="62"/>
      <c r="S89" s="62"/>
    </row>
    <row r="90" spans="1:19" s="66" customFormat="1" x14ac:dyDescent="0.2">
      <c r="A90" s="495" t="s">
        <v>383</v>
      </c>
      <c r="B90" s="59" t="str">
        <f>+RIGHT(C90,5)</f>
        <v xml:space="preserve">1301 </v>
      </c>
      <c r="C90" s="64" t="s">
        <v>72</v>
      </c>
      <c r="D90" s="64" t="s">
        <v>71</v>
      </c>
      <c r="E90" s="65">
        <v>377401.03</v>
      </c>
      <c r="F90" s="65">
        <v>184100.41</v>
      </c>
      <c r="G90" s="65">
        <v>324258.19</v>
      </c>
      <c r="H90" s="65">
        <v>368410.78</v>
      </c>
      <c r="I90" s="65">
        <v>301205.11</v>
      </c>
      <c r="J90" s="65">
        <v>447300.75</v>
      </c>
      <c r="K90" s="65">
        <v>866803.97</v>
      </c>
      <c r="L90" s="65">
        <v>685116.04</v>
      </c>
      <c r="M90" s="65">
        <v>168668.03</v>
      </c>
      <c r="N90" s="65">
        <v>344154.32</v>
      </c>
      <c r="O90" s="65">
        <v>425075.66</v>
      </c>
      <c r="P90" s="65">
        <v>339177.89</v>
      </c>
      <c r="Q90" s="65">
        <v>506364.87</v>
      </c>
      <c r="R90" s="68"/>
      <c r="S90" s="68"/>
    </row>
    <row r="91" spans="1:19" s="66" customFormat="1" outlineLevel="1" x14ac:dyDescent="0.2">
      <c r="A91" s="58"/>
      <c r="B91" s="59"/>
      <c r="C91" s="62"/>
      <c r="D91" s="62" t="s">
        <v>2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2"/>
      <c r="S91" s="62"/>
    </row>
    <row r="92" spans="1:19" s="66" customFormat="1" outlineLevel="1" x14ac:dyDescent="0.2">
      <c r="A92" s="58"/>
      <c r="B92" s="59"/>
      <c r="C92" s="62">
        <v>1303</v>
      </c>
      <c r="D92" s="62" t="s">
        <v>73</v>
      </c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2"/>
      <c r="S92" s="494" t="s">
        <v>938</v>
      </c>
    </row>
    <row r="93" spans="1:19" s="66" customFormat="1" outlineLevel="1" x14ac:dyDescent="0.2">
      <c r="A93" s="58"/>
      <c r="B93" s="59"/>
      <c r="C93" s="62">
        <v>13030001</v>
      </c>
      <c r="D93" s="62" t="s">
        <v>74</v>
      </c>
      <c r="E93" s="63">
        <v>149443.73000000001</v>
      </c>
      <c r="F93" s="63">
        <v>763092.79</v>
      </c>
      <c r="G93" s="63">
        <v>645953.57999999996</v>
      </c>
      <c r="H93" s="63">
        <v>699714.3</v>
      </c>
      <c r="I93" s="63">
        <v>1089748.42</v>
      </c>
      <c r="J93" s="63">
        <v>826381.3</v>
      </c>
      <c r="K93" s="63">
        <v>780752.69</v>
      </c>
      <c r="L93" s="63">
        <v>932780.87</v>
      </c>
      <c r="M93" s="63">
        <v>687749.19</v>
      </c>
      <c r="N93" s="63">
        <v>372981.91</v>
      </c>
      <c r="O93" s="63">
        <v>627245.27</v>
      </c>
      <c r="P93" s="63">
        <v>486508.03</v>
      </c>
      <c r="Q93" s="63">
        <v>345198.15</v>
      </c>
      <c r="R93" s="62"/>
      <c r="S93" s="494" t="s">
        <v>938</v>
      </c>
    </row>
    <row r="94" spans="1:19" s="66" customFormat="1" outlineLevel="1" x14ac:dyDescent="0.2">
      <c r="A94" s="58"/>
      <c r="B94" s="59"/>
      <c r="C94" s="62"/>
      <c r="D94" s="62" t="s">
        <v>2</v>
      </c>
      <c r="E94" s="63" t="s">
        <v>264</v>
      </c>
      <c r="F94" s="63" t="s">
        <v>264</v>
      </c>
      <c r="G94" s="63" t="s">
        <v>264</v>
      </c>
      <c r="H94" s="63" t="s">
        <v>264</v>
      </c>
      <c r="I94" s="63" t="s">
        <v>264</v>
      </c>
      <c r="J94" s="63" t="s">
        <v>264</v>
      </c>
      <c r="K94" s="63" t="s">
        <v>264</v>
      </c>
      <c r="L94" s="63" t="s">
        <v>264</v>
      </c>
      <c r="M94" s="63" t="s">
        <v>264</v>
      </c>
      <c r="N94" s="63" t="s">
        <v>264</v>
      </c>
      <c r="O94" s="63" t="s">
        <v>264</v>
      </c>
      <c r="P94" s="63" t="s">
        <v>264</v>
      </c>
      <c r="Q94" s="63" t="s">
        <v>264</v>
      </c>
      <c r="R94" s="62"/>
      <c r="S94" s="62"/>
    </row>
    <row r="95" spans="1:19" s="66" customFormat="1" x14ac:dyDescent="0.2">
      <c r="A95" s="495" t="s">
        <v>383</v>
      </c>
      <c r="B95" s="59" t="str">
        <f>+RIGHT(C95,5)</f>
        <v xml:space="preserve">1303 </v>
      </c>
      <c r="C95" s="64" t="s">
        <v>75</v>
      </c>
      <c r="D95" s="64" t="s">
        <v>503</v>
      </c>
      <c r="E95" s="65">
        <f t="shared" ref="E95:Q95" si="9">SUM(E93:E94)</f>
        <v>149443.73000000001</v>
      </c>
      <c r="F95" s="65">
        <f t="shared" si="9"/>
        <v>763092.79</v>
      </c>
      <c r="G95" s="65">
        <f t="shared" si="9"/>
        <v>645953.57999999996</v>
      </c>
      <c r="H95" s="65">
        <f t="shared" si="9"/>
        <v>699714.3</v>
      </c>
      <c r="I95" s="65">
        <f t="shared" si="9"/>
        <v>1089748.42</v>
      </c>
      <c r="J95" s="65">
        <f t="shared" si="9"/>
        <v>826381.3</v>
      </c>
      <c r="K95" s="65">
        <f t="shared" si="9"/>
        <v>780752.69</v>
      </c>
      <c r="L95" s="65">
        <f t="shared" si="9"/>
        <v>932780.87</v>
      </c>
      <c r="M95" s="65">
        <f t="shared" si="9"/>
        <v>687749.19</v>
      </c>
      <c r="N95" s="65">
        <f t="shared" si="9"/>
        <v>372981.91</v>
      </c>
      <c r="O95" s="65">
        <f t="shared" si="9"/>
        <v>627245.27</v>
      </c>
      <c r="P95" s="65">
        <f t="shared" si="9"/>
        <v>486508.03</v>
      </c>
      <c r="Q95" s="65">
        <f t="shared" si="9"/>
        <v>345198.15</v>
      </c>
      <c r="R95" s="68"/>
      <c r="S95" s="68"/>
    </row>
    <row r="96" spans="1:19" s="66" customFormat="1" outlineLevel="1" x14ac:dyDescent="0.2">
      <c r="A96" s="58"/>
      <c r="B96" s="59"/>
      <c r="C96" s="62"/>
      <c r="D96" s="62" t="s">
        <v>2</v>
      </c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2"/>
      <c r="S96" s="62"/>
    </row>
    <row r="97" spans="1:19" s="66" customFormat="1" outlineLevel="1" x14ac:dyDescent="0.2">
      <c r="A97" s="58"/>
      <c r="B97" s="59"/>
      <c r="C97" s="62">
        <v>1304</v>
      </c>
      <c r="D97" s="62" t="s">
        <v>76</v>
      </c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2"/>
      <c r="S97" s="62"/>
    </row>
    <row r="98" spans="1:19" s="66" customFormat="1" outlineLevel="1" x14ac:dyDescent="0.2">
      <c r="A98" s="58"/>
      <c r="B98" s="59"/>
      <c r="C98" s="62">
        <v>13040001</v>
      </c>
      <c r="D98" s="62" t="s">
        <v>76</v>
      </c>
      <c r="E98" s="63">
        <v>556772.66999999993</v>
      </c>
      <c r="F98" s="63">
        <v>545615.00000000047</v>
      </c>
      <c r="G98" s="63">
        <v>566001.80000000028</v>
      </c>
      <c r="H98" s="63">
        <v>551918.78000000026</v>
      </c>
      <c r="I98" s="63">
        <v>571934.04</v>
      </c>
      <c r="J98" s="63">
        <v>618547.81999999983</v>
      </c>
      <c r="K98" s="63">
        <v>634357.72000000009</v>
      </c>
      <c r="L98" s="63">
        <v>577840.16</v>
      </c>
      <c r="M98" s="63">
        <v>595190.99000000011</v>
      </c>
      <c r="N98" s="63">
        <v>619320.86</v>
      </c>
      <c r="O98" s="63">
        <v>658415.83000000019</v>
      </c>
      <c r="P98" s="63">
        <v>627130.54000000015</v>
      </c>
      <c r="Q98" s="63">
        <v>574183.95999999985</v>
      </c>
      <c r="R98" s="62"/>
      <c r="S98" s="494" t="s">
        <v>938</v>
      </c>
    </row>
    <row r="99" spans="1:19" s="66" customFormat="1" outlineLevel="1" x14ac:dyDescent="0.2">
      <c r="A99" s="58"/>
      <c r="B99" s="59"/>
      <c r="C99" s="62"/>
      <c r="D99" s="62" t="s">
        <v>2</v>
      </c>
      <c r="E99" s="63" t="s">
        <v>264</v>
      </c>
      <c r="F99" s="63" t="s">
        <v>264</v>
      </c>
      <c r="G99" s="63" t="s">
        <v>264</v>
      </c>
      <c r="H99" s="63" t="s">
        <v>264</v>
      </c>
      <c r="I99" s="63" t="s">
        <v>264</v>
      </c>
      <c r="J99" s="63" t="s">
        <v>264</v>
      </c>
      <c r="K99" s="63" t="s">
        <v>264</v>
      </c>
      <c r="L99" s="63" t="s">
        <v>264</v>
      </c>
      <c r="M99" s="63" t="s">
        <v>264</v>
      </c>
      <c r="N99" s="63" t="s">
        <v>264</v>
      </c>
      <c r="O99" s="63" t="s">
        <v>264</v>
      </c>
      <c r="P99" s="63" t="s">
        <v>264</v>
      </c>
      <c r="Q99" s="63" t="s">
        <v>264</v>
      </c>
      <c r="R99" s="62"/>
      <c r="S99" s="62"/>
    </row>
    <row r="100" spans="1:19" s="66" customFormat="1" x14ac:dyDescent="0.2">
      <c r="A100" s="495" t="s">
        <v>383</v>
      </c>
      <c r="B100" s="59" t="str">
        <f>+RIGHT(C100,5)</f>
        <v xml:space="preserve">1304 </v>
      </c>
      <c r="C100" s="64" t="s">
        <v>77</v>
      </c>
      <c r="D100" s="64" t="s">
        <v>76</v>
      </c>
      <c r="E100" s="65">
        <f t="shared" ref="E100:Q100" si="10">SUM(E98:E99)</f>
        <v>556772.66999999993</v>
      </c>
      <c r="F100" s="65">
        <f t="shared" si="10"/>
        <v>545615.00000000047</v>
      </c>
      <c r="G100" s="65">
        <f t="shared" si="10"/>
        <v>566001.80000000028</v>
      </c>
      <c r="H100" s="65">
        <f t="shared" si="10"/>
        <v>551918.78000000026</v>
      </c>
      <c r="I100" s="65">
        <f t="shared" si="10"/>
        <v>571934.04</v>
      </c>
      <c r="J100" s="65">
        <f t="shared" si="10"/>
        <v>618547.81999999983</v>
      </c>
      <c r="K100" s="65">
        <f t="shared" si="10"/>
        <v>634357.72000000009</v>
      </c>
      <c r="L100" s="65">
        <f t="shared" si="10"/>
        <v>577840.16</v>
      </c>
      <c r="M100" s="65">
        <f t="shared" si="10"/>
        <v>595190.99000000011</v>
      </c>
      <c r="N100" s="65">
        <f t="shared" si="10"/>
        <v>619320.86</v>
      </c>
      <c r="O100" s="65">
        <f t="shared" si="10"/>
        <v>658415.83000000019</v>
      </c>
      <c r="P100" s="65">
        <f t="shared" si="10"/>
        <v>627130.54000000015</v>
      </c>
      <c r="Q100" s="65">
        <f t="shared" si="10"/>
        <v>574183.95999999985</v>
      </c>
      <c r="R100" s="62"/>
      <c r="S100" s="62"/>
    </row>
    <row r="101" spans="1:19" s="66" customFormat="1" outlineLevel="1" x14ac:dyDescent="0.2">
      <c r="A101" s="58"/>
      <c r="B101" s="59"/>
      <c r="C101" s="62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2"/>
      <c r="S101" s="62"/>
    </row>
    <row r="102" spans="1:19" s="66" customFormat="1" outlineLevel="1" x14ac:dyDescent="0.2">
      <c r="A102" s="58"/>
      <c r="B102" s="59"/>
      <c r="C102" s="62">
        <v>1119</v>
      </c>
      <c r="D102" s="62" t="s">
        <v>38</v>
      </c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2"/>
      <c r="S102" s="494" t="s">
        <v>936</v>
      </c>
    </row>
    <row r="103" spans="1:19" s="66" customFormat="1" outlineLevel="1" x14ac:dyDescent="0.2">
      <c r="A103" s="58"/>
      <c r="B103" s="59"/>
      <c r="C103" s="62">
        <v>11190001</v>
      </c>
      <c r="D103" s="62" t="s">
        <v>39</v>
      </c>
      <c r="E103" s="63"/>
      <c r="F103" s="63">
        <v>-35.32</v>
      </c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2"/>
      <c r="S103" s="494" t="s">
        <v>936</v>
      </c>
    </row>
    <row r="104" spans="1:19" s="66" customFormat="1" outlineLevel="1" x14ac:dyDescent="0.2">
      <c r="A104" s="58"/>
      <c r="B104" s="59"/>
      <c r="C104" s="62">
        <v>11190002</v>
      </c>
      <c r="D104" s="62" t="s">
        <v>40</v>
      </c>
      <c r="E104" s="63">
        <v>1042120.82</v>
      </c>
      <c r="F104" s="63">
        <v>803844.45</v>
      </c>
      <c r="G104" s="63">
        <v>475649.41</v>
      </c>
      <c r="H104" s="63">
        <v>218387.02</v>
      </c>
      <c r="I104" s="63">
        <v>278874.5</v>
      </c>
      <c r="J104" s="63">
        <v>166803.99</v>
      </c>
      <c r="K104" s="63">
        <v>370994.34</v>
      </c>
      <c r="L104" s="63">
        <v>333341.71000000002</v>
      </c>
      <c r="M104" s="63">
        <v>219449.99</v>
      </c>
      <c r="N104" s="63">
        <v>211999.18</v>
      </c>
      <c r="O104" s="63">
        <v>247539.41</v>
      </c>
      <c r="P104" s="63">
        <v>277936.96000000002</v>
      </c>
      <c r="Q104" s="63">
        <v>377833.9</v>
      </c>
      <c r="R104" s="62"/>
      <c r="S104" s="494" t="s">
        <v>936</v>
      </c>
    </row>
    <row r="105" spans="1:19" s="66" customFormat="1" outlineLevel="1" x14ac:dyDescent="0.2">
      <c r="A105" s="58"/>
      <c r="B105" s="59"/>
      <c r="C105" s="62">
        <v>11190005</v>
      </c>
      <c r="D105" s="62" t="s">
        <v>41</v>
      </c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2"/>
      <c r="S105" s="494" t="s">
        <v>936</v>
      </c>
    </row>
    <row r="106" spans="1:19" s="66" customFormat="1" outlineLevel="1" x14ac:dyDescent="0.2">
      <c r="A106" s="58"/>
      <c r="B106" s="59"/>
      <c r="C106" s="62">
        <v>11190006</v>
      </c>
      <c r="D106" s="62" t="s">
        <v>42</v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2"/>
      <c r="S106" s="494" t="s">
        <v>936</v>
      </c>
    </row>
    <row r="107" spans="1:19" s="66" customFormat="1" outlineLevel="1" x14ac:dyDescent="0.2">
      <c r="A107" s="58"/>
      <c r="B107" s="59"/>
      <c r="C107" s="62"/>
      <c r="D107" s="62" t="s">
        <v>2</v>
      </c>
      <c r="E107" s="63" t="s">
        <v>264</v>
      </c>
      <c r="F107" s="63" t="s">
        <v>264</v>
      </c>
      <c r="G107" s="63" t="s">
        <v>264</v>
      </c>
      <c r="H107" s="63" t="s">
        <v>264</v>
      </c>
      <c r="I107" s="63" t="s">
        <v>264</v>
      </c>
      <c r="J107" s="63" t="s">
        <v>264</v>
      </c>
      <c r="K107" s="63" t="s">
        <v>264</v>
      </c>
      <c r="L107" s="63" t="s">
        <v>264</v>
      </c>
      <c r="M107" s="63" t="s">
        <v>264</v>
      </c>
      <c r="N107" s="63" t="s">
        <v>264</v>
      </c>
      <c r="O107" s="63" t="s">
        <v>264</v>
      </c>
      <c r="P107" s="63" t="s">
        <v>264</v>
      </c>
      <c r="Q107" s="63" t="s">
        <v>264</v>
      </c>
      <c r="R107" s="62"/>
      <c r="S107" s="62"/>
    </row>
    <row r="108" spans="1:19" s="66" customFormat="1" x14ac:dyDescent="0.2">
      <c r="A108" s="495" t="s">
        <v>414</v>
      </c>
      <c r="B108" s="59" t="str">
        <f>+RIGHT(C108,5)</f>
        <v xml:space="preserve">1119 </v>
      </c>
      <c r="C108" s="64" t="s">
        <v>43</v>
      </c>
      <c r="D108" s="64" t="s">
        <v>38</v>
      </c>
      <c r="E108" s="65">
        <f>SUM(E103:E107)</f>
        <v>1042120.82</v>
      </c>
      <c r="F108" s="65">
        <f>SUM(F103:F107)</f>
        <v>803809.13</v>
      </c>
      <c r="G108" s="65">
        <f>SUM(G103:G107)</f>
        <v>475649.41</v>
      </c>
      <c r="H108" s="65">
        <f t="shared" ref="H108:Q108" si="11">SUM(H103:H107)</f>
        <v>218387.02</v>
      </c>
      <c r="I108" s="65">
        <f t="shared" si="11"/>
        <v>278874.5</v>
      </c>
      <c r="J108" s="65">
        <f t="shared" si="11"/>
        <v>166803.99</v>
      </c>
      <c r="K108" s="65">
        <f t="shared" si="11"/>
        <v>370994.34</v>
      </c>
      <c r="L108" s="65">
        <f t="shared" si="11"/>
        <v>333341.71000000002</v>
      </c>
      <c r="M108" s="65">
        <f t="shared" si="11"/>
        <v>219449.99</v>
      </c>
      <c r="N108" s="65">
        <f t="shared" si="11"/>
        <v>211999.18</v>
      </c>
      <c r="O108" s="65">
        <f t="shared" si="11"/>
        <v>247539.41</v>
      </c>
      <c r="P108" s="65">
        <f t="shared" si="11"/>
        <v>277936.96000000002</v>
      </c>
      <c r="Q108" s="65">
        <f t="shared" si="11"/>
        <v>377833.9</v>
      </c>
      <c r="R108" s="62"/>
      <c r="S108" s="62"/>
    </row>
    <row r="109" spans="1:19" s="66" customFormat="1" outlineLevel="1" x14ac:dyDescent="0.2">
      <c r="A109" s="58"/>
      <c r="B109" s="59"/>
      <c r="C109" s="62"/>
      <c r="D109" s="62" t="s">
        <v>2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2"/>
      <c r="S109" s="62"/>
    </row>
    <row r="110" spans="1:19" s="66" customFormat="1" outlineLevel="1" x14ac:dyDescent="0.2">
      <c r="A110" s="58"/>
      <c r="B110" s="59"/>
      <c r="C110" s="62">
        <v>1120</v>
      </c>
      <c r="D110" s="62" t="s">
        <v>44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2"/>
      <c r="S110" s="494" t="s">
        <v>936</v>
      </c>
    </row>
    <row r="111" spans="1:19" s="66" customFormat="1" outlineLevel="1" x14ac:dyDescent="0.2">
      <c r="A111" s="58"/>
      <c r="B111" s="59"/>
      <c r="C111" s="62">
        <v>11200001</v>
      </c>
      <c r="D111" s="62" t="s">
        <v>45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2"/>
      <c r="S111" s="494" t="s">
        <v>936</v>
      </c>
    </row>
    <row r="112" spans="1:19" s="66" customFormat="1" outlineLevel="1" x14ac:dyDescent="0.2">
      <c r="A112" s="58"/>
      <c r="B112" s="59"/>
      <c r="C112" s="62">
        <v>11200002</v>
      </c>
      <c r="D112" s="62" t="s">
        <v>46</v>
      </c>
      <c r="E112" s="63"/>
      <c r="F112" s="63"/>
      <c r="G112" s="63">
        <v>316863.14</v>
      </c>
      <c r="H112" s="63">
        <v>585338.66</v>
      </c>
      <c r="I112" s="63">
        <v>423899.15</v>
      </c>
      <c r="J112" s="63">
        <v>59063</v>
      </c>
      <c r="K112" s="63"/>
      <c r="L112" s="63">
        <v>482853.11</v>
      </c>
      <c r="M112" s="63">
        <v>854258.55</v>
      </c>
      <c r="N112" s="63">
        <v>208088.46</v>
      </c>
      <c r="O112" s="63"/>
      <c r="P112" s="63">
        <v>97599.33</v>
      </c>
      <c r="Q112" s="63"/>
      <c r="R112" s="62"/>
      <c r="S112" s="494" t="s">
        <v>936</v>
      </c>
    </row>
    <row r="113" spans="1:19" s="66" customFormat="1" outlineLevel="1" x14ac:dyDescent="0.2">
      <c r="A113" s="58"/>
      <c r="B113" s="59"/>
      <c r="C113" s="62"/>
      <c r="D113" s="62" t="s">
        <v>2</v>
      </c>
      <c r="E113" s="63" t="s">
        <v>264</v>
      </c>
      <c r="F113" s="63" t="s">
        <v>264</v>
      </c>
      <c r="G113" s="63" t="s">
        <v>264</v>
      </c>
      <c r="H113" s="63" t="s">
        <v>264</v>
      </c>
      <c r="I113" s="63" t="s">
        <v>264</v>
      </c>
      <c r="J113" s="63" t="s">
        <v>264</v>
      </c>
      <c r="K113" s="63" t="s">
        <v>264</v>
      </c>
      <c r="L113" s="63" t="s">
        <v>264</v>
      </c>
      <c r="M113" s="63" t="s">
        <v>264</v>
      </c>
      <c r="N113" s="63" t="s">
        <v>264</v>
      </c>
      <c r="O113" s="63" t="s">
        <v>264</v>
      </c>
      <c r="P113" s="63" t="s">
        <v>264</v>
      </c>
      <c r="Q113" s="63" t="s">
        <v>264</v>
      </c>
      <c r="R113" s="62"/>
      <c r="S113" s="62"/>
    </row>
    <row r="114" spans="1:19" s="66" customFormat="1" x14ac:dyDescent="0.2">
      <c r="A114" s="495" t="s">
        <v>414</v>
      </c>
      <c r="B114" s="59" t="str">
        <f>+RIGHT(C114,5)</f>
        <v xml:space="preserve">1120 </v>
      </c>
      <c r="C114" s="64" t="s">
        <v>47</v>
      </c>
      <c r="D114" s="64" t="s">
        <v>44</v>
      </c>
      <c r="E114" s="65">
        <f t="shared" ref="E114:P114" si="12">SUM(E112:E113)</f>
        <v>0</v>
      </c>
      <c r="F114" s="65">
        <f t="shared" si="12"/>
        <v>0</v>
      </c>
      <c r="G114" s="65">
        <f t="shared" si="12"/>
        <v>316863.14</v>
      </c>
      <c r="H114" s="65">
        <f t="shared" si="12"/>
        <v>585338.66</v>
      </c>
      <c r="I114" s="65">
        <f t="shared" si="12"/>
        <v>423899.15</v>
      </c>
      <c r="J114" s="65">
        <f t="shared" si="12"/>
        <v>59063</v>
      </c>
      <c r="K114" s="65">
        <f t="shared" si="12"/>
        <v>0</v>
      </c>
      <c r="L114" s="65">
        <f t="shared" si="12"/>
        <v>482853.11</v>
      </c>
      <c r="M114" s="65">
        <f t="shared" si="12"/>
        <v>854258.55</v>
      </c>
      <c r="N114" s="65">
        <f t="shared" si="12"/>
        <v>208088.46</v>
      </c>
      <c r="O114" s="65">
        <f t="shared" si="12"/>
        <v>0</v>
      </c>
      <c r="P114" s="65">
        <f t="shared" si="12"/>
        <v>97599.33</v>
      </c>
      <c r="Q114" s="65">
        <f>SUM(Q111:Q113)</f>
        <v>0</v>
      </c>
      <c r="R114" s="62"/>
      <c r="S114" s="62"/>
    </row>
    <row r="115" spans="1:19" s="66" customFormat="1" outlineLevel="1" x14ac:dyDescent="0.2">
      <c r="A115" s="58"/>
      <c r="B115" s="59"/>
      <c r="C115" s="62"/>
      <c r="D115" s="62" t="s">
        <v>2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2"/>
      <c r="S115" s="62"/>
    </row>
    <row r="116" spans="1:19" s="66" customFormat="1" x14ac:dyDescent="0.2">
      <c r="A116" s="58"/>
      <c r="B116" s="59"/>
      <c r="C116" s="151" t="s">
        <v>48</v>
      </c>
      <c r="D116" s="151" t="s">
        <v>1</v>
      </c>
      <c r="E116" s="70">
        <f t="shared" ref="E116:Q116" si="13">+E16+E22+E27+E35+E40+E47+E58+E65+E74+E84+E90+E95+E100+E108+E114</f>
        <v>90838866.120000035</v>
      </c>
      <c r="F116" s="70">
        <f t="shared" si="13"/>
        <v>82826136.450000003</v>
      </c>
      <c r="G116" s="70">
        <f t="shared" si="13"/>
        <v>85638637.770499647</v>
      </c>
      <c r="H116" s="70">
        <f t="shared" si="13"/>
        <v>88528048.520749435</v>
      </c>
      <c r="I116" s="70">
        <f t="shared" si="13"/>
        <v>86995723.170999244</v>
      </c>
      <c r="J116" s="70">
        <f t="shared" si="13"/>
        <v>84649728.351249084</v>
      </c>
      <c r="K116" s="70">
        <f t="shared" si="13"/>
        <v>97662621.261498898</v>
      </c>
      <c r="L116" s="70">
        <f t="shared" si="13"/>
        <v>100612645.42174871</v>
      </c>
      <c r="M116" s="70">
        <f t="shared" si="13"/>
        <v>103932141.93199855</v>
      </c>
      <c r="N116" s="70">
        <f t="shared" si="13"/>
        <v>108246915.9022484</v>
      </c>
      <c r="O116" s="70">
        <f t="shared" si="13"/>
        <v>107935810.24249814</v>
      </c>
      <c r="P116" s="70">
        <f t="shared" si="13"/>
        <v>111912899.79274797</v>
      </c>
      <c r="Q116" s="70">
        <f t="shared" si="13"/>
        <v>118680624.39299776</v>
      </c>
      <c r="R116" s="62"/>
      <c r="S116" s="62"/>
    </row>
    <row r="117" spans="1:19" s="66" customFormat="1" outlineLevel="1" x14ac:dyDescent="0.2">
      <c r="A117" s="58"/>
      <c r="B117" s="59"/>
      <c r="C117" s="62"/>
      <c r="D117" s="62" t="s">
        <v>2</v>
      </c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2"/>
      <c r="S117" s="62"/>
    </row>
    <row r="118" spans="1:19" s="66" customFormat="1" outlineLevel="1" x14ac:dyDescent="0.2">
      <c r="A118" s="58"/>
      <c r="B118" s="59"/>
      <c r="C118" s="60">
        <v>12</v>
      </c>
      <c r="D118" s="60" t="s">
        <v>424</v>
      </c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2"/>
      <c r="S118" s="62"/>
    </row>
    <row r="119" spans="1:19" s="66" customFormat="1" outlineLevel="1" x14ac:dyDescent="0.2">
      <c r="A119" s="58"/>
      <c r="B119" s="59"/>
      <c r="C119" s="62">
        <v>1201</v>
      </c>
      <c r="D119" s="62" t="s">
        <v>49</v>
      </c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2"/>
      <c r="S119" s="494" t="s">
        <v>49</v>
      </c>
    </row>
    <row r="120" spans="1:19" s="66" customFormat="1" outlineLevel="1" x14ac:dyDescent="0.2">
      <c r="A120" s="58"/>
      <c r="B120" s="59"/>
      <c r="C120" s="62">
        <v>12010001</v>
      </c>
      <c r="D120" s="62" t="s">
        <v>49</v>
      </c>
      <c r="E120" s="63">
        <v>62672.01</v>
      </c>
      <c r="F120" s="63">
        <v>62672.01</v>
      </c>
      <c r="G120" s="63">
        <v>62672.01</v>
      </c>
      <c r="H120" s="63">
        <v>62672.01</v>
      </c>
      <c r="I120" s="63">
        <v>62672.01</v>
      </c>
      <c r="J120" s="63">
        <v>62672.01</v>
      </c>
      <c r="K120" s="63">
        <v>62672.01</v>
      </c>
      <c r="L120" s="63">
        <v>62672.01</v>
      </c>
      <c r="M120" s="63">
        <v>62672.01</v>
      </c>
      <c r="N120" s="63">
        <v>62672.01</v>
      </c>
      <c r="O120" s="63">
        <v>62672.01</v>
      </c>
      <c r="P120" s="63">
        <v>62672.01</v>
      </c>
      <c r="Q120" s="63">
        <v>62672.01</v>
      </c>
      <c r="R120" s="62"/>
      <c r="S120" s="494" t="s">
        <v>49</v>
      </c>
    </row>
    <row r="121" spans="1:19" s="66" customFormat="1" outlineLevel="1" x14ac:dyDescent="0.2">
      <c r="A121" s="58"/>
      <c r="B121" s="59"/>
      <c r="C121" s="62">
        <v>12010002</v>
      </c>
      <c r="D121" s="62" t="s">
        <v>50</v>
      </c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2"/>
      <c r="S121" s="494" t="s">
        <v>49</v>
      </c>
    </row>
    <row r="122" spans="1:19" s="66" customFormat="1" outlineLevel="1" x14ac:dyDescent="0.2">
      <c r="A122" s="58"/>
      <c r="B122" s="59"/>
      <c r="E122" s="63" t="s">
        <v>264</v>
      </c>
      <c r="F122" s="63" t="s">
        <v>264</v>
      </c>
      <c r="G122" s="63" t="s">
        <v>264</v>
      </c>
      <c r="H122" s="63" t="s">
        <v>264</v>
      </c>
      <c r="I122" s="63" t="s">
        <v>264</v>
      </c>
      <c r="J122" s="63" t="s">
        <v>264</v>
      </c>
      <c r="K122" s="63" t="s">
        <v>264</v>
      </c>
      <c r="L122" s="63" t="s">
        <v>264</v>
      </c>
      <c r="M122" s="63" t="s">
        <v>264</v>
      </c>
      <c r="N122" s="63" t="s">
        <v>264</v>
      </c>
      <c r="O122" s="63" t="s">
        <v>264</v>
      </c>
      <c r="P122" s="63" t="s">
        <v>264</v>
      </c>
      <c r="Q122" s="63" t="s">
        <v>264</v>
      </c>
      <c r="R122" s="62"/>
      <c r="S122" s="62"/>
    </row>
    <row r="123" spans="1:19" s="66" customFormat="1" x14ac:dyDescent="0.2">
      <c r="A123" s="495" t="s">
        <v>385</v>
      </c>
      <c r="B123" s="59">
        <v>1201</v>
      </c>
      <c r="C123" s="64" t="s">
        <v>51</v>
      </c>
      <c r="D123" s="64" t="s">
        <v>49</v>
      </c>
      <c r="E123" s="65">
        <f t="shared" ref="E123:Q123" si="14">SUM(E120:E122)</f>
        <v>62672.01</v>
      </c>
      <c r="F123" s="65">
        <f t="shared" si="14"/>
        <v>62672.01</v>
      </c>
      <c r="G123" s="65">
        <f t="shared" si="14"/>
        <v>62672.01</v>
      </c>
      <c r="H123" s="65">
        <f t="shared" si="14"/>
        <v>62672.01</v>
      </c>
      <c r="I123" s="65">
        <f t="shared" si="14"/>
        <v>62672.01</v>
      </c>
      <c r="J123" s="65">
        <f t="shared" si="14"/>
        <v>62672.01</v>
      </c>
      <c r="K123" s="65">
        <f t="shared" si="14"/>
        <v>62672.01</v>
      </c>
      <c r="L123" s="65">
        <f t="shared" si="14"/>
        <v>62672.01</v>
      </c>
      <c r="M123" s="65">
        <f t="shared" si="14"/>
        <v>62672.01</v>
      </c>
      <c r="N123" s="65">
        <f t="shared" si="14"/>
        <v>62672.01</v>
      </c>
      <c r="O123" s="65">
        <f t="shared" si="14"/>
        <v>62672.01</v>
      </c>
      <c r="P123" s="65">
        <f t="shared" si="14"/>
        <v>62672.01</v>
      </c>
      <c r="Q123" s="65">
        <f t="shared" si="14"/>
        <v>62672.01</v>
      </c>
      <c r="R123" s="62"/>
      <c r="S123" s="62"/>
    </row>
    <row r="124" spans="1:19" s="66" customFormat="1" outlineLevel="1" x14ac:dyDescent="0.2">
      <c r="A124" s="58"/>
      <c r="B124" s="59"/>
      <c r="C124" s="62"/>
      <c r="D124" s="62" t="s">
        <v>2</v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2" t="s">
        <v>497</v>
      </c>
      <c r="S124" s="62"/>
    </row>
    <row r="125" spans="1:19" s="66" customFormat="1" outlineLevel="1" x14ac:dyDescent="0.2">
      <c r="A125" s="58"/>
      <c r="B125" s="59"/>
      <c r="C125" s="62">
        <v>1202</v>
      </c>
      <c r="D125" s="62" t="s">
        <v>52</v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2" t="s">
        <v>497</v>
      </c>
      <c r="S125" s="494" t="s">
        <v>939</v>
      </c>
    </row>
    <row r="126" spans="1:19" s="66" customFormat="1" outlineLevel="1" x14ac:dyDescent="0.2">
      <c r="A126" s="58"/>
      <c r="B126" s="59"/>
      <c r="C126" s="62">
        <v>12020001</v>
      </c>
      <c r="D126" s="62" t="s">
        <v>52</v>
      </c>
      <c r="E126" s="63">
        <v>10076756.119999999</v>
      </c>
      <c r="F126" s="63">
        <v>10076756.119999999</v>
      </c>
      <c r="G126" s="63">
        <v>10076756.119999999</v>
      </c>
      <c r="H126" s="63">
        <v>10076756.119999999</v>
      </c>
      <c r="I126" s="63">
        <v>10076756.119999999</v>
      </c>
      <c r="J126" s="63">
        <v>10076756.119999999</v>
      </c>
      <c r="K126" s="63">
        <v>10076756.119999999</v>
      </c>
      <c r="L126" s="63">
        <v>10076756.119999999</v>
      </c>
      <c r="M126" s="63">
        <v>10076756.119999999</v>
      </c>
      <c r="N126" s="63">
        <v>10076756.119999999</v>
      </c>
      <c r="O126" s="63">
        <v>10076756.119999999</v>
      </c>
      <c r="P126" s="63">
        <v>10076756.119999999</v>
      </c>
      <c r="Q126" s="63">
        <v>10076756.119999999</v>
      </c>
      <c r="R126" s="62" t="s">
        <v>497</v>
      </c>
      <c r="S126" s="494" t="s">
        <v>939</v>
      </c>
    </row>
    <row r="127" spans="1:19" s="66" customFormat="1" outlineLevel="1" x14ac:dyDescent="0.2">
      <c r="A127" s="58"/>
      <c r="B127" s="59"/>
      <c r="C127" s="62">
        <v>12020002</v>
      </c>
      <c r="D127" s="62" t="s">
        <v>53</v>
      </c>
      <c r="E127" s="63">
        <v>-2127968.75</v>
      </c>
      <c r="F127" s="63">
        <v>-2167180.08</v>
      </c>
      <c r="G127" s="63">
        <v>-2206391.41</v>
      </c>
      <c r="H127" s="63">
        <v>-2245602.7400000002</v>
      </c>
      <c r="I127" s="63">
        <v>-2284814.0699999998</v>
      </c>
      <c r="J127" s="63">
        <v>-2324025.4</v>
      </c>
      <c r="K127" s="63">
        <v>-2363236.73</v>
      </c>
      <c r="L127" s="63">
        <v>-2402448.06</v>
      </c>
      <c r="M127" s="63">
        <v>-2441659.39</v>
      </c>
      <c r="N127" s="63">
        <v>-2480870.71</v>
      </c>
      <c r="O127" s="63">
        <v>-2520082.0499999998</v>
      </c>
      <c r="P127" s="63">
        <v>-2559293.37</v>
      </c>
      <c r="Q127" s="63">
        <v>-2598504.7000000002</v>
      </c>
      <c r="R127" s="62" t="s">
        <v>497</v>
      </c>
      <c r="S127" s="494" t="s">
        <v>943</v>
      </c>
    </row>
    <row r="128" spans="1:19" s="66" customFormat="1" outlineLevel="1" x14ac:dyDescent="0.2">
      <c r="A128" s="58"/>
      <c r="B128" s="59"/>
      <c r="C128" s="62"/>
      <c r="D128" s="62" t="s">
        <v>2</v>
      </c>
      <c r="E128" s="63" t="s">
        <v>264</v>
      </c>
      <c r="F128" s="63" t="s">
        <v>264</v>
      </c>
      <c r="G128" s="63" t="s">
        <v>264</v>
      </c>
      <c r="H128" s="63" t="s">
        <v>264</v>
      </c>
      <c r="I128" s="63" t="s">
        <v>264</v>
      </c>
      <c r="J128" s="63" t="s">
        <v>264</v>
      </c>
      <c r="K128" s="63" t="s">
        <v>264</v>
      </c>
      <c r="L128" s="63" t="s">
        <v>264</v>
      </c>
      <c r="M128" s="63" t="s">
        <v>264</v>
      </c>
      <c r="N128" s="63" t="s">
        <v>264</v>
      </c>
      <c r="O128" s="63" t="s">
        <v>264</v>
      </c>
      <c r="P128" s="63" t="s">
        <v>264</v>
      </c>
      <c r="Q128" s="63" t="s">
        <v>264</v>
      </c>
      <c r="R128" s="62" t="s">
        <v>497</v>
      </c>
      <c r="S128" s="62"/>
    </row>
    <row r="129" spans="1:19" s="66" customFormat="1" x14ac:dyDescent="0.2">
      <c r="A129" s="495" t="s">
        <v>385</v>
      </c>
      <c r="B129" s="59">
        <v>1202</v>
      </c>
      <c r="C129" s="64" t="s">
        <v>54</v>
      </c>
      <c r="D129" s="64" t="s">
        <v>52</v>
      </c>
      <c r="E129" s="65">
        <f>SUM(E126:E128)</f>
        <v>7948787.3699999992</v>
      </c>
      <c r="F129" s="65">
        <f t="shared" ref="F129:Q129" si="15">SUM(F126:F128)</f>
        <v>7909576.0399999991</v>
      </c>
      <c r="G129" s="65">
        <f t="shared" si="15"/>
        <v>7870364.709999999</v>
      </c>
      <c r="H129" s="65">
        <f t="shared" si="15"/>
        <v>7831153.379999999</v>
      </c>
      <c r="I129" s="65">
        <f t="shared" si="15"/>
        <v>7791942.0499999989</v>
      </c>
      <c r="J129" s="65">
        <f t="shared" si="15"/>
        <v>7752730.7199999988</v>
      </c>
      <c r="K129" s="65">
        <f t="shared" si="15"/>
        <v>7713519.3899999987</v>
      </c>
      <c r="L129" s="65">
        <f t="shared" si="15"/>
        <v>7674308.0599999987</v>
      </c>
      <c r="M129" s="65">
        <f t="shared" si="15"/>
        <v>7635096.7299999986</v>
      </c>
      <c r="N129" s="65">
        <f t="shared" si="15"/>
        <v>7595885.4099999992</v>
      </c>
      <c r="O129" s="65">
        <f t="shared" si="15"/>
        <v>7556674.0699999994</v>
      </c>
      <c r="P129" s="65">
        <f t="shared" si="15"/>
        <v>7517462.7499999991</v>
      </c>
      <c r="Q129" s="65">
        <f t="shared" si="15"/>
        <v>7478251.419999999</v>
      </c>
      <c r="R129" s="62"/>
      <c r="S129" s="62"/>
    </row>
    <row r="130" spans="1:19" s="66" customFormat="1" outlineLevel="1" x14ac:dyDescent="0.2">
      <c r="A130" s="58"/>
      <c r="B130" s="59"/>
      <c r="C130" s="62"/>
      <c r="D130" s="62" t="s">
        <v>2</v>
      </c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2" t="s">
        <v>497</v>
      </c>
      <c r="S130" s="62"/>
    </row>
    <row r="131" spans="1:19" s="66" customFormat="1" outlineLevel="1" x14ac:dyDescent="0.2">
      <c r="A131" s="58"/>
      <c r="B131" s="59"/>
      <c r="C131" s="62">
        <v>1204</v>
      </c>
      <c r="D131" s="62" t="s">
        <v>55</v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2" t="s">
        <v>497</v>
      </c>
      <c r="S131" s="494" t="s">
        <v>940</v>
      </c>
    </row>
    <row r="132" spans="1:19" s="66" customFormat="1" outlineLevel="1" x14ac:dyDescent="0.2">
      <c r="A132" s="58"/>
      <c r="B132" s="59"/>
      <c r="C132" s="62">
        <v>12040001</v>
      </c>
      <c r="D132" s="62" t="s">
        <v>300</v>
      </c>
      <c r="E132" s="63">
        <v>4420721.33</v>
      </c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2" t="s">
        <v>497</v>
      </c>
      <c r="S132" s="494" t="s">
        <v>940</v>
      </c>
    </row>
    <row r="133" spans="1:19" s="66" customFormat="1" outlineLevel="1" x14ac:dyDescent="0.2">
      <c r="A133" s="58"/>
      <c r="B133" s="59"/>
      <c r="C133" s="62">
        <v>12040002</v>
      </c>
      <c r="D133" s="62" t="s">
        <v>55</v>
      </c>
      <c r="E133" s="63">
        <v>22061021.329999998</v>
      </c>
      <c r="F133" s="63">
        <v>26610667.66</v>
      </c>
      <c r="G133" s="63">
        <v>26610667.66</v>
      </c>
      <c r="H133" s="63">
        <v>26610667.66</v>
      </c>
      <c r="I133" s="63">
        <v>26610667.66</v>
      </c>
      <c r="J133" s="63">
        <v>26610667.66</v>
      </c>
      <c r="K133" s="63">
        <v>26610667.66</v>
      </c>
      <c r="L133" s="63">
        <v>26610667.66</v>
      </c>
      <c r="M133" s="63">
        <v>26610667.66</v>
      </c>
      <c r="N133" s="63">
        <v>26610667.66</v>
      </c>
      <c r="O133" s="63">
        <v>26610667.66</v>
      </c>
      <c r="P133" s="63">
        <v>26610667.66</v>
      </c>
      <c r="Q133" s="63">
        <v>26610667.66</v>
      </c>
      <c r="R133" s="62" t="s">
        <v>497</v>
      </c>
      <c r="S133" s="494" t="s">
        <v>940</v>
      </c>
    </row>
    <row r="134" spans="1:19" s="66" customFormat="1" outlineLevel="1" x14ac:dyDescent="0.2">
      <c r="A134" s="58"/>
      <c r="B134" s="59"/>
      <c r="C134" s="62">
        <v>12040003</v>
      </c>
      <c r="D134" s="62" t="s">
        <v>56</v>
      </c>
      <c r="E134" s="63">
        <v>-18070115.550000001</v>
      </c>
      <c r="F134" s="63">
        <v>-18179152.199999999</v>
      </c>
      <c r="G134" s="63">
        <v>-18288188.850000001</v>
      </c>
      <c r="H134" s="63">
        <v>-18397225.5</v>
      </c>
      <c r="I134" s="63">
        <v>-18645277.66</v>
      </c>
      <c r="J134" s="63">
        <v>-18789070.02</v>
      </c>
      <c r="K134" s="63">
        <v>-18932860.91</v>
      </c>
      <c r="L134" s="63">
        <v>-19076651.800000001</v>
      </c>
      <c r="M134" s="63">
        <v>-19220442.690000001</v>
      </c>
      <c r="N134" s="63">
        <v>-19364233.59</v>
      </c>
      <c r="O134" s="63">
        <v>-19508023.02</v>
      </c>
      <c r="P134" s="63">
        <v>-19651815.379999999</v>
      </c>
      <c r="Q134" s="63">
        <v>-19795606.27</v>
      </c>
      <c r="R134" s="62" t="s">
        <v>497</v>
      </c>
      <c r="S134" s="494" t="s">
        <v>943</v>
      </c>
    </row>
    <row r="135" spans="1:19" s="66" customFormat="1" outlineLevel="1" x14ac:dyDescent="0.2">
      <c r="A135" s="58"/>
      <c r="B135" s="59"/>
      <c r="C135" s="62"/>
      <c r="D135" s="62" t="s">
        <v>2</v>
      </c>
      <c r="E135" s="63" t="s">
        <v>264</v>
      </c>
      <c r="F135" s="63" t="s">
        <v>264</v>
      </c>
      <c r="G135" s="63" t="s">
        <v>264</v>
      </c>
      <c r="H135" s="63" t="s">
        <v>264</v>
      </c>
      <c r="I135" s="63" t="s">
        <v>264</v>
      </c>
      <c r="J135" s="63" t="s">
        <v>264</v>
      </c>
      <c r="K135" s="63" t="s">
        <v>264</v>
      </c>
      <c r="L135" s="63" t="s">
        <v>264</v>
      </c>
      <c r="M135" s="63" t="s">
        <v>264</v>
      </c>
      <c r="N135" s="63" t="s">
        <v>264</v>
      </c>
      <c r="O135" s="63" t="s">
        <v>264</v>
      </c>
      <c r="P135" s="63" t="s">
        <v>264</v>
      </c>
      <c r="Q135" s="63" t="s">
        <v>264</v>
      </c>
      <c r="R135" s="62" t="s">
        <v>497</v>
      </c>
      <c r="S135" s="62"/>
    </row>
    <row r="136" spans="1:19" s="66" customFormat="1" x14ac:dyDescent="0.2">
      <c r="A136" s="495" t="s">
        <v>385</v>
      </c>
      <c r="B136" s="59">
        <v>1204</v>
      </c>
      <c r="C136" s="64" t="s">
        <v>57</v>
      </c>
      <c r="D136" s="64" t="s">
        <v>55</v>
      </c>
      <c r="E136" s="65">
        <f>SUM(E132:E135)</f>
        <v>8411627.1099999957</v>
      </c>
      <c r="F136" s="65">
        <f t="shared" ref="F136:Q136" si="16">SUM(F133:F135)</f>
        <v>8431515.4600000009</v>
      </c>
      <c r="G136" s="65">
        <f t="shared" si="16"/>
        <v>8322478.8099999987</v>
      </c>
      <c r="H136" s="65">
        <f t="shared" si="16"/>
        <v>8213442.1600000001</v>
      </c>
      <c r="I136" s="65">
        <f t="shared" si="16"/>
        <v>7965390</v>
      </c>
      <c r="J136" s="65">
        <f t="shared" si="16"/>
        <v>7821597.6400000006</v>
      </c>
      <c r="K136" s="65">
        <f t="shared" si="16"/>
        <v>7677806.75</v>
      </c>
      <c r="L136" s="65">
        <f t="shared" si="16"/>
        <v>7534015.8599999994</v>
      </c>
      <c r="M136" s="65">
        <f t="shared" si="16"/>
        <v>7390224.9699999988</v>
      </c>
      <c r="N136" s="65">
        <f t="shared" si="16"/>
        <v>7246434.0700000003</v>
      </c>
      <c r="O136" s="65">
        <f t="shared" si="16"/>
        <v>7102644.6400000006</v>
      </c>
      <c r="P136" s="65">
        <f t="shared" si="16"/>
        <v>6958852.2800000012</v>
      </c>
      <c r="Q136" s="65">
        <f t="shared" si="16"/>
        <v>6815061.3900000006</v>
      </c>
      <c r="R136" s="62"/>
      <c r="S136" s="62"/>
    </row>
    <row r="137" spans="1:19" s="66" customFormat="1" outlineLevel="1" x14ac:dyDescent="0.2">
      <c r="A137" s="58"/>
      <c r="B137" s="59"/>
      <c r="C137" s="62"/>
      <c r="D137" s="62" t="s">
        <v>2</v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2" t="s">
        <v>497</v>
      </c>
      <c r="S137" s="62"/>
    </row>
    <row r="138" spans="1:19" s="66" customFormat="1" outlineLevel="1" x14ac:dyDescent="0.2">
      <c r="A138" s="58"/>
      <c r="B138" s="59"/>
      <c r="C138" s="62">
        <v>1206</v>
      </c>
      <c r="D138" s="62" t="s">
        <v>58</v>
      </c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2" t="s">
        <v>497</v>
      </c>
      <c r="S138" s="494" t="s">
        <v>940</v>
      </c>
    </row>
    <row r="139" spans="1:19" s="66" customFormat="1" outlineLevel="1" x14ac:dyDescent="0.2">
      <c r="A139" s="58"/>
      <c r="B139" s="59"/>
      <c r="C139" s="62">
        <v>12060001</v>
      </c>
      <c r="D139" s="62" t="s">
        <v>58</v>
      </c>
      <c r="E139" s="63">
        <v>1691705.09</v>
      </c>
      <c r="F139" s="63">
        <v>1691705.09</v>
      </c>
      <c r="G139" s="63">
        <v>1691705.09</v>
      </c>
      <c r="H139" s="63">
        <v>1691705.09</v>
      </c>
      <c r="I139" s="63">
        <v>1691705.09</v>
      </c>
      <c r="J139" s="63">
        <v>1691705.09</v>
      </c>
      <c r="K139" s="63">
        <v>1691705.09</v>
      </c>
      <c r="L139" s="63">
        <v>1691705.09</v>
      </c>
      <c r="M139" s="63">
        <v>1691705.09</v>
      </c>
      <c r="N139" s="63">
        <v>1691705.09</v>
      </c>
      <c r="O139" s="63">
        <v>1691705.09</v>
      </c>
      <c r="P139" s="63">
        <v>1691705.09</v>
      </c>
      <c r="Q139" s="63">
        <v>1691705.09</v>
      </c>
      <c r="R139" s="62" t="s">
        <v>497</v>
      </c>
      <c r="S139" s="494" t="s">
        <v>941</v>
      </c>
    </row>
    <row r="140" spans="1:19" s="66" customFormat="1" outlineLevel="1" x14ac:dyDescent="0.2">
      <c r="A140" s="58"/>
      <c r="B140" s="59"/>
      <c r="C140" s="62">
        <v>12060002</v>
      </c>
      <c r="D140" s="62" t="s">
        <v>59</v>
      </c>
      <c r="E140" s="63">
        <v>-1322515.6399999999</v>
      </c>
      <c r="F140" s="63">
        <v>-1336719.17</v>
      </c>
      <c r="G140" s="63">
        <v>-1350922.7</v>
      </c>
      <c r="H140" s="63">
        <v>-1365126.23</v>
      </c>
      <c r="I140" s="63">
        <v>-1379329.76</v>
      </c>
      <c r="J140" s="63">
        <v>-1393533.3</v>
      </c>
      <c r="K140" s="63">
        <v>-1407736.84</v>
      </c>
      <c r="L140" s="63">
        <v>-1421940.36</v>
      </c>
      <c r="M140" s="63">
        <v>-1436143.88</v>
      </c>
      <c r="N140" s="63">
        <v>-1450347.43</v>
      </c>
      <c r="O140" s="63">
        <v>-1464550.81</v>
      </c>
      <c r="P140" s="63">
        <v>-1478754.49</v>
      </c>
      <c r="Q140" s="63">
        <v>-1492958.02</v>
      </c>
      <c r="R140" s="62" t="s">
        <v>497</v>
      </c>
      <c r="S140" s="494" t="s">
        <v>943</v>
      </c>
    </row>
    <row r="141" spans="1:19" s="66" customFormat="1" outlineLevel="1" x14ac:dyDescent="0.2">
      <c r="A141" s="58"/>
      <c r="B141" s="59"/>
      <c r="C141" s="62"/>
      <c r="D141" s="62" t="s">
        <v>2</v>
      </c>
      <c r="E141" s="63" t="s">
        <v>264</v>
      </c>
      <c r="F141" s="63" t="s">
        <v>264</v>
      </c>
      <c r="G141" s="63" t="s">
        <v>264</v>
      </c>
      <c r="H141" s="63" t="s">
        <v>264</v>
      </c>
      <c r="I141" s="63" t="s">
        <v>264</v>
      </c>
      <c r="J141" s="63" t="s">
        <v>264</v>
      </c>
      <c r="K141" s="63" t="s">
        <v>264</v>
      </c>
      <c r="L141" s="63" t="s">
        <v>264</v>
      </c>
      <c r="M141" s="63" t="s">
        <v>264</v>
      </c>
      <c r="N141" s="63" t="s">
        <v>264</v>
      </c>
      <c r="O141" s="63" t="s">
        <v>264</v>
      </c>
      <c r="P141" s="63" t="s">
        <v>264</v>
      </c>
      <c r="Q141" s="63" t="s">
        <v>264</v>
      </c>
      <c r="R141" s="62" t="s">
        <v>497</v>
      </c>
      <c r="S141" s="62"/>
    </row>
    <row r="142" spans="1:19" s="66" customFormat="1" x14ac:dyDescent="0.2">
      <c r="A142" s="495" t="s">
        <v>385</v>
      </c>
      <c r="B142" s="59">
        <v>1206</v>
      </c>
      <c r="C142" s="64" t="s">
        <v>60</v>
      </c>
      <c r="D142" s="64" t="s">
        <v>58</v>
      </c>
      <c r="E142" s="65">
        <f>SUM(E139:E141)</f>
        <v>369189.45000000019</v>
      </c>
      <c r="F142" s="65">
        <f t="shared" ref="F142:Q142" si="17">SUM(F139:F141)</f>
        <v>354985.92000000016</v>
      </c>
      <c r="G142" s="65">
        <f t="shared" si="17"/>
        <v>340782.39000000013</v>
      </c>
      <c r="H142" s="65">
        <f t="shared" si="17"/>
        <v>326578.8600000001</v>
      </c>
      <c r="I142" s="65">
        <f t="shared" si="17"/>
        <v>312375.33000000007</v>
      </c>
      <c r="J142" s="65">
        <f t="shared" si="17"/>
        <v>298171.79000000004</v>
      </c>
      <c r="K142" s="65">
        <f t="shared" si="17"/>
        <v>283968.25</v>
      </c>
      <c r="L142" s="65">
        <f t="shared" si="17"/>
        <v>269764.73</v>
      </c>
      <c r="M142" s="65">
        <f t="shared" si="17"/>
        <v>255561.2100000002</v>
      </c>
      <c r="N142" s="65">
        <f t="shared" si="17"/>
        <v>241357.66000000015</v>
      </c>
      <c r="O142" s="65">
        <f t="shared" si="17"/>
        <v>227154.28000000003</v>
      </c>
      <c r="P142" s="65">
        <f t="shared" si="17"/>
        <v>212950.60000000009</v>
      </c>
      <c r="Q142" s="65">
        <f t="shared" si="17"/>
        <v>198747.07000000007</v>
      </c>
      <c r="R142" s="62"/>
      <c r="S142" s="62"/>
    </row>
    <row r="143" spans="1:19" s="66" customFormat="1" outlineLevel="1" x14ac:dyDescent="0.2">
      <c r="A143" s="58"/>
      <c r="B143" s="59"/>
      <c r="C143" s="62"/>
      <c r="D143" s="62" t="s">
        <v>2</v>
      </c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2"/>
      <c r="S143" s="62"/>
    </row>
    <row r="144" spans="1:19" s="66" customFormat="1" outlineLevel="1" x14ac:dyDescent="0.2">
      <c r="A144" s="58"/>
      <c r="B144" s="59"/>
      <c r="C144" s="62">
        <v>1207</v>
      </c>
      <c r="D144" s="62" t="s">
        <v>61</v>
      </c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2"/>
      <c r="S144" s="494" t="s">
        <v>942</v>
      </c>
    </row>
    <row r="145" spans="1:19" s="66" customFormat="1" outlineLevel="1" x14ac:dyDescent="0.2">
      <c r="A145" s="58"/>
      <c r="B145" s="59"/>
      <c r="C145" s="62">
        <v>12070001</v>
      </c>
      <c r="D145" s="62" t="s">
        <v>61</v>
      </c>
      <c r="E145" s="63">
        <v>1075663.22</v>
      </c>
      <c r="F145" s="63">
        <v>996763.22</v>
      </c>
      <c r="G145" s="63">
        <v>767490.89</v>
      </c>
      <c r="H145" s="63">
        <v>767490.89</v>
      </c>
      <c r="I145" s="63">
        <v>767490.89</v>
      </c>
      <c r="J145" s="63">
        <v>767490.89</v>
      </c>
      <c r="K145" s="63">
        <v>767490.89</v>
      </c>
      <c r="L145" s="63">
        <v>767490.89</v>
      </c>
      <c r="M145" s="63">
        <v>767490.89</v>
      </c>
      <c r="N145" s="63">
        <v>767490.89</v>
      </c>
      <c r="O145" s="63">
        <v>767490.89</v>
      </c>
      <c r="P145" s="63">
        <v>734360.46</v>
      </c>
      <c r="Q145" s="63">
        <v>734360.46</v>
      </c>
      <c r="R145" s="62"/>
      <c r="S145" s="494" t="s">
        <v>942</v>
      </c>
    </row>
    <row r="146" spans="1:19" s="66" customFormat="1" outlineLevel="1" x14ac:dyDescent="0.2">
      <c r="A146" s="58"/>
      <c r="B146" s="59"/>
      <c r="C146" s="62">
        <v>12070002</v>
      </c>
      <c r="D146" s="62" t="s">
        <v>62</v>
      </c>
      <c r="E146" s="63">
        <v>-1024453.11</v>
      </c>
      <c r="F146" s="63">
        <v>-1015552.32</v>
      </c>
      <c r="G146" s="63">
        <v>-812898.26</v>
      </c>
      <c r="H146" s="63">
        <v>-815228.16</v>
      </c>
      <c r="I146" s="63">
        <v>-817558.06</v>
      </c>
      <c r="J146" s="63">
        <v>-819887.95</v>
      </c>
      <c r="K146" s="63">
        <v>-822217.83</v>
      </c>
      <c r="L146" s="63">
        <v>-824547.72</v>
      </c>
      <c r="M146" s="63">
        <v>-826877.61</v>
      </c>
      <c r="N146" s="63">
        <v>-829207.51</v>
      </c>
      <c r="O146" s="63">
        <v>-831537.28</v>
      </c>
      <c r="P146" s="63">
        <v>-798205.94</v>
      </c>
      <c r="Q146" s="63">
        <v>-800305.76</v>
      </c>
      <c r="R146" s="62"/>
      <c r="S146" s="494" t="s">
        <v>943</v>
      </c>
    </row>
    <row r="147" spans="1:19" s="66" customFormat="1" outlineLevel="1" x14ac:dyDescent="0.2">
      <c r="A147" s="58"/>
      <c r="B147" s="59"/>
      <c r="C147" s="62"/>
      <c r="D147" s="62" t="s">
        <v>2</v>
      </c>
      <c r="E147" s="63" t="s">
        <v>264</v>
      </c>
      <c r="F147" s="63" t="s">
        <v>264</v>
      </c>
      <c r="G147" s="63" t="s">
        <v>264</v>
      </c>
      <c r="H147" s="63" t="s">
        <v>264</v>
      </c>
      <c r="I147" s="63" t="s">
        <v>264</v>
      </c>
      <c r="J147" s="63" t="s">
        <v>264</v>
      </c>
      <c r="K147" s="63" t="s">
        <v>264</v>
      </c>
      <c r="L147" s="63" t="s">
        <v>264</v>
      </c>
      <c r="M147" s="63" t="s">
        <v>264</v>
      </c>
      <c r="N147" s="63" t="s">
        <v>264</v>
      </c>
      <c r="O147" s="63" t="s">
        <v>264</v>
      </c>
      <c r="P147" s="63" t="s">
        <v>264</v>
      </c>
      <c r="Q147" s="63" t="s">
        <v>264</v>
      </c>
      <c r="R147" s="62"/>
      <c r="S147" s="62"/>
    </row>
    <row r="148" spans="1:19" s="66" customFormat="1" x14ac:dyDescent="0.2">
      <c r="A148" s="495" t="s">
        <v>385</v>
      </c>
      <c r="B148" s="59">
        <v>1207</v>
      </c>
      <c r="C148" s="64" t="s">
        <v>63</v>
      </c>
      <c r="D148" s="64" t="s">
        <v>61</v>
      </c>
      <c r="E148" s="65">
        <f>SUM(E145:E147)</f>
        <v>51210.109999999986</v>
      </c>
      <c r="F148" s="65">
        <f t="shared" ref="F148:Q148" si="18">SUM(F145:F147)</f>
        <v>-18789.099999999977</v>
      </c>
      <c r="G148" s="65">
        <f t="shared" si="18"/>
        <v>-45407.369999999995</v>
      </c>
      <c r="H148" s="65">
        <f t="shared" si="18"/>
        <v>-47737.270000000019</v>
      </c>
      <c r="I148" s="65">
        <f t="shared" si="18"/>
        <v>-50067.170000000042</v>
      </c>
      <c r="J148" s="65">
        <f t="shared" si="18"/>
        <v>-52397.059999999939</v>
      </c>
      <c r="K148" s="65">
        <f t="shared" si="18"/>
        <v>-54726.939999999944</v>
      </c>
      <c r="L148" s="65">
        <f t="shared" si="18"/>
        <v>-57056.829999999958</v>
      </c>
      <c r="M148" s="65">
        <f t="shared" si="18"/>
        <v>-59386.719999999972</v>
      </c>
      <c r="N148" s="65">
        <f t="shared" si="18"/>
        <v>-61716.619999999995</v>
      </c>
      <c r="O148" s="65">
        <f t="shared" si="18"/>
        <v>-64046.390000000014</v>
      </c>
      <c r="P148" s="65">
        <f t="shared" si="18"/>
        <v>-63845.479999999981</v>
      </c>
      <c r="Q148" s="65">
        <f t="shared" si="18"/>
        <v>-65945.300000000047</v>
      </c>
      <c r="R148" s="62"/>
      <c r="S148" s="62"/>
    </row>
    <row r="149" spans="1:19" s="66" customFormat="1" outlineLevel="1" x14ac:dyDescent="0.2">
      <c r="A149" s="58"/>
      <c r="B149" s="59"/>
      <c r="C149" s="62"/>
      <c r="D149" s="62" t="s">
        <v>2</v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2" t="s">
        <v>497</v>
      </c>
      <c r="S149" s="62"/>
    </row>
    <row r="150" spans="1:19" s="66" customFormat="1" outlineLevel="1" x14ac:dyDescent="0.2">
      <c r="A150" s="58"/>
      <c r="B150" s="59"/>
      <c r="C150" s="62">
        <v>1209</v>
      </c>
      <c r="D150" s="62" t="s">
        <v>64</v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2" t="s">
        <v>497</v>
      </c>
      <c r="S150" s="494" t="s">
        <v>64</v>
      </c>
    </row>
    <row r="151" spans="1:19" s="66" customFormat="1" outlineLevel="1" x14ac:dyDescent="0.2">
      <c r="A151" s="58"/>
      <c r="B151" s="59"/>
      <c r="C151" s="62">
        <v>12090001</v>
      </c>
      <c r="D151" s="62" t="s">
        <v>64</v>
      </c>
      <c r="E151" s="63">
        <v>3710240.69</v>
      </c>
      <c r="F151" s="63">
        <v>3701420.69</v>
      </c>
      <c r="G151" s="63">
        <v>3682719.19</v>
      </c>
      <c r="H151" s="63">
        <v>3682719.19</v>
      </c>
      <c r="I151" s="63">
        <v>3682719.19</v>
      </c>
      <c r="J151" s="63">
        <v>3682719.19</v>
      </c>
      <c r="K151" s="63">
        <v>3682719.19</v>
      </c>
      <c r="L151" s="63">
        <v>3682719.19</v>
      </c>
      <c r="M151" s="63">
        <v>3682719.19</v>
      </c>
      <c r="N151" s="63">
        <v>3682719.19</v>
      </c>
      <c r="O151" s="63">
        <v>3682719.19</v>
      </c>
      <c r="P151" s="63">
        <v>3682719.19</v>
      </c>
      <c r="Q151" s="63">
        <v>3682719.19</v>
      </c>
      <c r="R151" s="62" t="s">
        <v>497</v>
      </c>
      <c r="S151" s="494" t="s">
        <v>64</v>
      </c>
    </row>
    <row r="152" spans="1:19" s="66" customFormat="1" outlineLevel="1" x14ac:dyDescent="0.2">
      <c r="A152" s="58"/>
      <c r="B152" s="59"/>
      <c r="C152" s="62">
        <v>12090002</v>
      </c>
      <c r="D152" s="62" t="s">
        <v>65</v>
      </c>
      <c r="E152" s="63">
        <v>-2511569.44</v>
      </c>
      <c r="F152" s="63">
        <v>-2543678.4500000002</v>
      </c>
      <c r="G152" s="63">
        <v>-2565171.81</v>
      </c>
      <c r="H152" s="63">
        <v>-2604189.7200000002</v>
      </c>
      <c r="I152" s="63">
        <v>-2643207.63</v>
      </c>
      <c r="J152" s="63">
        <v>-2682225.5299999998</v>
      </c>
      <c r="K152" s="63">
        <v>-2721243.43</v>
      </c>
      <c r="L152" s="63">
        <v>-2760261.34</v>
      </c>
      <c r="M152" s="63">
        <v>-2799279.25</v>
      </c>
      <c r="N152" s="63">
        <v>-2838297.15</v>
      </c>
      <c r="O152" s="63">
        <v>-2877316.58</v>
      </c>
      <c r="P152" s="63">
        <v>-2916332.96</v>
      </c>
      <c r="Q152" s="63">
        <v>-2955350.86</v>
      </c>
      <c r="R152" s="62" t="s">
        <v>497</v>
      </c>
      <c r="S152" s="494" t="s">
        <v>943</v>
      </c>
    </row>
    <row r="153" spans="1:19" s="66" customFormat="1" outlineLevel="1" x14ac:dyDescent="0.2">
      <c r="A153" s="58"/>
      <c r="B153" s="59"/>
      <c r="C153" s="62"/>
      <c r="D153" s="62" t="s">
        <v>2</v>
      </c>
      <c r="E153" s="63" t="s">
        <v>264</v>
      </c>
      <c r="F153" s="63" t="s">
        <v>264</v>
      </c>
      <c r="G153" s="63" t="s">
        <v>264</v>
      </c>
      <c r="H153" s="63" t="s">
        <v>264</v>
      </c>
      <c r="I153" s="63" t="s">
        <v>264</v>
      </c>
      <c r="J153" s="63" t="s">
        <v>264</v>
      </c>
      <c r="K153" s="63" t="s">
        <v>264</v>
      </c>
      <c r="L153" s="63" t="s">
        <v>264</v>
      </c>
      <c r="M153" s="63" t="s">
        <v>264</v>
      </c>
      <c r="N153" s="63" t="s">
        <v>264</v>
      </c>
      <c r="O153" s="63" t="s">
        <v>264</v>
      </c>
      <c r="P153" s="63" t="s">
        <v>264</v>
      </c>
      <c r="Q153" s="63" t="s">
        <v>264</v>
      </c>
      <c r="R153" s="62" t="s">
        <v>497</v>
      </c>
      <c r="S153" s="62"/>
    </row>
    <row r="154" spans="1:19" s="66" customFormat="1" x14ac:dyDescent="0.2">
      <c r="A154" s="495" t="s">
        <v>385</v>
      </c>
      <c r="B154" s="59">
        <v>1209</v>
      </c>
      <c r="C154" s="64" t="s">
        <v>66</v>
      </c>
      <c r="D154" s="64" t="s">
        <v>64</v>
      </c>
      <c r="E154" s="65">
        <f>SUM(E151:E153)</f>
        <v>1198671.25</v>
      </c>
      <c r="F154" s="65">
        <f t="shared" ref="F154:Q154" si="19">SUM(F151:F153)</f>
        <v>1157742.2399999998</v>
      </c>
      <c r="G154" s="65">
        <f t="shared" si="19"/>
        <v>1117547.3799999999</v>
      </c>
      <c r="H154" s="65">
        <f t="shared" si="19"/>
        <v>1078529.4699999997</v>
      </c>
      <c r="I154" s="65">
        <f t="shared" si="19"/>
        <v>1039511.56</v>
      </c>
      <c r="J154" s="65">
        <f t="shared" si="19"/>
        <v>1000493.6600000001</v>
      </c>
      <c r="K154" s="65">
        <f t="shared" si="19"/>
        <v>961475.75999999978</v>
      </c>
      <c r="L154" s="65">
        <f t="shared" si="19"/>
        <v>922457.85000000009</v>
      </c>
      <c r="M154" s="65">
        <f t="shared" si="19"/>
        <v>883439.94</v>
      </c>
      <c r="N154" s="65">
        <f t="shared" si="19"/>
        <v>844422.04</v>
      </c>
      <c r="O154" s="65">
        <f t="shared" si="19"/>
        <v>805402.60999999987</v>
      </c>
      <c r="P154" s="65">
        <f t="shared" si="19"/>
        <v>766386.23</v>
      </c>
      <c r="Q154" s="65">
        <f t="shared" si="19"/>
        <v>727368.33000000007</v>
      </c>
      <c r="R154" s="62"/>
      <c r="S154" s="62"/>
    </row>
    <row r="155" spans="1:19" s="66" customFormat="1" outlineLevel="1" x14ac:dyDescent="0.2">
      <c r="A155" s="58"/>
      <c r="B155" s="59"/>
      <c r="C155" s="62"/>
      <c r="D155" s="62" t="s">
        <v>2</v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2" t="s">
        <v>497</v>
      </c>
      <c r="S155" s="62"/>
    </row>
    <row r="156" spans="1:19" s="66" customFormat="1" outlineLevel="1" x14ac:dyDescent="0.2">
      <c r="A156" s="58"/>
      <c r="B156" s="59"/>
      <c r="C156" s="62">
        <v>1210</v>
      </c>
      <c r="D156" s="62" t="s">
        <v>67</v>
      </c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2" t="s">
        <v>497</v>
      </c>
      <c r="S156" s="494" t="s">
        <v>64</v>
      </c>
    </row>
    <row r="157" spans="1:19" s="66" customFormat="1" outlineLevel="1" x14ac:dyDescent="0.2">
      <c r="A157" s="58"/>
      <c r="B157" s="59"/>
      <c r="C157" s="62">
        <v>12100001</v>
      </c>
      <c r="D157" s="62" t="s">
        <v>67</v>
      </c>
      <c r="E157" s="63">
        <v>74221.820000000007</v>
      </c>
      <c r="F157" s="63">
        <v>74221.820000000007</v>
      </c>
      <c r="G157" s="63">
        <v>74221.820000000007</v>
      </c>
      <c r="H157" s="63">
        <v>74221.820000000007</v>
      </c>
      <c r="I157" s="63">
        <v>74221.820000000007</v>
      </c>
      <c r="J157" s="63">
        <v>74221.820000000007</v>
      </c>
      <c r="K157" s="63">
        <v>74221.820000000007</v>
      </c>
      <c r="L157" s="63">
        <v>74221.820000000007</v>
      </c>
      <c r="M157" s="63">
        <v>74221.820000000007</v>
      </c>
      <c r="N157" s="63">
        <v>74221.820000000007</v>
      </c>
      <c r="O157" s="63">
        <v>74221.820000000007</v>
      </c>
      <c r="P157" s="63">
        <v>74221.820000000007</v>
      </c>
      <c r="Q157" s="63">
        <v>74221.820000000007</v>
      </c>
      <c r="R157" s="62" t="s">
        <v>497</v>
      </c>
      <c r="S157" s="494" t="s">
        <v>64</v>
      </c>
    </row>
    <row r="158" spans="1:19" s="66" customFormat="1" outlineLevel="1" x14ac:dyDescent="0.2">
      <c r="A158" s="58"/>
      <c r="B158" s="59"/>
      <c r="C158" s="62">
        <v>12100002</v>
      </c>
      <c r="D158" s="62" t="s">
        <v>68</v>
      </c>
      <c r="E158" s="63">
        <v>-74221.820000000007</v>
      </c>
      <c r="F158" s="63">
        <v>-74221.820000000007</v>
      </c>
      <c r="G158" s="63">
        <v>-74221.820000000007</v>
      </c>
      <c r="H158" s="63">
        <v>-74221.820000000007</v>
      </c>
      <c r="I158" s="63">
        <v>-74221.820000000007</v>
      </c>
      <c r="J158" s="63">
        <v>-74221.820000000007</v>
      </c>
      <c r="K158" s="63">
        <v>-74221.820000000007</v>
      </c>
      <c r="L158" s="63">
        <v>-74221.820000000007</v>
      </c>
      <c r="M158" s="63">
        <v>-74221.820000000007</v>
      </c>
      <c r="N158" s="63">
        <v>-74221.820000000007</v>
      </c>
      <c r="O158" s="63">
        <v>-74221.820000000007</v>
      </c>
      <c r="P158" s="63">
        <v>-74221.820000000007</v>
      </c>
      <c r="Q158" s="63">
        <v>-74221.820000000007</v>
      </c>
      <c r="R158" s="62" t="s">
        <v>497</v>
      </c>
      <c r="S158" s="494" t="s">
        <v>943</v>
      </c>
    </row>
    <row r="159" spans="1:19" s="66" customFormat="1" outlineLevel="1" x14ac:dyDescent="0.2">
      <c r="A159" s="58"/>
      <c r="B159" s="59"/>
      <c r="C159" s="62"/>
      <c r="D159" s="62" t="s">
        <v>2</v>
      </c>
      <c r="E159" s="63" t="s">
        <v>264</v>
      </c>
      <c r="F159" s="63" t="s">
        <v>264</v>
      </c>
      <c r="G159" s="63" t="s">
        <v>264</v>
      </c>
      <c r="H159" s="63" t="s">
        <v>264</v>
      </c>
      <c r="I159" s="63" t="s">
        <v>264</v>
      </c>
      <c r="J159" s="63" t="s">
        <v>264</v>
      </c>
      <c r="K159" s="63" t="s">
        <v>264</v>
      </c>
      <c r="L159" s="63" t="s">
        <v>264</v>
      </c>
      <c r="M159" s="63" t="s">
        <v>264</v>
      </c>
      <c r="N159" s="63" t="s">
        <v>264</v>
      </c>
      <c r="O159" s="63" t="s">
        <v>264</v>
      </c>
      <c r="P159" s="63" t="s">
        <v>264</v>
      </c>
      <c r="Q159" s="63" t="s">
        <v>264</v>
      </c>
      <c r="R159" s="62" t="s">
        <v>497</v>
      </c>
      <c r="S159" s="62"/>
    </row>
    <row r="160" spans="1:19" s="66" customFormat="1" x14ac:dyDescent="0.2">
      <c r="A160" s="495" t="s">
        <v>385</v>
      </c>
      <c r="B160" s="59">
        <v>1210</v>
      </c>
      <c r="C160" s="64" t="s">
        <v>69</v>
      </c>
      <c r="D160" s="64" t="s">
        <v>67</v>
      </c>
      <c r="E160" s="65">
        <f>SUM(E157:E159)</f>
        <v>0</v>
      </c>
      <c r="F160" s="65">
        <f t="shared" ref="F160:Q160" si="20">SUM(F157:F159)</f>
        <v>0</v>
      </c>
      <c r="G160" s="65">
        <f t="shared" si="20"/>
        <v>0</v>
      </c>
      <c r="H160" s="65">
        <f t="shared" si="20"/>
        <v>0</v>
      </c>
      <c r="I160" s="65">
        <f t="shared" si="20"/>
        <v>0</v>
      </c>
      <c r="J160" s="65">
        <f t="shared" si="20"/>
        <v>0</v>
      </c>
      <c r="K160" s="65">
        <f t="shared" si="20"/>
        <v>0</v>
      </c>
      <c r="L160" s="65">
        <f t="shared" si="20"/>
        <v>0</v>
      </c>
      <c r="M160" s="65">
        <f t="shared" si="20"/>
        <v>0</v>
      </c>
      <c r="N160" s="65">
        <f t="shared" si="20"/>
        <v>0</v>
      </c>
      <c r="O160" s="65">
        <f t="shared" si="20"/>
        <v>0</v>
      </c>
      <c r="P160" s="65">
        <f t="shared" si="20"/>
        <v>0</v>
      </c>
      <c r="Q160" s="65">
        <f t="shared" si="20"/>
        <v>0</v>
      </c>
      <c r="R160" s="62"/>
      <c r="S160" s="62"/>
    </row>
    <row r="161" spans="1:19" s="66" customFormat="1" outlineLevel="1" x14ac:dyDescent="0.2">
      <c r="A161" s="58"/>
      <c r="B161" s="59"/>
      <c r="C161" s="62"/>
      <c r="D161" s="62" t="s">
        <v>2</v>
      </c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2" t="s">
        <v>497</v>
      </c>
      <c r="S161" s="62"/>
    </row>
    <row r="162" spans="1:19" s="66" customFormat="1" outlineLevel="1" x14ac:dyDescent="0.2">
      <c r="A162" s="58"/>
      <c r="B162" s="59"/>
      <c r="C162" s="62"/>
      <c r="D162" s="62" t="s">
        <v>2</v>
      </c>
      <c r="E162" s="63" t="s">
        <v>264</v>
      </c>
      <c r="F162" s="63" t="s">
        <v>264</v>
      </c>
      <c r="G162" s="63" t="s">
        <v>264</v>
      </c>
      <c r="H162" s="63" t="s">
        <v>264</v>
      </c>
      <c r="I162" s="63" t="s">
        <v>264</v>
      </c>
      <c r="J162" s="63" t="s">
        <v>264</v>
      </c>
      <c r="K162" s="63" t="s">
        <v>264</v>
      </c>
      <c r="L162" s="63" t="s">
        <v>264</v>
      </c>
      <c r="M162" s="63" t="s">
        <v>264</v>
      </c>
      <c r="N162" s="63" t="s">
        <v>264</v>
      </c>
      <c r="O162" s="63" t="s">
        <v>264</v>
      </c>
      <c r="P162" s="63" t="s">
        <v>264</v>
      </c>
      <c r="Q162" s="63" t="s">
        <v>264</v>
      </c>
      <c r="R162" s="62" t="s">
        <v>497</v>
      </c>
      <c r="S162" s="62"/>
    </row>
    <row r="163" spans="1:19" s="66" customFormat="1" x14ac:dyDescent="0.2">
      <c r="A163" s="58"/>
      <c r="B163" s="59"/>
      <c r="C163" s="151" t="s">
        <v>70</v>
      </c>
      <c r="D163" s="60" t="s">
        <v>424</v>
      </c>
      <c r="E163" s="70">
        <f>+E123+E129+E136+E142+E148+E154+E160</f>
        <v>18042157.299999993</v>
      </c>
      <c r="F163" s="70">
        <f t="shared" ref="F163:Q163" si="21">+F123+F129+F136+F142+F148+F154+F160</f>
        <v>17897702.57</v>
      </c>
      <c r="G163" s="70">
        <f t="shared" si="21"/>
        <v>17668437.93</v>
      </c>
      <c r="H163" s="70">
        <f t="shared" si="21"/>
        <v>17464638.609999999</v>
      </c>
      <c r="I163" s="70">
        <f t="shared" si="21"/>
        <v>17121823.779999997</v>
      </c>
      <c r="J163" s="70">
        <f t="shared" si="21"/>
        <v>16883268.759999998</v>
      </c>
      <c r="K163" s="70">
        <f t="shared" si="21"/>
        <v>16644715.219999999</v>
      </c>
      <c r="L163" s="70">
        <f t="shared" si="21"/>
        <v>16406161.679999998</v>
      </c>
      <c r="M163" s="70">
        <f t="shared" si="21"/>
        <v>16167608.139999997</v>
      </c>
      <c r="N163" s="70">
        <f t="shared" si="21"/>
        <v>15929054.57</v>
      </c>
      <c r="O163" s="70">
        <f t="shared" si="21"/>
        <v>15690501.219999997</v>
      </c>
      <c r="P163" s="70">
        <f t="shared" si="21"/>
        <v>15454478.389999999</v>
      </c>
      <c r="Q163" s="70">
        <f t="shared" si="21"/>
        <v>15216154.92</v>
      </c>
      <c r="R163" s="62"/>
      <c r="S163" s="62"/>
    </row>
    <row r="164" spans="1:19" s="66" customFormat="1" outlineLevel="1" x14ac:dyDescent="0.2">
      <c r="A164" s="58"/>
      <c r="B164" s="59"/>
      <c r="C164" s="62"/>
      <c r="D164" s="62" t="s">
        <v>2</v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2"/>
      <c r="S164" s="62"/>
    </row>
    <row r="165" spans="1:19" s="66" customFormat="1" outlineLevel="1" x14ac:dyDescent="0.2">
      <c r="A165" s="58"/>
      <c r="B165" s="59"/>
      <c r="C165" s="60">
        <v>13</v>
      </c>
      <c r="D165" s="60" t="s">
        <v>427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2"/>
      <c r="S165" s="62"/>
    </row>
    <row r="166" spans="1:19" outlineLevel="1" x14ac:dyDescent="0.2">
      <c r="D166" s="62" t="s">
        <v>2</v>
      </c>
    </row>
    <row r="167" spans="1:19" outlineLevel="1" x14ac:dyDescent="0.2">
      <c r="C167" s="62">
        <v>1305</v>
      </c>
      <c r="D167" s="62" t="s">
        <v>317</v>
      </c>
      <c r="S167" s="494" t="s">
        <v>936</v>
      </c>
    </row>
    <row r="168" spans="1:19" outlineLevel="1" x14ac:dyDescent="0.2">
      <c r="C168" s="62">
        <v>13050001</v>
      </c>
      <c r="D168" s="62" t="s">
        <v>318</v>
      </c>
      <c r="R168" s="60"/>
      <c r="S168" s="494" t="s">
        <v>936</v>
      </c>
    </row>
    <row r="169" spans="1:19" outlineLevel="1" x14ac:dyDescent="0.2">
      <c r="D169" s="62" t="s">
        <v>2</v>
      </c>
      <c r="E169" s="63" t="s">
        <v>264</v>
      </c>
      <c r="F169" s="63" t="s">
        <v>264</v>
      </c>
      <c r="G169" s="63" t="s">
        <v>264</v>
      </c>
      <c r="H169" s="63" t="s">
        <v>264</v>
      </c>
      <c r="I169" s="63" t="s">
        <v>264</v>
      </c>
      <c r="J169" s="63" t="s">
        <v>264</v>
      </c>
      <c r="K169" s="63" t="s">
        <v>264</v>
      </c>
      <c r="L169" s="63" t="s">
        <v>264</v>
      </c>
      <c r="M169" s="63" t="s">
        <v>264</v>
      </c>
      <c r="N169" s="63" t="s">
        <v>264</v>
      </c>
      <c r="O169" s="63" t="s">
        <v>264</v>
      </c>
      <c r="P169" s="63" t="s">
        <v>264</v>
      </c>
      <c r="Q169" s="63" t="s">
        <v>264</v>
      </c>
    </row>
    <row r="170" spans="1:19" x14ac:dyDescent="0.2">
      <c r="A170" s="495" t="s">
        <v>413</v>
      </c>
      <c r="B170" s="59" t="str">
        <f>+RIGHT(C170,5)</f>
        <v xml:space="preserve">1305 </v>
      </c>
      <c r="C170" s="64" t="s">
        <v>78</v>
      </c>
      <c r="D170" s="64" t="s">
        <v>319</v>
      </c>
      <c r="E170" s="65">
        <f>+E168</f>
        <v>0</v>
      </c>
      <c r="F170" s="65">
        <f t="shared" ref="F170:Q170" si="22">+F168</f>
        <v>0</v>
      </c>
      <c r="G170" s="65">
        <f t="shared" si="22"/>
        <v>0</v>
      </c>
      <c r="H170" s="65">
        <f t="shared" si="22"/>
        <v>0</v>
      </c>
      <c r="I170" s="65">
        <f t="shared" si="22"/>
        <v>0</v>
      </c>
      <c r="J170" s="65">
        <f t="shared" si="22"/>
        <v>0</v>
      </c>
      <c r="K170" s="65">
        <f t="shared" si="22"/>
        <v>0</v>
      </c>
      <c r="L170" s="65">
        <f t="shared" si="22"/>
        <v>0</v>
      </c>
      <c r="M170" s="65">
        <f t="shared" si="22"/>
        <v>0</v>
      </c>
      <c r="N170" s="65">
        <f t="shared" si="22"/>
        <v>0</v>
      </c>
      <c r="O170" s="65">
        <f t="shared" si="22"/>
        <v>0</v>
      </c>
      <c r="P170" s="65">
        <f t="shared" si="22"/>
        <v>0</v>
      </c>
      <c r="Q170" s="65">
        <f t="shared" si="22"/>
        <v>0</v>
      </c>
    </row>
    <row r="171" spans="1:19" outlineLevel="1" x14ac:dyDescent="0.2">
      <c r="D171" s="62" t="s">
        <v>2</v>
      </c>
    </row>
    <row r="172" spans="1:19" outlineLevel="1" x14ac:dyDescent="0.2"/>
    <row r="173" spans="1:19" outlineLevel="1" x14ac:dyDescent="0.2">
      <c r="C173" s="62">
        <v>1306</v>
      </c>
      <c r="D173" s="62" t="s">
        <v>314</v>
      </c>
      <c r="S173" s="494" t="s">
        <v>938</v>
      </c>
    </row>
    <row r="174" spans="1:19" outlineLevel="1" x14ac:dyDescent="0.2">
      <c r="C174" s="62">
        <v>13060001</v>
      </c>
      <c r="D174" s="62" t="s">
        <v>315</v>
      </c>
      <c r="F174" s="63">
        <v>787770.05855993298</v>
      </c>
      <c r="G174" s="63">
        <v>781150.1421014464</v>
      </c>
      <c r="H174" s="63">
        <v>774530.22564295959</v>
      </c>
      <c r="I174" s="63">
        <v>767910.30918447278</v>
      </c>
      <c r="J174" s="63">
        <v>761290.39272598596</v>
      </c>
      <c r="K174" s="63">
        <v>754670.47626749915</v>
      </c>
      <c r="L174" s="63">
        <v>748050.55980901234</v>
      </c>
      <c r="M174" s="63">
        <v>741430.64335052553</v>
      </c>
      <c r="N174" s="63">
        <v>734810.72689203871</v>
      </c>
      <c r="O174" s="63">
        <v>728190.8104335519</v>
      </c>
      <c r="P174" s="63">
        <v>721570.89397506509</v>
      </c>
      <c r="Q174" s="63">
        <v>714950.97751657828</v>
      </c>
      <c r="R174" s="367"/>
      <c r="S174" s="494" t="s">
        <v>938</v>
      </c>
    </row>
    <row r="175" spans="1:19" outlineLevel="1" x14ac:dyDescent="0.2">
      <c r="D175" s="62" t="s">
        <v>2</v>
      </c>
      <c r="E175" s="63" t="s">
        <v>264</v>
      </c>
      <c r="F175" s="63" t="s">
        <v>264</v>
      </c>
      <c r="G175" s="63" t="s">
        <v>264</v>
      </c>
      <c r="H175" s="63" t="s">
        <v>264</v>
      </c>
      <c r="I175" s="63" t="s">
        <v>264</v>
      </c>
      <c r="J175" s="63" t="s">
        <v>264</v>
      </c>
      <c r="K175" s="63" t="s">
        <v>264</v>
      </c>
      <c r="L175" s="63" t="s">
        <v>264</v>
      </c>
      <c r="M175" s="63" t="s">
        <v>264</v>
      </c>
      <c r="N175" s="63" t="s">
        <v>264</v>
      </c>
      <c r="O175" s="63" t="s">
        <v>264</v>
      </c>
      <c r="P175" s="63" t="s">
        <v>264</v>
      </c>
      <c r="Q175" s="63" t="s">
        <v>264</v>
      </c>
    </row>
    <row r="176" spans="1:19" x14ac:dyDescent="0.2">
      <c r="A176" s="495" t="s">
        <v>412</v>
      </c>
      <c r="B176" s="59" t="str">
        <f>+RIGHT(C176,5)</f>
        <v xml:space="preserve">1305 </v>
      </c>
      <c r="C176" s="64" t="s">
        <v>78</v>
      </c>
      <c r="D176" s="64" t="s">
        <v>316</v>
      </c>
      <c r="E176" s="65">
        <f>SUM(E174)</f>
        <v>0</v>
      </c>
      <c r="F176" s="65">
        <f>SUM(F174)</f>
        <v>787770.05855993298</v>
      </c>
      <c r="G176" s="65">
        <f t="shared" ref="G176:Q176" si="23">SUM(G174)</f>
        <v>781150.1421014464</v>
      </c>
      <c r="H176" s="65">
        <f t="shared" si="23"/>
        <v>774530.22564295959</v>
      </c>
      <c r="I176" s="65">
        <f t="shared" si="23"/>
        <v>767910.30918447278</v>
      </c>
      <c r="J176" s="65">
        <f t="shared" si="23"/>
        <v>761290.39272598596</v>
      </c>
      <c r="K176" s="65">
        <f t="shared" si="23"/>
        <v>754670.47626749915</v>
      </c>
      <c r="L176" s="65">
        <f t="shared" si="23"/>
        <v>748050.55980901234</v>
      </c>
      <c r="M176" s="65">
        <f t="shared" si="23"/>
        <v>741430.64335052553</v>
      </c>
      <c r="N176" s="65">
        <f t="shared" si="23"/>
        <v>734810.72689203871</v>
      </c>
      <c r="O176" s="65">
        <f t="shared" si="23"/>
        <v>728190.8104335519</v>
      </c>
      <c r="P176" s="65">
        <f t="shared" si="23"/>
        <v>721570.89397506509</v>
      </c>
      <c r="Q176" s="65">
        <f t="shared" si="23"/>
        <v>714950.97751657828</v>
      </c>
    </row>
    <row r="177" spans="1:19" outlineLevel="1" x14ac:dyDescent="0.2">
      <c r="D177" s="62" t="s">
        <v>2</v>
      </c>
      <c r="E177" s="63" t="s">
        <v>264</v>
      </c>
      <c r="F177" s="63" t="s">
        <v>264</v>
      </c>
      <c r="G177" s="63" t="s">
        <v>264</v>
      </c>
      <c r="H177" s="63" t="s">
        <v>264</v>
      </c>
      <c r="I177" s="63" t="s">
        <v>264</v>
      </c>
      <c r="J177" s="63" t="s">
        <v>264</v>
      </c>
      <c r="K177" s="63" t="s">
        <v>264</v>
      </c>
      <c r="L177" s="63" t="s">
        <v>264</v>
      </c>
      <c r="M177" s="63" t="s">
        <v>264</v>
      </c>
      <c r="N177" s="63" t="s">
        <v>264</v>
      </c>
      <c r="O177" s="63" t="s">
        <v>264</v>
      </c>
      <c r="P177" s="63" t="s">
        <v>264</v>
      </c>
      <c r="Q177" s="63" t="s">
        <v>264</v>
      </c>
    </row>
    <row r="178" spans="1:19" x14ac:dyDescent="0.2">
      <c r="C178" s="151" t="s">
        <v>79</v>
      </c>
      <c r="D178" s="151" t="s">
        <v>427</v>
      </c>
      <c r="E178" s="70">
        <f>+E170+E176</f>
        <v>0</v>
      </c>
      <c r="F178" s="70">
        <f t="shared" ref="F178:Q178" si="24">+F170+F176</f>
        <v>787770.05855993298</v>
      </c>
      <c r="G178" s="70">
        <f t="shared" si="24"/>
        <v>781150.1421014464</v>
      </c>
      <c r="H178" s="70">
        <f t="shared" si="24"/>
        <v>774530.22564295959</v>
      </c>
      <c r="I178" s="70">
        <f t="shared" si="24"/>
        <v>767910.30918447278</v>
      </c>
      <c r="J178" s="70">
        <f t="shared" si="24"/>
        <v>761290.39272598596</v>
      </c>
      <c r="K178" s="70">
        <f t="shared" si="24"/>
        <v>754670.47626749915</v>
      </c>
      <c r="L178" s="70">
        <f t="shared" si="24"/>
        <v>748050.55980901234</v>
      </c>
      <c r="M178" s="70">
        <f t="shared" si="24"/>
        <v>741430.64335052553</v>
      </c>
      <c r="N178" s="70">
        <f t="shared" si="24"/>
        <v>734810.72689203871</v>
      </c>
      <c r="O178" s="70">
        <f t="shared" si="24"/>
        <v>728190.8104335519</v>
      </c>
      <c r="P178" s="70">
        <f t="shared" si="24"/>
        <v>721570.89397506509</v>
      </c>
      <c r="Q178" s="70">
        <f t="shared" si="24"/>
        <v>714950.97751657828</v>
      </c>
    </row>
    <row r="179" spans="1:19" x14ac:dyDescent="0.2">
      <c r="D179" s="62" t="s">
        <v>2</v>
      </c>
      <c r="E179" s="63" t="s">
        <v>264</v>
      </c>
      <c r="F179" s="63" t="s">
        <v>264</v>
      </c>
      <c r="G179" s="63" t="s">
        <v>264</v>
      </c>
      <c r="H179" s="63" t="s">
        <v>264</v>
      </c>
      <c r="I179" s="63" t="s">
        <v>264</v>
      </c>
      <c r="J179" s="63" t="s">
        <v>264</v>
      </c>
      <c r="K179" s="63" t="s">
        <v>264</v>
      </c>
      <c r="L179" s="63" t="s">
        <v>264</v>
      </c>
      <c r="M179" s="63" t="s">
        <v>264</v>
      </c>
      <c r="N179" s="63" t="s">
        <v>264</v>
      </c>
      <c r="O179" s="63" t="s">
        <v>264</v>
      </c>
      <c r="P179" s="63" t="s">
        <v>264</v>
      </c>
      <c r="Q179" s="63" t="s">
        <v>264</v>
      </c>
    </row>
    <row r="180" spans="1:19" s="71" customFormat="1" x14ac:dyDescent="0.2">
      <c r="A180" s="58"/>
      <c r="B180" s="59"/>
      <c r="C180" s="59" t="s">
        <v>321</v>
      </c>
      <c r="D180" s="59" t="s">
        <v>2</v>
      </c>
      <c r="E180" s="61">
        <f>+E178+E163+E116</f>
        <v>108881023.42000003</v>
      </c>
      <c r="F180" s="61">
        <f t="shared" ref="F180:Q180" si="25">+F178+F163+F116</f>
        <v>101511609.07855994</v>
      </c>
      <c r="G180" s="61">
        <f t="shared" si="25"/>
        <v>104088225.84260109</v>
      </c>
      <c r="H180" s="61">
        <f t="shared" si="25"/>
        <v>106767217.3563924</v>
      </c>
      <c r="I180" s="61">
        <f t="shared" si="25"/>
        <v>104885457.26018372</v>
      </c>
      <c r="J180" s="61">
        <f t="shared" si="25"/>
        <v>102294287.50397506</v>
      </c>
      <c r="K180" s="61">
        <f t="shared" si="25"/>
        <v>115062006.9577664</v>
      </c>
      <c r="L180" s="61">
        <f t="shared" si="25"/>
        <v>117766857.66155772</v>
      </c>
      <c r="M180" s="61">
        <f t="shared" si="25"/>
        <v>120841180.71534908</v>
      </c>
      <c r="N180" s="61">
        <f t="shared" si="25"/>
        <v>124910781.19914043</v>
      </c>
      <c r="O180" s="61">
        <f t="shared" si="25"/>
        <v>124354502.27293169</v>
      </c>
      <c r="P180" s="61">
        <f t="shared" si="25"/>
        <v>128088949.07672304</v>
      </c>
      <c r="Q180" s="61">
        <f t="shared" si="25"/>
        <v>134611730.29051435</v>
      </c>
      <c r="S180" s="62"/>
    </row>
    <row r="181" spans="1:19" s="71" customFormat="1" x14ac:dyDescent="0.2">
      <c r="A181" s="58"/>
      <c r="B181" s="59"/>
      <c r="C181" s="59"/>
      <c r="D181" s="59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S181" s="62"/>
    </row>
    <row r="182" spans="1:19" x14ac:dyDescent="0.2">
      <c r="C182" s="151" t="s">
        <v>80</v>
      </c>
      <c r="D182" s="62" t="s">
        <v>2</v>
      </c>
    </row>
    <row r="183" spans="1:19" outlineLevel="1" x14ac:dyDescent="0.2">
      <c r="C183" s="60">
        <v>21</v>
      </c>
      <c r="D183" s="60" t="s">
        <v>81</v>
      </c>
    </row>
    <row r="184" spans="1:19" outlineLevel="1" x14ac:dyDescent="0.2">
      <c r="C184" s="60"/>
      <c r="D184" s="60"/>
    </row>
    <row r="185" spans="1:19" s="66" customFormat="1" outlineLevel="1" x14ac:dyDescent="0.2">
      <c r="A185" s="58"/>
      <c r="B185" s="59"/>
      <c r="C185" s="62">
        <v>2102</v>
      </c>
      <c r="D185" s="62" t="s">
        <v>87</v>
      </c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2"/>
      <c r="S185" s="494" t="s">
        <v>944</v>
      </c>
    </row>
    <row r="186" spans="1:19" s="66" customFormat="1" outlineLevel="1" x14ac:dyDescent="0.2">
      <c r="A186" s="58"/>
      <c r="B186" s="59"/>
      <c r="C186" s="62">
        <v>21020001</v>
      </c>
      <c r="D186" s="62" t="s">
        <v>88</v>
      </c>
      <c r="E186" s="63">
        <v>-9815259.9100000001</v>
      </c>
      <c r="F186" s="63">
        <v>-6575676.6200000001</v>
      </c>
      <c r="G186" s="63">
        <v>-4522810.8600000003</v>
      </c>
      <c r="H186" s="63">
        <v>-2835615.87</v>
      </c>
      <c r="I186" s="63">
        <v>-2106337.5699999998</v>
      </c>
      <c r="J186" s="63">
        <v>-1627737.58</v>
      </c>
      <c r="K186" s="63">
        <v>-3389442.53</v>
      </c>
      <c r="L186" s="63">
        <v>-4117808.56</v>
      </c>
      <c r="M186" s="63">
        <v>-4102532.68</v>
      </c>
      <c r="N186" s="63">
        <v>-2390297.56</v>
      </c>
      <c r="O186" s="63">
        <v>-3047764.02</v>
      </c>
      <c r="P186" s="63">
        <v>-3766616.61</v>
      </c>
      <c r="Q186" s="63">
        <v>-3589695.23</v>
      </c>
      <c r="R186" s="62"/>
      <c r="S186" s="494" t="s">
        <v>945</v>
      </c>
    </row>
    <row r="187" spans="1:19" s="66" customFormat="1" outlineLevel="1" x14ac:dyDescent="0.2">
      <c r="A187" s="58"/>
      <c r="B187" s="59"/>
      <c r="C187" s="62">
        <v>21020002</v>
      </c>
      <c r="D187" s="62" t="s">
        <v>89</v>
      </c>
      <c r="E187" s="63">
        <v>-2970309.21</v>
      </c>
      <c r="F187" s="63">
        <v>-1922493.94</v>
      </c>
      <c r="G187" s="63">
        <v>-2466881.9</v>
      </c>
      <c r="H187" s="63">
        <v>-1374576.5</v>
      </c>
      <c r="I187" s="63">
        <v>-1376184.96</v>
      </c>
      <c r="J187" s="63">
        <v>-1497425.96</v>
      </c>
      <c r="K187" s="63">
        <v>-1990505.89</v>
      </c>
      <c r="L187" s="63">
        <v>-2089815.28</v>
      </c>
      <c r="M187" s="63">
        <v>-1711119.84</v>
      </c>
      <c r="N187" s="63">
        <v>-1499134.08</v>
      </c>
      <c r="O187" s="63">
        <v>-1540862.74</v>
      </c>
      <c r="P187" s="63">
        <v>-1747451.09</v>
      </c>
      <c r="Q187" s="63">
        <v>-2306583.79</v>
      </c>
      <c r="R187" s="62"/>
      <c r="S187" s="494" t="s">
        <v>946</v>
      </c>
    </row>
    <row r="188" spans="1:19" s="66" customFormat="1" outlineLevel="1" x14ac:dyDescent="0.2">
      <c r="A188" s="58"/>
      <c r="B188" s="59"/>
      <c r="C188" s="62">
        <v>21020004</v>
      </c>
      <c r="D188" s="62" t="s">
        <v>90</v>
      </c>
      <c r="E188" s="63">
        <v>-6752158.2300000004</v>
      </c>
      <c r="F188" s="63">
        <v>-2937569.08</v>
      </c>
      <c r="G188" s="63">
        <v>-3109040.12</v>
      </c>
      <c r="H188" s="63">
        <v>-8505559.9700000007</v>
      </c>
      <c r="I188" s="63">
        <v>-4756456.26</v>
      </c>
      <c r="J188" s="63">
        <v>-3837912.83</v>
      </c>
      <c r="K188" s="63">
        <v>-7373925</v>
      </c>
      <c r="L188" s="63">
        <v>-5029546.67</v>
      </c>
      <c r="M188" s="63">
        <v>-5989086.29</v>
      </c>
      <c r="N188" s="63">
        <v>-5631028.54</v>
      </c>
      <c r="O188" s="63">
        <v>-3593904.3</v>
      </c>
      <c r="P188" s="63">
        <v>-3826793.27</v>
      </c>
      <c r="Q188" s="63">
        <v>-6403817.3399999999</v>
      </c>
      <c r="R188" s="62"/>
      <c r="S188" s="494" t="s">
        <v>944</v>
      </c>
    </row>
    <row r="189" spans="1:19" s="66" customFormat="1" outlineLevel="1" x14ac:dyDescent="0.2">
      <c r="A189" s="58"/>
      <c r="B189" s="59"/>
      <c r="C189" s="62">
        <v>21020005</v>
      </c>
      <c r="D189" s="62" t="s">
        <v>520</v>
      </c>
      <c r="E189" s="63">
        <v>-841796.99</v>
      </c>
      <c r="F189" s="63">
        <v>-653044.93999999994</v>
      </c>
      <c r="G189" s="63">
        <v>-682070.56</v>
      </c>
      <c r="H189" s="63">
        <v>-550049.51</v>
      </c>
      <c r="I189" s="63">
        <v>-512194.51</v>
      </c>
      <c r="J189" s="63">
        <v>-763932.8</v>
      </c>
      <c r="K189" s="63">
        <v>-470950.86</v>
      </c>
      <c r="L189" s="63">
        <v>-343024.83</v>
      </c>
      <c r="M189" s="63">
        <v>-420787.7</v>
      </c>
      <c r="N189" s="63">
        <v>-768823.7</v>
      </c>
      <c r="O189" s="63">
        <v>-451929.68</v>
      </c>
      <c r="P189" s="63">
        <v>-410570.22</v>
      </c>
      <c r="Q189" s="63">
        <v>-3072.38</v>
      </c>
      <c r="R189" s="62"/>
      <c r="S189" s="494" t="s">
        <v>944</v>
      </c>
    </row>
    <row r="190" spans="1:19" s="66" customFormat="1" outlineLevel="1" x14ac:dyDescent="0.2">
      <c r="A190" s="58"/>
      <c r="B190" s="59"/>
      <c r="C190" s="62"/>
      <c r="D190" s="62" t="s">
        <v>2</v>
      </c>
      <c r="E190" s="63" t="s">
        <v>264</v>
      </c>
      <c r="F190" s="63" t="s">
        <v>264</v>
      </c>
      <c r="G190" s="63" t="s">
        <v>264</v>
      </c>
      <c r="H190" s="63" t="s">
        <v>264</v>
      </c>
      <c r="I190" s="63" t="s">
        <v>264</v>
      </c>
      <c r="J190" s="63" t="s">
        <v>264</v>
      </c>
      <c r="K190" s="63" t="s">
        <v>264</v>
      </c>
      <c r="L190" s="63" t="s">
        <v>264</v>
      </c>
      <c r="M190" s="63" t="s">
        <v>264</v>
      </c>
      <c r="N190" s="63" t="s">
        <v>264</v>
      </c>
      <c r="O190" s="63" t="s">
        <v>264</v>
      </c>
      <c r="P190" s="63" t="s">
        <v>264</v>
      </c>
      <c r="Q190" s="63" t="s">
        <v>264</v>
      </c>
      <c r="R190" s="62"/>
      <c r="S190" s="62"/>
    </row>
    <row r="191" spans="1:19" s="66" customFormat="1" ht="15" x14ac:dyDescent="0.25">
      <c r="A191" s="28" t="s">
        <v>428</v>
      </c>
      <c r="B191" s="59" t="str">
        <f>+RIGHT(C191,5)</f>
        <v xml:space="preserve">2102 </v>
      </c>
      <c r="C191" s="64" t="s">
        <v>91</v>
      </c>
      <c r="D191" s="64" t="s">
        <v>87</v>
      </c>
      <c r="E191" s="65">
        <f>SUM(E186:E190)</f>
        <v>-20379524.34</v>
      </c>
      <c r="F191" s="65">
        <f t="shared" ref="F191:Q191" si="26">SUM(F186:F190)</f>
        <v>-12088784.58</v>
      </c>
      <c r="G191" s="65">
        <f t="shared" si="26"/>
        <v>-10780803.439999999</v>
      </c>
      <c r="H191" s="65">
        <f t="shared" si="26"/>
        <v>-13265801.85</v>
      </c>
      <c r="I191" s="65">
        <f t="shared" si="26"/>
        <v>-8751173.2999999989</v>
      </c>
      <c r="J191" s="65">
        <f t="shared" si="26"/>
        <v>-7727009.1699999999</v>
      </c>
      <c r="K191" s="65">
        <f t="shared" si="26"/>
        <v>-13224824.279999999</v>
      </c>
      <c r="L191" s="65">
        <f t="shared" si="26"/>
        <v>-11580195.34</v>
      </c>
      <c r="M191" s="65">
        <f t="shared" si="26"/>
        <v>-12223526.51</v>
      </c>
      <c r="N191" s="65">
        <f t="shared" si="26"/>
        <v>-10289283.879999999</v>
      </c>
      <c r="O191" s="65">
        <f t="shared" si="26"/>
        <v>-8634460.7400000002</v>
      </c>
      <c r="P191" s="65">
        <f t="shared" si="26"/>
        <v>-9751431.1900000013</v>
      </c>
      <c r="Q191" s="65">
        <f t="shared" si="26"/>
        <v>-12303168.74</v>
      </c>
      <c r="R191" s="62"/>
      <c r="S191" s="62"/>
    </row>
    <row r="192" spans="1:19" outlineLevel="1" x14ac:dyDescent="0.2">
      <c r="C192" s="60"/>
      <c r="D192" s="60"/>
    </row>
    <row r="193" spans="1:19" s="66" customFormat="1" outlineLevel="1" x14ac:dyDescent="0.2">
      <c r="A193" s="58"/>
      <c r="B193" s="59"/>
      <c r="C193" s="62">
        <v>2112</v>
      </c>
      <c r="D193" s="62" t="s">
        <v>308</v>
      </c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2"/>
      <c r="S193" s="62"/>
    </row>
    <row r="194" spans="1:19" s="66" customFormat="1" outlineLevel="1" x14ac:dyDescent="0.2">
      <c r="A194" s="58"/>
      <c r="B194" s="59"/>
      <c r="C194" s="62">
        <v>21120001</v>
      </c>
      <c r="D194" s="62" t="s">
        <v>304</v>
      </c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2"/>
      <c r="S194" s="62"/>
    </row>
    <row r="195" spans="1:19" s="66" customFormat="1" outlineLevel="1" x14ac:dyDescent="0.2">
      <c r="A195" s="58"/>
      <c r="B195" s="59"/>
      <c r="C195" s="62"/>
      <c r="D195" s="62" t="s">
        <v>2</v>
      </c>
      <c r="E195" s="63" t="s">
        <v>264</v>
      </c>
      <c r="F195" s="63" t="s">
        <v>264</v>
      </c>
      <c r="G195" s="63" t="s">
        <v>264</v>
      </c>
      <c r="H195" s="63" t="s">
        <v>264</v>
      </c>
      <c r="I195" s="63" t="s">
        <v>264</v>
      </c>
      <c r="J195" s="63" t="s">
        <v>264</v>
      </c>
      <c r="K195" s="63" t="s">
        <v>264</v>
      </c>
      <c r="L195" s="63" t="s">
        <v>264</v>
      </c>
      <c r="M195" s="63" t="s">
        <v>264</v>
      </c>
      <c r="N195" s="63" t="s">
        <v>264</v>
      </c>
      <c r="O195" s="63" t="s">
        <v>264</v>
      </c>
      <c r="P195" s="63" t="s">
        <v>264</v>
      </c>
      <c r="Q195" s="63" t="s">
        <v>264</v>
      </c>
      <c r="R195" s="62"/>
      <c r="S195" s="62"/>
    </row>
    <row r="196" spans="1:19" s="66" customFormat="1" ht="15" x14ac:dyDescent="0.25">
      <c r="A196" s="28" t="s">
        <v>430</v>
      </c>
      <c r="B196" s="59" t="str">
        <f>+RIGHT(C196,5)</f>
        <v xml:space="preserve"> 2112</v>
      </c>
      <c r="C196" s="64" t="s">
        <v>306</v>
      </c>
      <c r="D196" s="64" t="s">
        <v>303</v>
      </c>
      <c r="E196" s="61">
        <f t="shared" ref="E196:Q196" si="27">SUM(E194:E195)</f>
        <v>0</v>
      </c>
      <c r="F196" s="65">
        <f t="shared" si="27"/>
        <v>0</v>
      </c>
      <c r="G196" s="65">
        <f t="shared" si="27"/>
        <v>0</v>
      </c>
      <c r="H196" s="65">
        <f t="shared" si="27"/>
        <v>0</v>
      </c>
      <c r="I196" s="65">
        <f t="shared" si="27"/>
        <v>0</v>
      </c>
      <c r="J196" s="65">
        <f t="shared" si="27"/>
        <v>0</v>
      </c>
      <c r="K196" s="65">
        <f t="shared" si="27"/>
        <v>0</v>
      </c>
      <c r="L196" s="65">
        <f t="shared" si="27"/>
        <v>0</v>
      </c>
      <c r="M196" s="65">
        <f t="shared" si="27"/>
        <v>0</v>
      </c>
      <c r="N196" s="65">
        <f t="shared" si="27"/>
        <v>0</v>
      </c>
      <c r="O196" s="65">
        <f t="shared" si="27"/>
        <v>0</v>
      </c>
      <c r="P196" s="65">
        <f t="shared" si="27"/>
        <v>0</v>
      </c>
      <c r="Q196" s="65">
        <f t="shared" si="27"/>
        <v>0</v>
      </c>
      <c r="R196" s="62"/>
      <c r="S196" s="62"/>
    </row>
    <row r="197" spans="1:19" s="66" customFormat="1" outlineLevel="1" x14ac:dyDescent="0.2">
      <c r="A197" s="58"/>
      <c r="B197" s="59"/>
      <c r="C197" s="62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2"/>
      <c r="S197" s="62"/>
    </row>
    <row r="198" spans="1:19" s="66" customFormat="1" outlineLevel="1" x14ac:dyDescent="0.2">
      <c r="A198" s="58"/>
      <c r="B198" s="59"/>
      <c r="C198" s="62">
        <v>2103</v>
      </c>
      <c r="D198" s="62" t="s">
        <v>92</v>
      </c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2"/>
      <c r="S198" s="494" t="s">
        <v>948</v>
      </c>
    </row>
    <row r="199" spans="1:19" s="66" customFormat="1" outlineLevel="1" x14ac:dyDescent="0.2">
      <c r="A199" s="58"/>
      <c r="B199" s="59"/>
      <c r="C199" s="62">
        <v>21030001</v>
      </c>
      <c r="D199" s="62" t="s">
        <v>93</v>
      </c>
      <c r="E199" s="63">
        <v>-787788.26999999641</v>
      </c>
      <c r="F199" s="63">
        <v>-648690.27000000386</v>
      </c>
      <c r="G199" s="63">
        <v>-1265549.5500000028</v>
      </c>
      <c r="H199" s="63">
        <v>-957513.47000000195</v>
      </c>
      <c r="I199" s="63">
        <v>-2237094.8600000017</v>
      </c>
      <c r="J199" s="63">
        <v>-2238310.4100000006</v>
      </c>
      <c r="K199" s="63">
        <v>-1664551.45</v>
      </c>
      <c r="L199" s="63">
        <v>-1764908.730000007</v>
      </c>
      <c r="M199" s="63">
        <v>-901075.66000000935</v>
      </c>
      <c r="N199" s="63">
        <v>-992838.2100000066</v>
      </c>
      <c r="O199" s="63">
        <v>-706799.07000000204</v>
      </c>
      <c r="P199" s="63">
        <v>-852198.99999999988</v>
      </c>
      <c r="Q199" s="63">
        <v>-836736.11000000453</v>
      </c>
      <c r="R199" s="62"/>
      <c r="S199" s="494" t="s">
        <v>948</v>
      </c>
    </row>
    <row r="200" spans="1:19" s="66" customFormat="1" outlineLevel="1" x14ac:dyDescent="0.2">
      <c r="A200" s="58"/>
      <c r="B200" s="59"/>
      <c r="C200" s="62"/>
      <c r="D200" s="62" t="s">
        <v>2</v>
      </c>
      <c r="E200" s="63" t="s">
        <v>264</v>
      </c>
      <c r="F200" s="63" t="s">
        <v>264</v>
      </c>
      <c r="G200" s="63" t="s">
        <v>264</v>
      </c>
      <c r="H200" s="63" t="s">
        <v>264</v>
      </c>
      <c r="I200" s="63" t="s">
        <v>264</v>
      </c>
      <c r="J200" s="63" t="s">
        <v>264</v>
      </c>
      <c r="K200" s="63" t="s">
        <v>264</v>
      </c>
      <c r="L200" s="63" t="s">
        <v>264</v>
      </c>
      <c r="M200" s="63" t="s">
        <v>264</v>
      </c>
      <c r="N200" s="63" t="s">
        <v>264</v>
      </c>
      <c r="O200" s="63" t="s">
        <v>264</v>
      </c>
      <c r="P200" s="63" t="s">
        <v>264</v>
      </c>
      <c r="Q200" s="63" t="s">
        <v>264</v>
      </c>
      <c r="R200" s="62"/>
      <c r="S200" s="62"/>
    </row>
    <row r="201" spans="1:19" s="66" customFormat="1" ht="15" x14ac:dyDescent="0.25">
      <c r="A201" s="28" t="s">
        <v>390</v>
      </c>
      <c r="B201" s="59" t="str">
        <f>+RIGHT(C201,5)</f>
        <v xml:space="preserve">2103 </v>
      </c>
      <c r="C201" s="64" t="s">
        <v>94</v>
      </c>
      <c r="D201" s="64" t="s">
        <v>92</v>
      </c>
      <c r="E201" s="65">
        <f>SUM(E199:E200)</f>
        <v>-787788.26999999641</v>
      </c>
      <c r="F201" s="65">
        <f t="shared" ref="F201:Q201" si="28">SUM(F199:F200)</f>
        <v>-648690.27000000386</v>
      </c>
      <c r="G201" s="65">
        <f t="shared" si="28"/>
        <v>-1265549.5500000028</v>
      </c>
      <c r="H201" s="65">
        <f t="shared" si="28"/>
        <v>-957513.47000000195</v>
      </c>
      <c r="I201" s="65">
        <f t="shared" si="28"/>
        <v>-2237094.8600000017</v>
      </c>
      <c r="J201" s="65">
        <f t="shared" si="28"/>
        <v>-2238310.4100000006</v>
      </c>
      <c r="K201" s="65">
        <f t="shared" si="28"/>
        <v>-1664551.45</v>
      </c>
      <c r="L201" s="65">
        <f t="shared" si="28"/>
        <v>-1764908.730000007</v>
      </c>
      <c r="M201" s="65">
        <f t="shared" si="28"/>
        <v>-901075.66000000935</v>
      </c>
      <c r="N201" s="65">
        <f t="shared" si="28"/>
        <v>-992838.2100000066</v>
      </c>
      <c r="O201" s="65">
        <f t="shared" si="28"/>
        <v>-706799.07000000204</v>
      </c>
      <c r="P201" s="65">
        <f t="shared" si="28"/>
        <v>-852198.99999999988</v>
      </c>
      <c r="Q201" s="65">
        <f t="shared" si="28"/>
        <v>-836736.11000000453</v>
      </c>
      <c r="R201" s="62"/>
      <c r="S201" s="62"/>
    </row>
    <row r="202" spans="1:19" outlineLevel="1" x14ac:dyDescent="0.2">
      <c r="C202" s="60"/>
      <c r="D202" s="60"/>
    </row>
    <row r="203" spans="1:19" outlineLevel="1" x14ac:dyDescent="0.2">
      <c r="C203" s="62">
        <v>2101</v>
      </c>
      <c r="D203" s="62" t="s">
        <v>82</v>
      </c>
      <c r="S203" s="494" t="s">
        <v>949</v>
      </c>
    </row>
    <row r="204" spans="1:19" s="66" customFormat="1" outlineLevel="1" x14ac:dyDescent="0.2">
      <c r="A204" s="58"/>
      <c r="B204" s="59"/>
      <c r="C204" s="62">
        <v>21010001</v>
      </c>
      <c r="D204" s="62" t="s">
        <v>83</v>
      </c>
      <c r="E204" s="63">
        <v>-64144</v>
      </c>
      <c r="F204" s="63">
        <v>-81104</v>
      </c>
      <c r="G204" s="63">
        <v>-72711</v>
      </c>
      <c r="H204" s="63">
        <v>-64679</v>
      </c>
      <c r="I204" s="63">
        <v>-64644</v>
      </c>
      <c r="J204" s="63">
        <v>-64235</v>
      </c>
      <c r="K204" s="63">
        <v>-59903</v>
      </c>
      <c r="L204" s="63">
        <v>-66873</v>
      </c>
      <c r="M204" s="63">
        <v>-61742</v>
      </c>
      <c r="N204" s="63">
        <v>-69684</v>
      </c>
      <c r="O204" s="63">
        <v>-58553</v>
      </c>
      <c r="P204" s="63">
        <v>-60111</v>
      </c>
      <c r="Q204" s="63">
        <v>0</v>
      </c>
      <c r="R204" s="62"/>
      <c r="S204" s="494" t="s">
        <v>949</v>
      </c>
    </row>
    <row r="205" spans="1:19" s="66" customFormat="1" outlineLevel="1" x14ac:dyDescent="0.2">
      <c r="A205" s="58"/>
      <c r="B205" s="59"/>
      <c r="C205" s="62">
        <v>21010002</v>
      </c>
      <c r="D205" s="62" t="s">
        <v>84</v>
      </c>
      <c r="E205" s="63"/>
      <c r="F205" s="63">
        <v>-120378.12</v>
      </c>
      <c r="G205" s="63">
        <v>-247053.09</v>
      </c>
      <c r="H205" s="63"/>
      <c r="I205" s="63"/>
      <c r="J205" s="63">
        <v>-38465.769999999997</v>
      </c>
      <c r="K205" s="63">
        <v>-121499.93</v>
      </c>
      <c r="L205" s="63"/>
      <c r="M205" s="63">
        <v>-121990.47</v>
      </c>
      <c r="N205" s="63">
        <v>-235100.6</v>
      </c>
      <c r="O205" s="63">
        <v>-352206.88</v>
      </c>
      <c r="P205" s="63">
        <v>-468403.45</v>
      </c>
      <c r="Q205" s="63"/>
      <c r="R205" s="62"/>
      <c r="S205" s="494" t="s">
        <v>949</v>
      </c>
    </row>
    <row r="206" spans="1:19" s="66" customFormat="1" outlineLevel="1" x14ac:dyDescent="0.2">
      <c r="A206" s="58"/>
      <c r="B206" s="59"/>
      <c r="C206" s="62">
        <v>21010003</v>
      </c>
      <c r="D206" s="62" t="s">
        <v>85</v>
      </c>
      <c r="E206" s="63">
        <v>-2228476.23</v>
      </c>
      <c r="F206" s="63">
        <v>-2499475.6800000002</v>
      </c>
      <c r="G206" s="63">
        <v>-2793028.86</v>
      </c>
      <c r="H206" s="63">
        <v>-901178.95</v>
      </c>
      <c r="I206" s="63">
        <v>-1144278.8899999999</v>
      </c>
      <c r="J206" s="63">
        <v>-1206855.6599999999</v>
      </c>
      <c r="K206" s="63">
        <v>-1469553.38</v>
      </c>
      <c r="L206" s="63">
        <v>-2073977.08</v>
      </c>
      <c r="M206" s="63">
        <v>-2661991.7400000002</v>
      </c>
      <c r="N206" s="63">
        <v>-3952778.36</v>
      </c>
      <c r="O206" s="63">
        <v>-4379694.75</v>
      </c>
      <c r="P206" s="63">
        <v>-4798621.07</v>
      </c>
      <c r="Q206" s="63">
        <v>0</v>
      </c>
      <c r="R206" s="62"/>
      <c r="S206" s="494" t="s">
        <v>949</v>
      </c>
    </row>
    <row r="207" spans="1:19" s="66" customFormat="1" outlineLevel="1" x14ac:dyDescent="0.2">
      <c r="A207" s="58"/>
      <c r="B207" s="59"/>
      <c r="C207" s="62"/>
      <c r="D207" s="62" t="s">
        <v>2</v>
      </c>
      <c r="E207" s="63" t="s">
        <v>264</v>
      </c>
      <c r="F207" s="63" t="s">
        <v>264</v>
      </c>
      <c r="G207" s="63" t="s">
        <v>264</v>
      </c>
      <c r="H207" s="63" t="s">
        <v>264</v>
      </c>
      <c r="I207" s="63" t="s">
        <v>264</v>
      </c>
      <c r="J207" s="63" t="s">
        <v>264</v>
      </c>
      <c r="K207" s="63" t="s">
        <v>264</v>
      </c>
      <c r="L207" s="63" t="s">
        <v>264</v>
      </c>
      <c r="M207" s="63" t="s">
        <v>264</v>
      </c>
      <c r="N207" s="63" t="s">
        <v>264</v>
      </c>
      <c r="O207" s="63" t="s">
        <v>264</v>
      </c>
      <c r="P207" s="63" t="s">
        <v>264</v>
      </c>
      <c r="Q207" s="63" t="s">
        <v>264</v>
      </c>
      <c r="R207" s="62"/>
      <c r="S207" s="62"/>
    </row>
    <row r="208" spans="1:19" s="66" customFormat="1" ht="15" x14ac:dyDescent="0.25">
      <c r="A208" s="28" t="s">
        <v>389</v>
      </c>
      <c r="B208" s="59" t="str">
        <f>+RIGHT(C208,5)</f>
        <v xml:space="preserve">2101 </v>
      </c>
      <c r="C208" s="64" t="s">
        <v>86</v>
      </c>
      <c r="D208" s="64" t="s">
        <v>82</v>
      </c>
      <c r="E208" s="65">
        <f>SUM(E204:E207)</f>
        <v>-2292620.23</v>
      </c>
      <c r="F208" s="65">
        <f t="shared" ref="F208:Q208" si="29">SUM(F204:F207)</f>
        <v>-2700957.8000000003</v>
      </c>
      <c r="G208" s="65">
        <f t="shared" si="29"/>
        <v>-3112792.9499999997</v>
      </c>
      <c r="H208" s="65">
        <f t="shared" si="29"/>
        <v>-965857.95</v>
      </c>
      <c r="I208" s="65">
        <f t="shared" si="29"/>
        <v>-1208922.8899999999</v>
      </c>
      <c r="J208" s="65">
        <f t="shared" si="29"/>
        <v>-1309556.43</v>
      </c>
      <c r="K208" s="65">
        <f t="shared" si="29"/>
        <v>-1650956.3099999998</v>
      </c>
      <c r="L208" s="65">
        <f t="shared" si="29"/>
        <v>-2140850.08</v>
      </c>
      <c r="M208" s="65">
        <f t="shared" si="29"/>
        <v>-2845724.2100000004</v>
      </c>
      <c r="N208" s="65">
        <f t="shared" si="29"/>
        <v>-4257562.96</v>
      </c>
      <c r="O208" s="65">
        <f t="shared" si="29"/>
        <v>-4790454.63</v>
      </c>
      <c r="P208" s="65">
        <f t="shared" si="29"/>
        <v>-5327135.5200000005</v>
      </c>
      <c r="Q208" s="65">
        <f t="shared" si="29"/>
        <v>0</v>
      </c>
      <c r="R208" s="62"/>
      <c r="S208" s="62"/>
    </row>
    <row r="209" spans="1:19" s="66" customFormat="1" outlineLevel="1" x14ac:dyDescent="0.2">
      <c r="A209" s="58"/>
      <c r="B209" s="59"/>
      <c r="C209" s="62"/>
      <c r="D209" s="62" t="s">
        <v>2</v>
      </c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2"/>
      <c r="S209" s="62"/>
    </row>
    <row r="210" spans="1:19" s="66" customFormat="1" outlineLevel="1" x14ac:dyDescent="0.2">
      <c r="A210" s="58"/>
      <c r="B210" s="59"/>
      <c r="C210" s="62">
        <v>2105</v>
      </c>
      <c r="D210" s="62" t="s">
        <v>526</v>
      </c>
      <c r="E210" s="63"/>
      <c r="F210" s="63">
        <f t="shared" ref="F210:Q210" si="30">+E212-F212</f>
        <v>1037.42</v>
      </c>
      <c r="G210" s="63">
        <f>+F212-G212</f>
        <v>3790.95</v>
      </c>
      <c r="H210" s="63">
        <f t="shared" si="30"/>
        <v>-3165.3799999999997</v>
      </c>
      <c r="I210" s="63">
        <f t="shared" si="30"/>
        <v>-0.38000000000010914</v>
      </c>
      <c r="J210" s="63">
        <f t="shared" si="30"/>
        <v>6454.75</v>
      </c>
      <c r="K210" s="63">
        <f t="shared" si="30"/>
        <v>-4741.54</v>
      </c>
      <c r="L210" s="63">
        <f t="shared" si="30"/>
        <v>-4094.6399999999994</v>
      </c>
      <c r="M210" s="63">
        <f t="shared" si="30"/>
        <v>2046.86</v>
      </c>
      <c r="N210" s="63">
        <f t="shared" si="30"/>
        <v>2227.1999999999998</v>
      </c>
      <c r="O210" s="63">
        <f t="shared" si="30"/>
        <v>-4879.7999999999993</v>
      </c>
      <c r="P210" s="63">
        <f t="shared" si="30"/>
        <v>2137.6999999999998</v>
      </c>
      <c r="Q210" s="63">
        <f t="shared" si="30"/>
        <v>-90.299999999999727</v>
      </c>
      <c r="R210" s="62"/>
    </row>
    <row r="211" spans="1:19" s="66" customFormat="1" outlineLevel="1" x14ac:dyDescent="0.2">
      <c r="A211" s="58"/>
      <c r="B211" s="59"/>
      <c r="C211" s="62">
        <v>21050001</v>
      </c>
      <c r="D211" s="62" t="s">
        <v>95</v>
      </c>
      <c r="E211" s="63">
        <v>-605841.52</v>
      </c>
      <c r="F211" s="63">
        <v>-320436.09000000003</v>
      </c>
      <c r="G211" s="63">
        <v>-136250.35999999999</v>
      </c>
      <c r="H211" s="63">
        <v>-915062.96</v>
      </c>
      <c r="I211" s="63">
        <v>-284233.61</v>
      </c>
      <c r="J211" s="63">
        <v>-1551156.53</v>
      </c>
      <c r="K211" s="63">
        <v>-718469.38</v>
      </c>
      <c r="L211" s="63">
        <v>-299901.74</v>
      </c>
      <c r="M211" s="63">
        <v>-269580.06</v>
      </c>
      <c r="N211" s="63">
        <v>-336035.29</v>
      </c>
      <c r="O211" s="63">
        <v>-298008.09999999998</v>
      </c>
      <c r="P211" s="63">
        <v>-273276.87</v>
      </c>
      <c r="Q211" s="63">
        <v>-577021.79</v>
      </c>
      <c r="R211" s="62"/>
      <c r="S211" s="494" t="s">
        <v>947</v>
      </c>
    </row>
    <row r="212" spans="1:19" s="66" customFormat="1" outlineLevel="1" x14ac:dyDescent="0.2">
      <c r="A212" s="58"/>
      <c r="B212" s="59"/>
      <c r="C212" s="62">
        <v>21050002</v>
      </c>
      <c r="D212" s="62" t="s">
        <v>96</v>
      </c>
      <c r="E212" s="63">
        <v>-1949.54</v>
      </c>
      <c r="F212" s="63">
        <v>-2986.96</v>
      </c>
      <c r="G212" s="63">
        <v>-6777.91</v>
      </c>
      <c r="H212" s="63">
        <v>-3612.53</v>
      </c>
      <c r="I212" s="63">
        <v>-3612.15</v>
      </c>
      <c r="J212" s="63">
        <v>-10066.9</v>
      </c>
      <c r="K212" s="63">
        <v>-5325.36</v>
      </c>
      <c r="L212" s="63">
        <v>-1230.72</v>
      </c>
      <c r="M212" s="63">
        <v>-3277.58</v>
      </c>
      <c r="N212" s="63">
        <v>-5504.78</v>
      </c>
      <c r="O212" s="63">
        <v>-624.98</v>
      </c>
      <c r="P212" s="63">
        <v>-2762.68</v>
      </c>
      <c r="Q212" s="63">
        <v>-2672.38</v>
      </c>
      <c r="R212" s="62"/>
      <c r="S212" s="494" t="s">
        <v>947</v>
      </c>
    </row>
    <row r="213" spans="1:19" s="66" customFormat="1" outlineLevel="1" x14ac:dyDescent="0.2">
      <c r="A213" s="58"/>
      <c r="B213" s="59"/>
      <c r="C213" s="62">
        <v>21050003</v>
      </c>
      <c r="D213" s="62" t="s">
        <v>97</v>
      </c>
      <c r="E213" s="63">
        <v>-3037.75</v>
      </c>
      <c r="F213" s="63">
        <v>-68487.070000000007</v>
      </c>
      <c r="G213" s="63">
        <v>0</v>
      </c>
      <c r="H213" s="63">
        <v>-345368.35</v>
      </c>
      <c r="I213" s="63">
        <v>-53074.65</v>
      </c>
      <c r="J213" s="63">
        <v>-3675.93</v>
      </c>
      <c r="K213" s="63">
        <v>-483.69</v>
      </c>
      <c r="L213" s="63">
        <v>-3109.5</v>
      </c>
      <c r="M213" s="63">
        <v>-69246.100000000006</v>
      </c>
      <c r="N213" s="63">
        <v>-2769.6</v>
      </c>
      <c r="O213" s="63">
        <v>-44507.38</v>
      </c>
      <c r="P213" s="63">
        <v>-4346.75</v>
      </c>
      <c r="Q213" s="63">
        <v>-8120.79</v>
      </c>
      <c r="R213" s="62"/>
      <c r="S213" s="494" t="s">
        <v>947</v>
      </c>
    </row>
    <row r="214" spans="1:19" s="66" customFormat="1" outlineLevel="1" x14ac:dyDescent="0.2">
      <c r="A214" s="58"/>
      <c r="B214" s="59"/>
      <c r="C214" s="62">
        <v>21050004</v>
      </c>
      <c r="D214" s="62" t="s">
        <v>98</v>
      </c>
      <c r="E214" s="63">
        <v>-63266.47</v>
      </c>
      <c r="F214" s="63">
        <v>-52804.99</v>
      </c>
      <c r="G214" s="63">
        <v>-58543.32</v>
      </c>
      <c r="H214" s="63">
        <v>-25753.919999999998</v>
      </c>
      <c r="I214" s="63">
        <v>-63450.73</v>
      </c>
      <c r="J214" s="63">
        <v>-25539.84</v>
      </c>
      <c r="K214" s="63">
        <v>-59938.95</v>
      </c>
      <c r="L214" s="63">
        <v>-24287.42</v>
      </c>
      <c r="M214" s="63">
        <v>-60304.05</v>
      </c>
      <c r="N214" s="63">
        <v>-23743.27</v>
      </c>
      <c r="O214" s="63">
        <v>-60018.81</v>
      </c>
      <c r="P214" s="63">
        <v>-24032.95</v>
      </c>
      <c r="Q214" s="63">
        <v>-60922.53</v>
      </c>
      <c r="R214" s="62"/>
      <c r="S214" s="494" t="s">
        <v>947</v>
      </c>
    </row>
    <row r="215" spans="1:19" s="66" customFormat="1" outlineLevel="1" x14ac:dyDescent="0.2">
      <c r="A215" s="58"/>
      <c r="B215" s="59"/>
      <c r="C215" s="62">
        <v>21050005</v>
      </c>
      <c r="D215" s="62" t="s">
        <v>99</v>
      </c>
      <c r="E215" s="63">
        <v>-142874.91</v>
      </c>
      <c r="F215" s="63">
        <v>-142394.82999999999</v>
      </c>
      <c r="G215" s="63">
        <v>-129645.13</v>
      </c>
      <c r="H215" s="63">
        <v>-143046.17000000001</v>
      </c>
      <c r="I215" s="63">
        <v>-139863.4</v>
      </c>
      <c r="J215" s="63">
        <v>-141681.42000000001</v>
      </c>
      <c r="K215" s="63">
        <v>-129962.54</v>
      </c>
      <c r="L215" s="63">
        <v>-134413</v>
      </c>
      <c r="M215" s="63">
        <v>-133427.5</v>
      </c>
      <c r="N215" s="63">
        <v>-131177.19</v>
      </c>
      <c r="O215" s="63">
        <v>-132944.99</v>
      </c>
      <c r="P215" s="63">
        <v>-130604.78</v>
      </c>
      <c r="Q215" s="63">
        <v>-134606.47</v>
      </c>
      <c r="R215" s="62"/>
      <c r="S215" s="494" t="s">
        <v>947</v>
      </c>
    </row>
    <row r="216" spans="1:19" s="66" customFormat="1" outlineLevel="1" x14ac:dyDescent="0.2">
      <c r="A216" s="58"/>
      <c r="B216" s="59"/>
      <c r="C216" s="62">
        <v>21050006</v>
      </c>
      <c r="D216" s="62" t="s">
        <v>100</v>
      </c>
      <c r="E216" s="63">
        <v>-174466.22</v>
      </c>
      <c r="F216" s="63">
        <v>-85296.11</v>
      </c>
      <c r="G216" s="63">
        <v>-164378.29999999999</v>
      </c>
      <c r="H216" s="63">
        <v>-88059.25</v>
      </c>
      <c r="I216" s="63">
        <v>-174836.82</v>
      </c>
      <c r="J216" s="63">
        <v>-87216.36</v>
      </c>
      <c r="K216" s="63">
        <v>-167580.31</v>
      </c>
      <c r="L216" s="63">
        <v>-82969.399999999994</v>
      </c>
      <c r="M216" s="63">
        <v>-165567.35</v>
      </c>
      <c r="N216" s="63">
        <v>-81037.539999999994</v>
      </c>
      <c r="O216" s="63">
        <v>-163997.66</v>
      </c>
      <c r="P216" s="63">
        <v>-81670.69</v>
      </c>
      <c r="Q216" s="63">
        <v>-165775.99</v>
      </c>
      <c r="R216" s="62"/>
      <c r="S216" s="494" t="s">
        <v>947</v>
      </c>
    </row>
    <row r="217" spans="1:19" s="66" customFormat="1" outlineLevel="1" x14ac:dyDescent="0.2">
      <c r="A217" s="58"/>
      <c r="B217" s="59"/>
      <c r="C217" s="62">
        <v>21050007</v>
      </c>
      <c r="D217" s="62" t="s">
        <v>101</v>
      </c>
      <c r="E217" s="63">
        <v>-169844.33</v>
      </c>
      <c r="F217" s="63">
        <v>-82811.73</v>
      </c>
      <c r="G217" s="63">
        <v>-161069.19</v>
      </c>
      <c r="H217" s="63">
        <v>-85494.53</v>
      </c>
      <c r="I217" s="63">
        <v>-170391.54</v>
      </c>
      <c r="J217" s="63">
        <v>-84676.23</v>
      </c>
      <c r="K217" s="63">
        <v>-163250.23999999999</v>
      </c>
      <c r="L217" s="63">
        <v>-80552.710000000006</v>
      </c>
      <c r="M217" s="63">
        <v>-160925.57999999999</v>
      </c>
      <c r="N217" s="63">
        <v>-78677.460000000006</v>
      </c>
      <c r="O217" s="63">
        <v>-159776.99</v>
      </c>
      <c r="P217" s="63">
        <v>-164862.28</v>
      </c>
      <c r="Q217" s="63">
        <v>-161037.12</v>
      </c>
      <c r="R217" s="62"/>
      <c r="S217" s="494" t="s">
        <v>947</v>
      </c>
    </row>
    <row r="218" spans="1:19" s="66" customFormat="1" outlineLevel="1" x14ac:dyDescent="0.2">
      <c r="A218" s="58"/>
      <c r="B218" s="59"/>
      <c r="C218" s="62">
        <v>21050008</v>
      </c>
      <c r="D218" s="62" t="s">
        <v>102</v>
      </c>
      <c r="E218" s="63">
        <v>-142822.39000000001</v>
      </c>
      <c r="F218" s="63">
        <v>-65500.67</v>
      </c>
      <c r="G218" s="63">
        <v>-134031.39000000001</v>
      </c>
      <c r="H218" s="63">
        <v>-69907.14</v>
      </c>
      <c r="I218" s="63">
        <v>-135272.64000000001</v>
      </c>
      <c r="J218" s="63">
        <v>-66871.55</v>
      </c>
      <c r="K218" s="63">
        <v>-134440.07999999999</v>
      </c>
      <c r="L218" s="63">
        <v>0.08</v>
      </c>
      <c r="M218" s="63">
        <v>-126039.57</v>
      </c>
      <c r="N218" s="63">
        <v>-65006.09</v>
      </c>
      <c r="O218" s="63">
        <v>-136547.39000000001</v>
      </c>
      <c r="P218" s="63">
        <v>-66812.179999999993</v>
      </c>
      <c r="Q218" s="63">
        <v>-135372.45000000001</v>
      </c>
      <c r="R218" s="62"/>
      <c r="S218" s="494" t="s">
        <v>947</v>
      </c>
    </row>
    <row r="219" spans="1:19" s="66" customFormat="1" outlineLevel="1" x14ac:dyDescent="0.2">
      <c r="A219" s="58"/>
      <c r="B219" s="59"/>
      <c r="C219" s="62">
        <v>21050009</v>
      </c>
      <c r="D219" s="62" t="s">
        <v>103</v>
      </c>
      <c r="E219" s="63">
        <v>-2080.87</v>
      </c>
      <c r="F219" s="63">
        <v>-3187.11</v>
      </c>
      <c r="G219" s="63">
        <v>-7230.58</v>
      </c>
      <c r="H219" s="63">
        <v>-3853.7</v>
      </c>
      <c r="I219" s="63">
        <v>-3853.82</v>
      </c>
      <c r="J219" s="63">
        <v>-10740.39</v>
      </c>
      <c r="K219" s="63">
        <v>-5681.06</v>
      </c>
      <c r="L219" s="63">
        <v>-1312.44</v>
      </c>
      <c r="M219" s="63">
        <v>-3497.5</v>
      </c>
      <c r="N219" s="63">
        <v>-5611.74</v>
      </c>
      <c r="O219" s="63">
        <v>-666.62</v>
      </c>
      <c r="P219" s="63">
        <v>-2947.18</v>
      </c>
      <c r="Q219" s="63">
        <v>-2851.74</v>
      </c>
      <c r="R219" s="62"/>
      <c r="S219" s="494" t="s">
        <v>947</v>
      </c>
    </row>
    <row r="220" spans="1:19" s="66" customFormat="1" outlineLevel="1" x14ac:dyDescent="0.2">
      <c r="A220" s="58"/>
      <c r="B220" s="59"/>
      <c r="C220" s="62">
        <v>21050010</v>
      </c>
      <c r="D220" s="62" t="s">
        <v>104</v>
      </c>
      <c r="E220" s="63">
        <v>-4188.68</v>
      </c>
      <c r="F220" s="63">
        <v>-13146.89</v>
      </c>
      <c r="G220" s="63">
        <v>-3870.33</v>
      </c>
      <c r="H220" s="63">
        <v>-5274.56</v>
      </c>
      <c r="I220" s="63">
        <v>-5276.72</v>
      </c>
      <c r="J220" s="63">
        <v>-5672.09</v>
      </c>
      <c r="K220" s="63">
        <v>-8972.64</v>
      </c>
      <c r="L220" s="63">
        <v>-7422.84</v>
      </c>
      <c r="M220" s="63">
        <v>-7852.37</v>
      </c>
      <c r="N220" s="63">
        <v>-8184.45</v>
      </c>
      <c r="O220" s="63">
        <v>-4623.2299999999996</v>
      </c>
      <c r="P220" s="63">
        <v>-4327.7</v>
      </c>
      <c r="Q220" s="63">
        <v>-5890.48</v>
      </c>
      <c r="R220" s="62"/>
      <c r="S220" s="494" t="s">
        <v>947</v>
      </c>
    </row>
    <row r="221" spans="1:19" s="66" customFormat="1" outlineLevel="1" x14ac:dyDescent="0.2">
      <c r="A221" s="58"/>
      <c r="B221" s="59"/>
      <c r="C221" s="62">
        <v>21050011</v>
      </c>
      <c r="D221" s="62" t="s">
        <v>105</v>
      </c>
      <c r="E221" s="63">
        <v>-78635</v>
      </c>
      <c r="F221" s="63">
        <v>-44455</v>
      </c>
      <c r="G221" s="63">
        <v>-44455</v>
      </c>
      <c r="H221" s="63">
        <v>-144951</v>
      </c>
      <c r="I221" s="63">
        <v>-46087.13</v>
      </c>
      <c r="J221" s="63">
        <v>-50498</v>
      </c>
      <c r="K221" s="63">
        <v>-44271</v>
      </c>
      <c r="L221" s="63">
        <v>-45322</v>
      </c>
      <c r="M221" s="63">
        <v>-43321</v>
      </c>
      <c r="N221" s="63">
        <v>-49680</v>
      </c>
      <c r="O221" s="63">
        <v>-44662</v>
      </c>
      <c r="P221" s="63">
        <v>-42989</v>
      </c>
      <c r="Q221" s="63">
        <v>-78544</v>
      </c>
      <c r="R221" s="62"/>
      <c r="S221" s="494" t="s">
        <v>947</v>
      </c>
    </row>
    <row r="222" spans="1:19" s="66" customFormat="1" outlineLevel="1" x14ac:dyDescent="0.2">
      <c r="A222" s="58"/>
      <c r="B222" s="59"/>
      <c r="C222" s="62"/>
      <c r="D222" s="62" t="s">
        <v>2</v>
      </c>
      <c r="E222" s="63" t="s">
        <v>264</v>
      </c>
      <c r="F222" s="63" t="s">
        <v>264</v>
      </c>
      <c r="G222" s="63" t="s">
        <v>264</v>
      </c>
      <c r="H222" s="63" t="s">
        <v>264</v>
      </c>
      <c r="I222" s="63" t="s">
        <v>264</v>
      </c>
      <c r="J222" s="63" t="s">
        <v>264</v>
      </c>
      <c r="K222" s="63" t="s">
        <v>264</v>
      </c>
      <c r="L222" s="63" t="s">
        <v>264</v>
      </c>
      <c r="M222" s="63" t="s">
        <v>264</v>
      </c>
      <c r="N222" s="63" t="s">
        <v>264</v>
      </c>
      <c r="O222" s="63" t="s">
        <v>264</v>
      </c>
      <c r="P222" s="63" t="s">
        <v>264</v>
      </c>
      <c r="Q222" s="63" t="s">
        <v>264</v>
      </c>
      <c r="R222" s="62"/>
      <c r="S222" s="62"/>
    </row>
    <row r="223" spans="1:19" s="66" customFormat="1" ht="15" x14ac:dyDescent="0.25">
      <c r="A223" s="28" t="s">
        <v>389</v>
      </c>
      <c r="B223" s="59">
        <v>2105</v>
      </c>
      <c r="C223" s="64" t="s">
        <v>106</v>
      </c>
      <c r="D223" s="64" t="s">
        <v>526</v>
      </c>
      <c r="E223" s="65">
        <f>SUM(E211:E222)</f>
        <v>-1389007.68</v>
      </c>
      <c r="F223" s="65">
        <f>SUM(F211:F222)</f>
        <v>-881507.45000000007</v>
      </c>
      <c r="G223" s="65">
        <f>SUM(G211:G222)</f>
        <v>-846251.50999999989</v>
      </c>
      <c r="H223" s="65">
        <f t="shared" ref="H223:Q223" si="31">SUM(H211:H222)</f>
        <v>-1830384.1099999996</v>
      </c>
      <c r="I223" s="65">
        <f t="shared" si="31"/>
        <v>-1079953.21</v>
      </c>
      <c r="J223" s="65">
        <f t="shared" si="31"/>
        <v>-2037795.24</v>
      </c>
      <c r="K223" s="65">
        <f t="shared" si="31"/>
        <v>-1438375.25</v>
      </c>
      <c r="L223" s="65">
        <f t="shared" si="31"/>
        <v>-680521.68999999983</v>
      </c>
      <c r="M223" s="65">
        <f t="shared" si="31"/>
        <v>-1043038.66</v>
      </c>
      <c r="N223" s="65">
        <f t="shared" si="31"/>
        <v>-787427.40999999992</v>
      </c>
      <c r="O223" s="65">
        <f t="shared" si="31"/>
        <v>-1046378.15</v>
      </c>
      <c r="P223" s="65">
        <f t="shared" si="31"/>
        <v>-798633.05999999994</v>
      </c>
      <c r="Q223" s="65">
        <f t="shared" si="31"/>
        <v>-1332815.74</v>
      </c>
      <c r="R223" s="62"/>
      <c r="S223" s="62"/>
    </row>
    <row r="224" spans="1:19" s="66" customFormat="1" outlineLevel="1" x14ac:dyDescent="0.2">
      <c r="A224" s="58"/>
      <c r="B224" s="59"/>
      <c r="C224" s="62"/>
      <c r="D224" s="62" t="s">
        <v>2</v>
      </c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2"/>
      <c r="S224" s="62"/>
    </row>
    <row r="225" spans="1:19" s="66" customFormat="1" outlineLevel="1" x14ac:dyDescent="0.2">
      <c r="A225" s="58"/>
      <c r="B225" s="59"/>
      <c r="C225" s="62">
        <v>2106</v>
      </c>
      <c r="D225" s="62" t="s">
        <v>107</v>
      </c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2"/>
      <c r="S225" s="494" t="s">
        <v>947</v>
      </c>
    </row>
    <row r="226" spans="1:19" s="66" customFormat="1" outlineLevel="1" x14ac:dyDescent="0.2">
      <c r="A226" s="58"/>
      <c r="B226" s="59"/>
      <c r="C226" s="62">
        <v>21060001</v>
      </c>
      <c r="D226" s="62" t="s">
        <v>108</v>
      </c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2"/>
      <c r="S226" s="494" t="s">
        <v>947</v>
      </c>
    </row>
    <row r="227" spans="1:19" s="66" customFormat="1" outlineLevel="1" x14ac:dyDescent="0.2">
      <c r="A227" s="58"/>
      <c r="B227" s="59"/>
      <c r="C227" s="62">
        <v>21060002</v>
      </c>
      <c r="D227" s="62" t="s">
        <v>109</v>
      </c>
      <c r="E227" s="63">
        <v>-3231410.6</v>
      </c>
      <c r="F227" s="63">
        <v>-3241165.54</v>
      </c>
      <c r="G227" s="63">
        <v>-3037328.85</v>
      </c>
      <c r="H227" s="63">
        <v>-3380342.34</v>
      </c>
      <c r="I227" s="63">
        <v>-3288504.37</v>
      </c>
      <c r="J227" s="63">
        <v>-2844995.48</v>
      </c>
      <c r="K227" s="63">
        <v>-3582852.33</v>
      </c>
      <c r="L227" s="63">
        <v>-3670829.43</v>
      </c>
      <c r="M227" s="63">
        <v>-3579400.56</v>
      </c>
      <c r="N227" s="63">
        <v>-3121783.42</v>
      </c>
      <c r="O227" s="63">
        <v>-3215106.26</v>
      </c>
      <c r="P227" s="63">
        <v>-3180652.19</v>
      </c>
      <c r="Q227" s="63">
        <v>-3255247.47</v>
      </c>
      <c r="R227" s="62"/>
      <c r="S227" s="494" t="s">
        <v>947</v>
      </c>
    </row>
    <row r="228" spans="1:19" s="66" customFormat="1" outlineLevel="1" x14ac:dyDescent="0.2">
      <c r="A228" s="58"/>
      <c r="B228" s="59"/>
      <c r="C228" s="62">
        <v>21060003</v>
      </c>
      <c r="D228" s="62" t="s">
        <v>110</v>
      </c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2"/>
      <c r="S228" s="494" t="s">
        <v>947</v>
      </c>
    </row>
    <row r="229" spans="1:19" s="66" customFormat="1" outlineLevel="1" x14ac:dyDescent="0.2">
      <c r="A229" s="58"/>
      <c r="B229" s="59"/>
      <c r="C229" s="62">
        <v>21060004</v>
      </c>
      <c r="D229" s="62" t="s">
        <v>111</v>
      </c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2"/>
      <c r="S229" s="494" t="s">
        <v>947</v>
      </c>
    </row>
    <row r="230" spans="1:19" s="66" customFormat="1" outlineLevel="1" x14ac:dyDescent="0.2">
      <c r="A230" s="58"/>
      <c r="B230" s="59"/>
      <c r="C230" s="62">
        <v>21060005</v>
      </c>
      <c r="D230" s="62" t="s">
        <v>107</v>
      </c>
      <c r="E230" s="63">
        <v>-532610.91</v>
      </c>
      <c r="F230" s="63">
        <v>-14046.6</v>
      </c>
      <c r="G230" s="63"/>
      <c r="H230" s="63"/>
      <c r="I230" s="63"/>
      <c r="J230" s="63"/>
      <c r="K230" s="63">
        <v>-590721.01</v>
      </c>
      <c r="L230" s="63"/>
      <c r="M230" s="63"/>
      <c r="N230" s="63"/>
      <c r="O230" s="63">
        <v>-59188.14</v>
      </c>
      <c r="P230" s="63"/>
      <c r="Q230" s="63">
        <v>-17366.150000000001</v>
      </c>
      <c r="R230" s="62"/>
      <c r="S230" s="494" t="s">
        <v>947</v>
      </c>
    </row>
    <row r="231" spans="1:19" s="66" customFormat="1" outlineLevel="1" x14ac:dyDescent="0.2">
      <c r="A231" s="58"/>
      <c r="B231" s="59"/>
      <c r="C231" s="62"/>
      <c r="D231" s="62" t="s">
        <v>2</v>
      </c>
      <c r="E231" s="63" t="s">
        <v>264</v>
      </c>
      <c r="F231" s="63" t="s">
        <v>264</v>
      </c>
      <c r="G231" s="63" t="s">
        <v>264</v>
      </c>
      <c r="H231" s="63" t="s">
        <v>264</v>
      </c>
      <c r="I231" s="63" t="s">
        <v>264</v>
      </c>
      <c r="J231" s="63" t="s">
        <v>264</v>
      </c>
      <c r="K231" s="63" t="s">
        <v>264</v>
      </c>
      <c r="L231" s="63" t="s">
        <v>264</v>
      </c>
      <c r="M231" s="63" t="s">
        <v>264</v>
      </c>
      <c r="N231" s="63" t="s">
        <v>264</v>
      </c>
      <c r="O231" s="63" t="s">
        <v>264</v>
      </c>
      <c r="P231" s="63" t="s">
        <v>264</v>
      </c>
      <c r="Q231" s="63" t="s">
        <v>264</v>
      </c>
      <c r="R231" s="62"/>
      <c r="S231" s="62"/>
    </row>
    <row r="232" spans="1:19" s="66" customFormat="1" ht="15" x14ac:dyDescent="0.25">
      <c r="A232" s="28" t="s">
        <v>389</v>
      </c>
      <c r="B232" s="59">
        <v>2105</v>
      </c>
      <c r="C232" s="64" t="s">
        <v>112</v>
      </c>
      <c r="D232" s="64" t="s">
        <v>107</v>
      </c>
      <c r="E232" s="65">
        <f>SUM(E227:E231)</f>
        <v>-3764021.5100000002</v>
      </c>
      <c r="F232" s="65">
        <f t="shared" ref="F232:Q232" si="32">SUM(F227:F231)</f>
        <v>-3255212.14</v>
      </c>
      <c r="G232" s="65">
        <f t="shared" si="32"/>
        <v>-3037328.85</v>
      </c>
      <c r="H232" s="65">
        <f t="shared" si="32"/>
        <v>-3380342.34</v>
      </c>
      <c r="I232" s="65">
        <f t="shared" si="32"/>
        <v>-3288504.37</v>
      </c>
      <c r="J232" s="65">
        <f t="shared" si="32"/>
        <v>-2844995.48</v>
      </c>
      <c r="K232" s="65">
        <f t="shared" si="32"/>
        <v>-4173573.34</v>
      </c>
      <c r="L232" s="65">
        <f t="shared" si="32"/>
        <v>-3670829.43</v>
      </c>
      <c r="M232" s="65">
        <f t="shared" si="32"/>
        <v>-3579400.56</v>
      </c>
      <c r="N232" s="65">
        <f t="shared" si="32"/>
        <v>-3121783.42</v>
      </c>
      <c r="O232" s="65">
        <f t="shared" si="32"/>
        <v>-3274294.4</v>
      </c>
      <c r="P232" s="65">
        <f t="shared" si="32"/>
        <v>-3180652.19</v>
      </c>
      <c r="Q232" s="65">
        <f t="shared" si="32"/>
        <v>-3272613.62</v>
      </c>
      <c r="R232" s="62"/>
      <c r="S232" s="62"/>
    </row>
    <row r="233" spans="1:19" s="66" customFormat="1" outlineLevel="1" x14ac:dyDescent="0.2">
      <c r="A233" s="58"/>
      <c r="B233" s="59"/>
      <c r="C233" s="62"/>
      <c r="D233" s="62" t="s">
        <v>2</v>
      </c>
      <c r="E233" s="63"/>
      <c r="F233" s="63"/>
      <c r="G233" s="63">
        <f>G230</f>
        <v>0</v>
      </c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2"/>
      <c r="S233" s="494"/>
    </row>
    <row r="234" spans="1:19" s="66" customFormat="1" outlineLevel="1" x14ac:dyDescent="0.2">
      <c r="A234" s="58"/>
      <c r="B234" s="59"/>
      <c r="C234" s="62">
        <v>2107</v>
      </c>
      <c r="D234" s="62" t="s">
        <v>113</v>
      </c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2"/>
      <c r="S234" s="494" t="s">
        <v>947</v>
      </c>
    </row>
    <row r="235" spans="1:19" s="66" customFormat="1" outlineLevel="1" x14ac:dyDescent="0.2">
      <c r="A235" s="58"/>
      <c r="B235" s="59"/>
      <c r="C235" s="62">
        <v>21070001</v>
      </c>
      <c r="D235" s="62" t="s">
        <v>114</v>
      </c>
      <c r="E235" s="63">
        <v>-87903959.579999998</v>
      </c>
      <c r="F235" s="63">
        <v>-88575455.579999998</v>
      </c>
      <c r="G235" s="63">
        <v>-89411737.579999998</v>
      </c>
      <c r="H235" s="63">
        <v>-90408557.579999998</v>
      </c>
      <c r="I235" s="63">
        <v>-91901341</v>
      </c>
      <c r="J235" s="63">
        <v>-92653932</v>
      </c>
      <c r="K235" s="63">
        <v>-94984561</v>
      </c>
      <c r="L235" s="63">
        <v>-95128936.099999994</v>
      </c>
      <c r="M235" s="63">
        <v>-95819889.099999994</v>
      </c>
      <c r="N235" s="63">
        <v>-99592734.099999994</v>
      </c>
      <c r="O235" s="63">
        <v>-97709439</v>
      </c>
      <c r="P235" s="63">
        <v>-98518380</v>
      </c>
      <c r="Q235" s="63">
        <v>-103499876</v>
      </c>
      <c r="R235" s="68"/>
      <c r="S235" s="494" t="s">
        <v>947</v>
      </c>
    </row>
    <row r="236" spans="1:19" s="66" customFormat="1" outlineLevel="1" x14ac:dyDescent="0.2">
      <c r="A236" s="58"/>
      <c r="B236" s="59"/>
      <c r="C236" s="62">
        <v>21070002</v>
      </c>
      <c r="D236" s="62" t="s">
        <v>115</v>
      </c>
      <c r="E236" s="63">
        <v>83843906</v>
      </c>
      <c r="F236" s="63">
        <v>84908373</v>
      </c>
      <c r="G236" s="63">
        <v>85579869</v>
      </c>
      <c r="H236" s="63">
        <v>89439290</v>
      </c>
      <c r="I236" s="63">
        <v>90774667</v>
      </c>
      <c r="J236" s="63">
        <v>91896162</v>
      </c>
      <c r="K236" s="63">
        <v>92653932</v>
      </c>
      <c r="L236" s="63">
        <v>94028821</v>
      </c>
      <c r="M236" s="63">
        <v>95128936</v>
      </c>
      <c r="N236" s="63">
        <v>95819047</v>
      </c>
      <c r="O236" s="63">
        <v>97076033</v>
      </c>
      <c r="P236" s="63">
        <v>97717169</v>
      </c>
      <c r="Q236" s="63">
        <v>98518383</v>
      </c>
      <c r="R236" s="68"/>
      <c r="S236" s="494" t="s">
        <v>947</v>
      </c>
    </row>
    <row r="237" spans="1:19" s="66" customFormat="1" outlineLevel="1" x14ac:dyDescent="0.2">
      <c r="A237" s="58"/>
      <c r="B237" s="59"/>
      <c r="C237" s="62"/>
      <c r="D237" s="62" t="s">
        <v>2</v>
      </c>
      <c r="E237" s="63" t="s">
        <v>264</v>
      </c>
      <c r="F237" s="63" t="s">
        <v>264</v>
      </c>
      <c r="G237" s="63" t="s">
        <v>264</v>
      </c>
      <c r="H237" s="63" t="s">
        <v>264</v>
      </c>
      <c r="I237" s="63" t="s">
        <v>264</v>
      </c>
      <c r="J237" s="63" t="s">
        <v>264</v>
      </c>
      <c r="K237" s="63" t="s">
        <v>264</v>
      </c>
      <c r="L237" s="63" t="s">
        <v>264</v>
      </c>
      <c r="M237" s="63" t="s">
        <v>264</v>
      </c>
      <c r="N237" s="63" t="s">
        <v>264</v>
      </c>
      <c r="O237" s="63" t="s">
        <v>264</v>
      </c>
      <c r="P237" s="63" t="s">
        <v>264</v>
      </c>
      <c r="Q237" s="63" t="s">
        <v>264</v>
      </c>
      <c r="R237" s="62"/>
      <c r="S237" s="62"/>
    </row>
    <row r="238" spans="1:19" s="66" customFormat="1" ht="15" x14ac:dyDescent="0.25">
      <c r="A238" s="28" t="s">
        <v>432</v>
      </c>
      <c r="B238" s="59">
        <v>2105</v>
      </c>
      <c r="C238" s="64" t="s">
        <v>116</v>
      </c>
      <c r="D238" s="64" t="s">
        <v>113</v>
      </c>
      <c r="E238" s="65">
        <f>SUM(E235:E237)</f>
        <v>-4060053.5799999982</v>
      </c>
      <c r="F238" s="65">
        <f t="shared" ref="F238:Q238" si="33">SUM(F235:F237)</f>
        <v>-3667082.5799999982</v>
      </c>
      <c r="G238" s="65">
        <f t="shared" si="33"/>
        <v>-3831868.5799999982</v>
      </c>
      <c r="H238" s="65">
        <f t="shared" si="33"/>
        <v>-969267.57999999821</v>
      </c>
      <c r="I238" s="65">
        <f t="shared" si="33"/>
        <v>-1126674</v>
      </c>
      <c r="J238" s="65">
        <f t="shared" si="33"/>
        <v>-757770</v>
      </c>
      <c r="K238" s="65">
        <f t="shared" si="33"/>
        <v>-2330629</v>
      </c>
      <c r="L238" s="65">
        <f t="shared" si="33"/>
        <v>-1100115.099999994</v>
      </c>
      <c r="M238" s="65">
        <f t="shared" si="33"/>
        <v>-690953.09999999404</v>
      </c>
      <c r="N238" s="65">
        <f t="shared" si="33"/>
        <v>-3773687.099999994</v>
      </c>
      <c r="O238" s="65">
        <f t="shared" si="33"/>
        <v>-633406</v>
      </c>
      <c r="P238" s="65">
        <f t="shared" si="33"/>
        <v>-801211</v>
      </c>
      <c r="Q238" s="65">
        <f t="shared" si="33"/>
        <v>-4981493</v>
      </c>
      <c r="R238" s="62"/>
      <c r="S238" s="62"/>
    </row>
    <row r="239" spans="1:19" s="66" customFormat="1" outlineLevel="1" x14ac:dyDescent="0.2">
      <c r="A239" s="58"/>
      <c r="B239" s="59"/>
      <c r="C239" s="62"/>
      <c r="D239" s="62" t="s">
        <v>2</v>
      </c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2"/>
      <c r="S239" s="62"/>
    </row>
    <row r="240" spans="1:19" s="66" customFormat="1" outlineLevel="1" x14ac:dyDescent="0.2">
      <c r="A240" s="58"/>
      <c r="B240" s="59"/>
      <c r="C240" s="62"/>
      <c r="D240" s="62" t="s">
        <v>2</v>
      </c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2"/>
      <c r="S240" s="62"/>
    </row>
    <row r="241" spans="1:19" s="66" customFormat="1" outlineLevel="1" x14ac:dyDescent="0.2">
      <c r="A241" s="58"/>
      <c r="B241" s="59"/>
      <c r="C241" s="62">
        <v>2110</v>
      </c>
      <c r="D241" s="62" t="s">
        <v>117</v>
      </c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2"/>
      <c r="S241" s="494" t="s">
        <v>947</v>
      </c>
    </row>
    <row r="242" spans="1:19" s="66" customFormat="1" outlineLevel="1" x14ac:dyDescent="0.2">
      <c r="A242" s="58"/>
      <c r="B242" s="59"/>
      <c r="C242" s="62">
        <v>21100001</v>
      </c>
      <c r="D242" s="62" t="s">
        <v>118</v>
      </c>
      <c r="E242" s="63">
        <v>-385296.81</v>
      </c>
      <c r="F242" s="63">
        <v>-385296.81</v>
      </c>
      <c r="G242" s="63">
        <v>-385296.81</v>
      </c>
      <c r="H242" s="63">
        <v>-211043.81</v>
      </c>
      <c r="I242" s="63">
        <v>-211043.81</v>
      </c>
      <c r="J242" s="63">
        <v>-211043.81</v>
      </c>
      <c r="K242" s="63">
        <v>-214555.86</v>
      </c>
      <c r="L242" s="63">
        <v>-214555.86</v>
      </c>
      <c r="M242" s="63">
        <v>-214555.86</v>
      </c>
      <c r="N242" s="63">
        <v>-352107.43</v>
      </c>
      <c r="O242" s="63">
        <v>-352107.43</v>
      </c>
      <c r="P242" s="63">
        <v>-352107.43</v>
      </c>
      <c r="Q242" s="63">
        <v>-343485.43</v>
      </c>
      <c r="R242" s="62"/>
      <c r="S242" s="494" t="s">
        <v>947</v>
      </c>
    </row>
    <row r="243" spans="1:19" s="66" customFormat="1" outlineLevel="1" x14ac:dyDescent="0.2">
      <c r="A243" s="58"/>
      <c r="B243" s="59"/>
      <c r="C243" s="62">
        <v>21100020</v>
      </c>
      <c r="D243" s="62" t="s">
        <v>257</v>
      </c>
      <c r="E243" s="63">
        <v>-811640.48</v>
      </c>
      <c r="F243" s="63">
        <v>-1135088.77</v>
      </c>
      <c r="G243" s="63">
        <v>-728519.26</v>
      </c>
      <c r="H243" s="63">
        <v>-654458.93999999994</v>
      </c>
      <c r="I243" s="63">
        <v>-724003.59</v>
      </c>
      <c r="J243" s="63">
        <v>-807545.74</v>
      </c>
      <c r="K243" s="63">
        <v>-1066255.19</v>
      </c>
      <c r="L243" s="63">
        <v>-1218312.8700000001</v>
      </c>
      <c r="M243" s="63">
        <v>-1139749.1299999999</v>
      </c>
      <c r="N243" s="63">
        <v>-1242378.3600000001</v>
      </c>
      <c r="O243" s="63">
        <v>-867991.63</v>
      </c>
      <c r="P243" s="63">
        <v>-713985.43</v>
      </c>
      <c r="Q243" s="63">
        <v>-703109.06</v>
      </c>
      <c r="R243" s="62"/>
      <c r="S243" s="494" t="s">
        <v>947</v>
      </c>
    </row>
    <row r="244" spans="1:19" s="66" customFormat="1" outlineLevel="1" x14ac:dyDescent="0.2">
      <c r="A244" s="58"/>
      <c r="B244" s="59"/>
      <c r="C244" s="62"/>
      <c r="D244" s="62" t="s">
        <v>2</v>
      </c>
      <c r="E244" s="63" t="s">
        <v>264</v>
      </c>
      <c r="F244" s="63" t="s">
        <v>264</v>
      </c>
      <c r="G244" s="63" t="s">
        <v>264</v>
      </c>
      <c r="H244" s="63" t="s">
        <v>264</v>
      </c>
      <c r="I244" s="63" t="s">
        <v>264</v>
      </c>
      <c r="J244" s="63" t="s">
        <v>264</v>
      </c>
      <c r="K244" s="63" t="s">
        <v>264</v>
      </c>
      <c r="L244" s="63" t="s">
        <v>264</v>
      </c>
      <c r="M244" s="63" t="s">
        <v>264</v>
      </c>
      <c r="N244" s="63" t="s">
        <v>264</v>
      </c>
      <c r="O244" s="63" t="s">
        <v>264</v>
      </c>
      <c r="P244" s="63" t="s">
        <v>264</v>
      </c>
      <c r="Q244" s="63" t="s">
        <v>264</v>
      </c>
      <c r="R244" s="62"/>
      <c r="S244" s="62"/>
    </row>
    <row r="245" spans="1:19" s="66" customFormat="1" ht="15" x14ac:dyDescent="0.25">
      <c r="A245" s="28" t="s">
        <v>389</v>
      </c>
      <c r="B245" s="59">
        <v>2110</v>
      </c>
      <c r="C245" s="64" t="s">
        <v>119</v>
      </c>
      <c r="D245" s="64" t="s">
        <v>117</v>
      </c>
      <c r="E245" s="65">
        <f>SUM(E242:E244)</f>
        <v>-1196937.29</v>
      </c>
      <c r="F245" s="65">
        <f t="shared" ref="F245:Q245" si="34">SUM(F242:F244)</f>
        <v>-1520385.58</v>
      </c>
      <c r="G245" s="65">
        <f t="shared" si="34"/>
        <v>-1113816.07</v>
      </c>
      <c r="H245" s="65">
        <f t="shared" si="34"/>
        <v>-865502.75</v>
      </c>
      <c r="I245" s="65">
        <f t="shared" si="34"/>
        <v>-935047.39999999991</v>
      </c>
      <c r="J245" s="65">
        <f t="shared" si="34"/>
        <v>-1018589.55</v>
      </c>
      <c r="K245" s="65">
        <f t="shared" si="34"/>
        <v>-1280811.0499999998</v>
      </c>
      <c r="L245" s="65">
        <f t="shared" si="34"/>
        <v>-1432868.73</v>
      </c>
      <c r="M245" s="65">
        <f t="shared" si="34"/>
        <v>-1354304.9899999998</v>
      </c>
      <c r="N245" s="65">
        <f t="shared" si="34"/>
        <v>-1594485.79</v>
      </c>
      <c r="O245" s="65">
        <f t="shared" si="34"/>
        <v>-1220099.06</v>
      </c>
      <c r="P245" s="65">
        <f t="shared" si="34"/>
        <v>-1066092.8600000001</v>
      </c>
      <c r="Q245" s="65">
        <f t="shared" si="34"/>
        <v>-1046594.49</v>
      </c>
      <c r="R245" s="62"/>
      <c r="S245" s="62"/>
    </row>
    <row r="246" spans="1:19" s="66" customFormat="1" outlineLevel="1" x14ac:dyDescent="0.2">
      <c r="A246" s="58"/>
      <c r="B246" s="59"/>
      <c r="C246" s="62"/>
      <c r="D246" s="62" t="s">
        <v>2</v>
      </c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2"/>
      <c r="S246" s="62"/>
    </row>
    <row r="247" spans="1:19" s="66" customFormat="1" outlineLevel="1" x14ac:dyDescent="0.2">
      <c r="A247" s="58"/>
      <c r="B247" s="59"/>
      <c r="C247" s="62">
        <v>2111</v>
      </c>
      <c r="D247" s="62" t="s">
        <v>120</v>
      </c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2"/>
      <c r="S247" s="494" t="s">
        <v>947</v>
      </c>
    </row>
    <row r="248" spans="1:19" s="66" customFormat="1" outlineLevel="1" x14ac:dyDescent="0.2">
      <c r="A248" s="58"/>
      <c r="B248" s="59"/>
      <c r="C248" s="62">
        <v>21110001</v>
      </c>
      <c r="D248" s="62" t="s">
        <v>121</v>
      </c>
      <c r="E248" s="63"/>
      <c r="F248" s="63">
        <v>-4607589</v>
      </c>
      <c r="G248" s="63">
        <v>-5006137</v>
      </c>
      <c r="H248" s="63">
        <v>-4607589</v>
      </c>
      <c r="I248" s="63">
        <v>-4607589</v>
      </c>
      <c r="J248" s="63"/>
      <c r="K248" s="63"/>
      <c r="L248" s="63"/>
      <c r="M248" s="63"/>
      <c r="N248" s="63"/>
      <c r="O248" s="63"/>
      <c r="P248" s="63"/>
      <c r="Q248" s="63"/>
      <c r="R248" s="62"/>
      <c r="S248" s="494" t="s">
        <v>947</v>
      </c>
    </row>
    <row r="249" spans="1:19" s="66" customFormat="1" outlineLevel="1" x14ac:dyDescent="0.2">
      <c r="A249" s="58"/>
      <c r="B249" s="59"/>
      <c r="C249" s="62">
        <v>21110002</v>
      </c>
      <c r="D249" s="62" t="s">
        <v>122</v>
      </c>
      <c r="E249" s="63">
        <v>-4607589</v>
      </c>
      <c r="F249" s="63">
        <v>-107332</v>
      </c>
      <c r="G249" s="63">
        <v>-107332</v>
      </c>
      <c r="H249" s="63">
        <v>-899988</v>
      </c>
      <c r="I249" s="63">
        <v>-1212947</v>
      </c>
      <c r="J249" s="63">
        <v>-1540187</v>
      </c>
      <c r="K249" s="63">
        <v>-2506533</v>
      </c>
      <c r="L249" s="63">
        <v>-3123299</v>
      </c>
      <c r="M249" s="63">
        <v>-3454328</v>
      </c>
      <c r="N249" s="63">
        <v>-4107194</v>
      </c>
      <c r="O249" s="63">
        <v>-4296002.2</v>
      </c>
      <c r="P249" s="63">
        <v>-4584704.2</v>
      </c>
      <c r="Q249" s="63">
        <v>-5476644.3899999997</v>
      </c>
      <c r="R249" s="62"/>
      <c r="S249" s="494" t="s">
        <v>947</v>
      </c>
    </row>
    <row r="250" spans="1:19" s="66" customFormat="1" outlineLevel="1" x14ac:dyDescent="0.2">
      <c r="A250" s="58"/>
      <c r="B250" s="59"/>
      <c r="C250" s="62"/>
      <c r="D250" s="62" t="s">
        <v>2</v>
      </c>
      <c r="E250" s="63" t="s">
        <v>264</v>
      </c>
      <c r="F250" s="63" t="s">
        <v>264</v>
      </c>
      <c r="G250" s="63" t="s">
        <v>264</v>
      </c>
      <c r="H250" s="63" t="s">
        <v>264</v>
      </c>
      <c r="I250" s="63" t="s">
        <v>264</v>
      </c>
      <c r="J250" s="63" t="s">
        <v>264</v>
      </c>
      <c r="K250" s="63" t="s">
        <v>264</v>
      </c>
      <c r="L250" s="63" t="s">
        <v>264</v>
      </c>
      <c r="M250" s="63" t="s">
        <v>264</v>
      </c>
      <c r="N250" s="63" t="s">
        <v>264</v>
      </c>
      <c r="O250" s="63" t="s">
        <v>264</v>
      </c>
      <c r="P250" s="63" t="s">
        <v>264</v>
      </c>
      <c r="Q250" s="63" t="s">
        <v>264</v>
      </c>
      <c r="R250" s="62"/>
      <c r="S250" s="62"/>
    </row>
    <row r="251" spans="1:19" s="66" customFormat="1" ht="15" x14ac:dyDescent="0.25">
      <c r="A251" s="28" t="s">
        <v>389</v>
      </c>
      <c r="B251" s="59" t="str">
        <f>+RIGHT(C251,5)</f>
        <v xml:space="preserve">2111 </v>
      </c>
      <c r="C251" s="64" t="s">
        <v>123</v>
      </c>
      <c r="D251" s="64" t="s">
        <v>120</v>
      </c>
      <c r="E251" s="65">
        <f>SUM(E248:E250)</f>
        <v>-4607589</v>
      </c>
      <c r="F251" s="65">
        <f t="shared" ref="F251:Q251" si="35">SUM(F248:F250)</f>
        <v>-4714921</v>
      </c>
      <c r="G251" s="65">
        <f t="shared" si="35"/>
        <v>-5113469</v>
      </c>
      <c r="H251" s="65">
        <f t="shared" si="35"/>
        <v>-5507577</v>
      </c>
      <c r="I251" s="65">
        <f t="shared" si="35"/>
        <v>-5820536</v>
      </c>
      <c r="J251" s="65">
        <f t="shared" si="35"/>
        <v>-1540187</v>
      </c>
      <c r="K251" s="65">
        <f t="shared" si="35"/>
        <v>-2506533</v>
      </c>
      <c r="L251" s="65">
        <f t="shared" si="35"/>
        <v>-3123299</v>
      </c>
      <c r="M251" s="65">
        <f t="shared" si="35"/>
        <v>-3454328</v>
      </c>
      <c r="N251" s="65">
        <f t="shared" si="35"/>
        <v>-4107194</v>
      </c>
      <c r="O251" s="65">
        <f t="shared" si="35"/>
        <v>-4296002.2</v>
      </c>
      <c r="P251" s="65">
        <f t="shared" si="35"/>
        <v>-4584704.2</v>
      </c>
      <c r="Q251" s="65">
        <f t="shared" si="35"/>
        <v>-5476644.3899999997</v>
      </c>
      <c r="R251" s="62"/>
      <c r="S251" s="62"/>
    </row>
    <row r="252" spans="1:19" s="66" customFormat="1" outlineLevel="1" x14ac:dyDescent="0.2">
      <c r="A252" s="58"/>
      <c r="B252" s="59"/>
      <c r="C252" s="62"/>
      <c r="D252" s="62" t="s">
        <v>2</v>
      </c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2"/>
      <c r="S252" s="62"/>
    </row>
    <row r="253" spans="1:19" s="66" customFormat="1" outlineLevel="1" x14ac:dyDescent="0.2">
      <c r="A253" s="58"/>
      <c r="B253" s="59"/>
      <c r="C253" s="62"/>
      <c r="D253" s="62"/>
      <c r="E253" s="63" t="s">
        <v>264</v>
      </c>
      <c r="F253" s="63" t="s">
        <v>264</v>
      </c>
      <c r="G253" s="63" t="s">
        <v>264</v>
      </c>
      <c r="H253" s="63" t="s">
        <v>264</v>
      </c>
      <c r="I253" s="63" t="s">
        <v>264</v>
      </c>
      <c r="J253" s="63" t="s">
        <v>264</v>
      </c>
      <c r="K253" s="63" t="s">
        <v>264</v>
      </c>
      <c r="L253" s="63" t="s">
        <v>264</v>
      </c>
      <c r="M253" s="63" t="s">
        <v>264</v>
      </c>
      <c r="N253" s="63" t="s">
        <v>264</v>
      </c>
      <c r="O253" s="63" t="s">
        <v>264</v>
      </c>
      <c r="P253" s="63" t="s">
        <v>264</v>
      </c>
      <c r="Q253" s="63" t="s">
        <v>264</v>
      </c>
      <c r="R253" s="62"/>
      <c r="S253" s="62"/>
    </row>
    <row r="254" spans="1:19" x14ac:dyDescent="0.2">
      <c r="C254" s="151" t="s">
        <v>127</v>
      </c>
      <c r="D254" s="151" t="s">
        <v>81</v>
      </c>
      <c r="E254" s="70">
        <f>+E208+E191+E201+E223+E232+E238+E245+E251+E196</f>
        <v>-38477541.899999999</v>
      </c>
      <c r="F254" s="70">
        <f t="shared" ref="F254:Q254" si="36">+F208+F191+F201+F223+F232+F238+F245+F251+F196</f>
        <v>-29477541.399999999</v>
      </c>
      <c r="G254" s="70">
        <f t="shared" si="36"/>
        <v>-29101879.949999999</v>
      </c>
      <c r="H254" s="70">
        <f t="shared" si="36"/>
        <v>-27742247.050000001</v>
      </c>
      <c r="I254" s="70">
        <f t="shared" si="36"/>
        <v>-24447906.030000001</v>
      </c>
      <c r="J254" s="70">
        <f t="shared" si="36"/>
        <v>-19474213.280000001</v>
      </c>
      <c r="K254" s="70">
        <f t="shared" si="36"/>
        <v>-28270253.68</v>
      </c>
      <c r="L254" s="70">
        <f t="shared" si="36"/>
        <v>-25493588.100000001</v>
      </c>
      <c r="M254" s="70">
        <f t="shared" si="36"/>
        <v>-26092351.690000001</v>
      </c>
      <c r="N254" s="70">
        <f t="shared" si="36"/>
        <v>-28924262.77</v>
      </c>
      <c r="O254" s="70">
        <f t="shared" si="36"/>
        <v>-24601894.25</v>
      </c>
      <c r="P254" s="70">
        <f t="shared" si="36"/>
        <v>-26362059.02</v>
      </c>
      <c r="Q254" s="70">
        <f t="shared" si="36"/>
        <v>-29250066.090000004</v>
      </c>
    </row>
    <row r="255" spans="1:19" s="66" customFormat="1" x14ac:dyDescent="0.2">
      <c r="A255" s="58"/>
      <c r="B255" s="59"/>
      <c r="C255" s="62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2"/>
      <c r="S255" s="62"/>
    </row>
    <row r="256" spans="1:19" s="66" customFormat="1" outlineLevel="1" x14ac:dyDescent="0.2">
      <c r="A256" s="58"/>
      <c r="B256" s="59"/>
      <c r="C256" s="62">
        <v>2210</v>
      </c>
      <c r="D256" s="62" t="s">
        <v>309</v>
      </c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2"/>
      <c r="S256" s="62"/>
    </row>
    <row r="257" spans="1:19" s="66" customFormat="1" outlineLevel="1" x14ac:dyDescent="0.2">
      <c r="A257" s="58"/>
      <c r="B257" s="59"/>
      <c r="C257" s="62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2"/>
      <c r="S257" s="62"/>
    </row>
    <row r="258" spans="1:19" outlineLevel="1" x14ac:dyDescent="0.2">
      <c r="C258" s="62">
        <v>22100001</v>
      </c>
      <c r="D258" s="62" t="s">
        <v>124</v>
      </c>
      <c r="E258" s="63">
        <v>-549714.71</v>
      </c>
      <c r="F258" s="63">
        <v>-558559.63</v>
      </c>
      <c r="G258" s="63">
        <v>-568803.96</v>
      </c>
      <c r="H258" s="63">
        <v>-580447.71</v>
      </c>
      <c r="I258" s="63">
        <v>-590692.04</v>
      </c>
      <c r="J258" s="63">
        <v>-600936.37</v>
      </c>
      <c r="K258" s="63">
        <v>-611180.69999999995</v>
      </c>
      <c r="L258" s="63">
        <v>-621425.03</v>
      </c>
      <c r="M258" s="63">
        <v>-631669.36</v>
      </c>
      <c r="N258" s="63">
        <v>-641913.68999999994</v>
      </c>
      <c r="O258" s="63">
        <v>-652158.02</v>
      </c>
      <c r="P258" s="63">
        <v>-662402.35</v>
      </c>
      <c r="Q258" s="63">
        <v>-620206</v>
      </c>
      <c r="R258" s="68"/>
      <c r="S258" s="494" t="s">
        <v>949</v>
      </c>
    </row>
    <row r="259" spans="1:19" outlineLevel="1" x14ac:dyDescent="0.2">
      <c r="C259" s="62">
        <v>22100002</v>
      </c>
      <c r="D259" s="62" t="s">
        <v>125</v>
      </c>
      <c r="E259" s="63">
        <v>-583441.62</v>
      </c>
      <c r="F259" s="63">
        <v>-598087.19999999995</v>
      </c>
      <c r="G259" s="63">
        <v>-610820.69999999995</v>
      </c>
      <c r="H259" s="63">
        <v>-621642.12</v>
      </c>
      <c r="I259" s="63">
        <v>-634375.62</v>
      </c>
      <c r="J259" s="63">
        <v>-647109.12</v>
      </c>
      <c r="K259" s="63">
        <v>-659842.62</v>
      </c>
      <c r="L259" s="63">
        <v>-672576.12</v>
      </c>
      <c r="M259" s="63">
        <v>-685309.62</v>
      </c>
      <c r="N259" s="63">
        <v>-698043.12</v>
      </c>
      <c r="O259" s="63">
        <v>-710776.62</v>
      </c>
      <c r="P259" s="63">
        <v>-723510.12</v>
      </c>
      <c r="Q259" s="63">
        <v>-751130.07</v>
      </c>
      <c r="S259" s="494" t="s">
        <v>949</v>
      </c>
    </row>
    <row r="260" spans="1:19" outlineLevel="1" x14ac:dyDescent="0.2">
      <c r="C260" s="62">
        <v>22100003</v>
      </c>
      <c r="D260" s="62" t="s">
        <v>126</v>
      </c>
      <c r="E260" s="63">
        <v>-1050089.96</v>
      </c>
      <c r="F260" s="63">
        <v>-1117399.6299999999</v>
      </c>
      <c r="G260" s="63">
        <v>-1216298.46</v>
      </c>
      <c r="H260" s="63">
        <v>-1346786.46</v>
      </c>
      <c r="I260" s="63">
        <v>-1445685.29</v>
      </c>
      <c r="J260" s="63">
        <v>-1544584.12</v>
      </c>
      <c r="K260" s="63">
        <v>-1643482.95</v>
      </c>
      <c r="L260" s="63">
        <v>-1742381.78</v>
      </c>
      <c r="M260" s="63">
        <v>-1841280.61</v>
      </c>
      <c r="N260" s="63">
        <v>-1940179.44</v>
      </c>
      <c r="O260" s="63">
        <v>-2039078.27</v>
      </c>
      <c r="P260" s="63">
        <v>-2137977.1</v>
      </c>
      <c r="Q260" s="63">
        <v>-2236875.9300000002</v>
      </c>
      <c r="R260" s="73"/>
      <c r="S260" s="494" t="s">
        <v>949</v>
      </c>
    </row>
    <row r="261" spans="1:19" outlineLevel="1" x14ac:dyDescent="0.2">
      <c r="E261" s="63" t="s">
        <v>264</v>
      </c>
      <c r="F261" s="63" t="s">
        <v>264</v>
      </c>
      <c r="G261" s="63" t="s">
        <v>264</v>
      </c>
      <c r="H261" s="63" t="s">
        <v>264</v>
      </c>
      <c r="I261" s="63" t="s">
        <v>264</v>
      </c>
      <c r="J261" s="63" t="s">
        <v>264</v>
      </c>
      <c r="K261" s="63" t="s">
        <v>264</v>
      </c>
      <c r="L261" s="63" t="s">
        <v>264</v>
      </c>
      <c r="M261" s="63" t="s">
        <v>264</v>
      </c>
      <c r="N261" s="63" t="s">
        <v>264</v>
      </c>
      <c r="O261" s="63" t="s">
        <v>264</v>
      </c>
      <c r="P261" s="63" t="s">
        <v>264</v>
      </c>
      <c r="Q261" s="63" t="s">
        <v>264</v>
      </c>
    </row>
    <row r="262" spans="1:19" ht="15" x14ac:dyDescent="0.25">
      <c r="A262" s="28" t="s">
        <v>388</v>
      </c>
      <c r="B262" s="59">
        <v>2210</v>
      </c>
      <c r="C262" s="64" t="s">
        <v>301</v>
      </c>
      <c r="D262" s="64" t="s">
        <v>302</v>
      </c>
      <c r="E262" s="65">
        <f>SUM(E258:E261)</f>
        <v>-2183246.29</v>
      </c>
      <c r="F262" s="65">
        <f t="shared" ref="F262:Q262" si="37">SUM(F258:F261)</f>
        <v>-2274046.46</v>
      </c>
      <c r="G262" s="65">
        <f t="shared" si="37"/>
        <v>-2395923.12</v>
      </c>
      <c r="H262" s="65">
        <f t="shared" si="37"/>
        <v>-2548876.29</v>
      </c>
      <c r="I262" s="65">
        <f t="shared" si="37"/>
        <v>-2670752.9500000002</v>
      </c>
      <c r="J262" s="65">
        <f t="shared" si="37"/>
        <v>-2792629.6100000003</v>
      </c>
      <c r="K262" s="65">
        <f t="shared" si="37"/>
        <v>-2914506.2699999996</v>
      </c>
      <c r="L262" s="65">
        <f t="shared" si="37"/>
        <v>-3036382.9299999997</v>
      </c>
      <c r="M262" s="65">
        <f t="shared" si="37"/>
        <v>-3158259.59</v>
      </c>
      <c r="N262" s="65">
        <f t="shared" si="37"/>
        <v>-3280136.25</v>
      </c>
      <c r="O262" s="65">
        <f t="shared" si="37"/>
        <v>-3402012.91</v>
      </c>
      <c r="P262" s="65">
        <f t="shared" si="37"/>
        <v>-3523889.5700000003</v>
      </c>
      <c r="Q262" s="65">
        <f t="shared" si="37"/>
        <v>-3608212</v>
      </c>
    </row>
    <row r="263" spans="1:19" outlineLevel="1" x14ac:dyDescent="0.2"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</row>
    <row r="264" spans="1:19" s="66" customFormat="1" outlineLevel="1" x14ac:dyDescent="0.2">
      <c r="A264" s="58"/>
      <c r="B264" s="59"/>
      <c r="C264" s="62">
        <v>2220</v>
      </c>
      <c r="D264" s="62" t="s">
        <v>307</v>
      </c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2"/>
      <c r="S264" s="494" t="s">
        <v>949</v>
      </c>
    </row>
    <row r="265" spans="1:19" outlineLevel="1" x14ac:dyDescent="0.2">
      <c r="C265" s="62">
        <v>22200001</v>
      </c>
      <c r="D265" s="62" t="s">
        <v>310</v>
      </c>
      <c r="E265" s="65"/>
      <c r="F265" s="63">
        <v>-749389.97501842002</v>
      </c>
      <c r="G265" s="63">
        <v>-739389.97501842002</v>
      </c>
      <c r="H265" s="63">
        <v>-729389.97501842002</v>
      </c>
      <c r="I265" s="63">
        <v>-719389.97501842002</v>
      </c>
      <c r="J265" s="63">
        <v>-709389.97501842002</v>
      </c>
      <c r="K265" s="63">
        <v>-699389.97501842002</v>
      </c>
      <c r="L265" s="63">
        <v>-689389.97501842002</v>
      </c>
      <c r="M265" s="63">
        <v>-679389.97501842002</v>
      </c>
      <c r="N265" s="63">
        <v>-669389.97501842002</v>
      </c>
      <c r="O265" s="63">
        <v>-659389.97501842002</v>
      </c>
      <c r="P265" s="63">
        <v>-649389.97501842002</v>
      </c>
      <c r="Q265" s="63">
        <v>-639389.97501842002</v>
      </c>
      <c r="R265" s="68"/>
      <c r="S265" s="494" t="s">
        <v>949</v>
      </c>
    </row>
    <row r="266" spans="1:19" outlineLevel="1" x14ac:dyDescent="0.2">
      <c r="E266" s="63" t="s">
        <v>264</v>
      </c>
      <c r="F266" s="63" t="s">
        <v>264</v>
      </c>
      <c r="G266" s="63" t="s">
        <v>264</v>
      </c>
      <c r="H266" s="63" t="s">
        <v>264</v>
      </c>
      <c r="I266" s="63" t="s">
        <v>264</v>
      </c>
      <c r="J266" s="63" t="s">
        <v>264</v>
      </c>
      <c r="K266" s="63" t="s">
        <v>264</v>
      </c>
      <c r="L266" s="63" t="s">
        <v>264</v>
      </c>
      <c r="M266" s="63" t="s">
        <v>264</v>
      </c>
      <c r="N266" s="63" t="s">
        <v>264</v>
      </c>
      <c r="O266" s="63" t="s">
        <v>264</v>
      </c>
      <c r="P266" s="63" t="s">
        <v>264</v>
      </c>
      <c r="Q266" s="63" t="s">
        <v>264</v>
      </c>
    </row>
    <row r="267" spans="1:19" ht="15" x14ac:dyDescent="0.25">
      <c r="A267" s="28" t="s">
        <v>416</v>
      </c>
      <c r="B267" s="59">
        <v>2220</v>
      </c>
      <c r="C267" s="64" t="s">
        <v>313</v>
      </c>
      <c r="D267" s="64" t="s">
        <v>310</v>
      </c>
      <c r="E267" s="65">
        <f>+E265</f>
        <v>0</v>
      </c>
      <c r="F267" s="65">
        <f>+F265</f>
        <v>-749389.97501842002</v>
      </c>
      <c r="G267" s="65">
        <f t="shared" ref="G267:Q267" si="38">+G265</f>
        <v>-739389.97501842002</v>
      </c>
      <c r="H267" s="65">
        <f t="shared" si="38"/>
        <v>-729389.97501842002</v>
      </c>
      <c r="I267" s="65">
        <f t="shared" si="38"/>
        <v>-719389.97501842002</v>
      </c>
      <c r="J267" s="65">
        <f t="shared" si="38"/>
        <v>-709389.97501842002</v>
      </c>
      <c r="K267" s="65">
        <f t="shared" si="38"/>
        <v>-699389.97501842002</v>
      </c>
      <c r="L267" s="65">
        <f t="shared" si="38"/>
        <v>-689389.97501842002</v>
      </c>
      <c r="M267" s="65">
        <f t="shared" si="38"/>
        <v>-679389.97501842002</v>
      </c>
      <c r="N267" s="65">
        <f t="shared" si="38"/>
        <v>-669389.97501842002</v>
      </c>
      <c r="O267" s="65">
        <f t="shared" si="38"/>
        <v>-659389.97501842002</v>
      </c>
      <c r="P267" s="65">
        <f t="shared" si="38"/>
        <v>-649389.97501842002</v>
      </c>
      <c r="Q267" s="65">
        <f t="shared" si="38"/>
        <v>-639389.97501842002</v>
      </c>
      <c r="S267" s="68"/>
    </row>
    <row r="268" spans="1:19" outlineLevel="1" x14ac:dyDescent="0.2"/>
    <row r="269" spans="1:19" s="66" customFormat="1" outlineLevel="1" x14ac:dyDescent="0.2">
      <c r="A269" s="58"/>
      <c r="B269" s="59"/>
      <c r="C269" s="62">
        <v>2230</v>
      </c>
      <c r="D269" s="62" t="s">
        <v>311</v>
      </c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2"/>
      <c r="S269" s="62"/>
    </row>
    <row r="270" spans="1:19" outlineLevel="1" x14ac:dyDescent="0.2">
      <c r="C270" s="62">
        <v>22300001</v>
      </c>
      <c r="D270" s="62" t="s">
        <v>305</v>
      </c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</row>
    <row r="271" spans="1:19" outlineLevel="1" x14ac:dyDescent="0.2">
      <c r="E271" s="63" t="s">
        <v>264</v>
      </c>
      <c r="F271" s="63" t="s">
        <v>264</v>
      </c>
      <c r="G271" s="63" t="s">
        <v>264</v>
      </c>
      <c r="H271" s="63" t="s">
        <v>264</v>
      </c>
      <c r="I271" s="63" t="s">
        <v>264</v>
      </c>
      <c r="J271" s="63" t="s">
        <v>264</v>
      </c>
      <c r="K271" s="63" t="s">
        <v>264</v>
      </c>
      <c r="L271" s="63" t="s">
        <v>264</v>
      </c>
      <c r="M271" s="63" t="s">
        <v>264</v>
      </c>
      <c r="N271" s="63" t="s">
        <v>264</v>
      </c>
      <c r="O271" s="63" t="s">
        <v>264</v>
      </c>
      <c r="P271" s="63" t="s">
        <v>264</v>
      </c>
      <c r="Q271" s="63" t="s">
        <v>264</v>
      </c>
    </row>
    <row r="272" spans="1:19" ht="15" x14ac:dyDescent="0.25">
      <c r="A272" s="28" t="s">
        <v>434</v>
      </c>
      <c r="B272" s="59">
        <v>2230</v>
      </c>
      <c r="C272" s="64" t="s">
        <v>312</v>
      </c>
      <c r="D272" s="64" t="s">
        <v>311</v>
      </c>
      <c r="E272" s="65">
        <f>+E270</f>
        <v>0</v>
      </c>
      <c r="F272" s="65">
        <v>0</v>
      </c>
      <c r="G272" s="65">
        <v>0</v>
      </c>
      <c r="H272" s="65">
        <v>0</v>
      </c>
      <c r="I272" s="65">
        <v>0</v>
      </c>
      <c r="J272" s="65">
        <v>0</v>
      </c>
      <c r="K272" s="65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</row>
    <row r="273" spans="1:19" outlineLevel="1" x14ac:dyDescent="0.2"/>
    <row r="274" spans="1:19" s="66" customFormat="1" outlineLevel="1" x14ac:dyDescent="0.2">
      <c r="A274" s="58"/>
      <c r="B274" s="59"/>
      <c r="C274" s="62">
        <v>2240</v>
      </c>
      <c r="D274" s="62" t="s">
        <v>319</v>
      </c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2"/>
      <c r="S274" s="62"/>
    </row>
    <row r="275" spans="1:19" outlineLevel="1" x14ac:dyDescent="0.2">
      <c r="C275" s="62">
        <v>22400001</v>
      </c>
      <c r="D275" s="62" t="s">
        <v>436</v>
      </c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175">
        <v>-232502.12699999899</v>
      </c>
      <c r="S275" s="494" t="s">
        <v>947</v>
      </c>
    </row>
    <row r="276" spans="1:19" outlineLevel="1" x14ac:dyDescent="0.2">
      <c r="E276" s="63" t="s">
        <v>264</v>
      </c>
      <c r="F276" s="63" t="s">
        <v>264</v>
      </c>
      <c r="G276" s="63" t="s">
        <v>264</v>
      </c>
      <c r="H276" s="63" t="s">
        <v>264</v>
      </c>
      <c r="I276" s="63" t="s">
        <v>264</v>
      </c>
      <c r="J276" s="63" t="s">
        <v>264</v>
      </c>
      <c r="K276" s="63" t="s">
        <v>264</v>
      </c>
      <c r="L276" s="63" t="s">
        <v>264</v>
      </c>
      <c r="M276" s="63" t="s">
        <v>264</v>
      </c>
      <c r="N276" s="63" t="s">
        <v>264</v>
      </c>
      <c r="O276" s="63" t="s">
        <v>264</v>
      </c>
      <c r="P276" s="63" t="s">
        <v>264</v>
      </c>
      <c r="Q276" s="63" t="s">
        <v>264</v>
      </c>
    </row>
    <row r="277" spans="1:19" ht="15" x14ac:dyDescent="0.25">
      <c r="A277" s="28" t="s">
        <v>435</v>
      </c>
      <c r="B277" s="59">
        <v>2240</v>
      </c>
      <c r="C277" s="64" t="s">
        <v>312</v>
      </c>
      <c r="D277" s="64" t="s">
        <v>436</v>
      </c>
      <c r="E277" s="65">
        <f t="shared" ref="E277:P277" si="39">SUM(E275)</f>
        <v>0</v>
      </c>
      <c r="F277" s="65">
        <f t="shared" si="39"/>
        <v>0</v>
      </c>
      <c r="G277" s="65">
        <f t="shared" si="39"/>
        <v>0</v>
      </c>
      <c r="H277" s="65">
        <f t="shared" si="39"/>
        <v>0</v>
      </c>
      <c r="I277" s="65">
        <f t="shared" si="39"/>
        <v>0</v>
      </c>
      <c r="J277" s="65">
        <f t="shared" si="39"/>
        <v>0</v>
      </c>
      <c r="K277" s="65">
        <f t="shared" si="39"/>
        <v>0</v>
      </c>
      <c r="L277" s="65">
        <f t="shared" si="39"/>
        <v>0</v>
      </c>
      <c r="M277" s="65">
        <f t="shared" si="39"/>
        <v>0</v>
      </c>
      <c r="N277" s="65">
        <f t="shared" si="39"/>
        <v>0</v>
      </c>
      <c r="O277" s="65">
        <f t="shared" si="39"/>
        <v>0</v>
      </c>
      <c r="P277" s="65">
        <f t="shared" si="39"/>
        <v>0</v>
      </c>
      <c r="Q277" s="65">
        <f>SUM(Q275)</f>
        <v>-232502.12699999899</v>
      </c>
    </row>
    <row r="278" spans="1:19" outlineLevel="1" x14ac:dyDescent="0.2"/>
    <row r="279" spans="1:19" outlineLevel="1" x14ac:dyDescent="0.2">
      <c r="D279" s="62" t="s">
        <v>2</v>
      </c>
      <c r="E279" s="63" t="s">
        <v>264</v>
      </c>
      <c r="F279" s="63" t="s">
        <v>264</v>
      </c>
      <c r="G279" s="63" t="s">
        <v>264</v>
      </c>
      <c r="H279" s="63" t="s">
        <v>264</v>
      </c>
      <c r="I279" s="63" t="s">
        <v>264</v>
      </c>
      <c r="J279" s="63" t="s">
        <v>264</v>
      </c>
      <c r="K279" s="63" t="s">
        <v>264</v>
      </c>
      <c r="L279" s="63" t="s">
        <v>264</v>
      </c>
      <c r="M279" s="63" t="s">
        <v>264</v>
      </c>
      <c r="N279" s="63" t="s">
        <v>264</v>
      </c>
      <c r="O279" s="63" t="s">
        <v>264</v>
      </c>
      <c r="P279" s="63" t="s">
        <v>264</v>
      </c>
      <c r="Q279" s="63" t="s">
        <v>264</v>
      </c>
    </row>
    <row r="280" spans="1:19" x14ac:dyDescent="0.2">
      <c r="C280" s="151" t="s">
        <v>373</v>
      </c>
      <c r="D280" s="151" t="s">
        <v>440</v>
      </c>
      <c r="E280" s="70">
        <f>+E262+E267+E272+E277</f>
        <v>-2183246.29</v>
      </c>
      <c r="F280" s="70">
        <f>+F262+F267+F272+F277</f>
        <v>-3023436.4350184202</v>
      </c>
      <c r="G280" s="70">
        <f>+G262+G267+G272+G277</f>
        <v>-3135313.0950184204</v>
      </c>
      <c r="H280" s="70">
        <f t="shared" ref="H280:Q280" si="40">+H262+H267+H272+H277</f>
        <v>-3278266.2650184203</v>
      </c>
      <c r="I280" s="70">
        <f t="shared" si="40"/>
        <v>-3390142.9250184204</v>
      </c>
      <c r="J280" s="70">
        <f t="shared" si="40"/>
        <v>-3502019.5850184206</v>
      </c>
      <c r="K280" s="70">
        <f t="shared" si="40"/>
        <v>-3613896.2450184198</v>
      </c>
      <c r="L280" s="70">
        <f t="shared" si="40"/>
        <v>-3725772.90501842</v>
      </c>
      <c r="M280" s="70">
        <f t="shared" si="40"/>
        <v>-3837649.5650184201</v>
      </c>
      <c r="N280" s="70">
        <f t="shared" si="40"/>
        <v>-3949526.2250184203</v>
      </c>
      <c r="O280" s="70">
        <f t="shared" si="40"/>
        <v>-4061402.8850184204</v>
      </c>
      <c r="P280" s="70">
        <f t="shared" si="40"/>
        <v>-4173279.5450184206</v>
      </c>
      <c r="Q280" s="70">
        <f t="shared" si="40"/>
        <v>-4480104.1020184197</v>
      </c>
    </row>
    <row r="281" spans="1:19" x14ac:dyDescent="0.2">
      <c r="D281" s="62" t="s">
        <v>2</v>
      </c>
      <c r="E281" s="63" t="s">
        <v>264</v>
      </c>
      <c r="F281" s="63" t="s">
        <v>264</v>
      </c>
      <c r="G281" s="63" t="s">
        <v>264</v>
      </c>
      <c r="H281" s="63" t="s">
        <v>264</v>
      </c>
      <c r="I281" s="63" t="s">
        <v>264</v>
      </c>
      <c r="J281" s="63" t="s">
        <v>264</v>
      </c>
      <c r="K281" s="63" t="s">
        <v>264</v>
      </c>
      <c r="L281" s="63" t="s">
        <v>264</v>
      </c>
      <c r="M281" s="63" t="s">
        <v>264</v>
      </c>
      <c r="N281" s="63" t="s">
        <v>264</v>
      </c>
      <c r="O281" s="63" t="s">
        <v>264</v>
      </c>
      <c r="P281" s="63" t="s">
        <v>264</v>
      </c>
      <c r="Q281" s="63" t="s">
        <v>264</v>
      </c>
    </row>
    <row r="282" spans="1:19" s="71" customFormat="1" x14ac:dyDescent="0.2">
      <c r="A282" s="58"/>
      <c r="B282" s="59"/>
      <c r="C282" s="59" t="s">
        <v>320</v>
      </c>
      <c r="D282" s="59" t="s">
        <v>2</v>
      </c>
      <c r="E282" s="72">
        <f t="shared" ref="E282:Q282" si="41">+E280+E254</f>
        <v>-40660788.189999998</v>
      </c>
      <c r="F282" s="72">
        <f>+F280+F254</f>
        <v>-32500977.835018419</v>
      </c>
      <c r="G282" s="72">
        <f>+G280+G254</f>
        <v>-32237193.04501842</v>
      </c>
      <c r="H282" s="72">
        <f t="shared" si="41"/>
        <v>-31020513.315018423</v>
      </c>
      <c r="I282" s="72">
        <f t="shared" si="41"/>
        <v>-27838048.955018423</v>
      </c>
      <c r="J282" s="72">
        <f t="shared" si="41"/>
        <v>-22976232.86501842</v>
      </c>
      <c r="K282" s="72">
        <f t="shared" si="41"/>
        <v>-31884149.925018419</v>
      </c>
      <c r="L282" s="72">
        <f t="shared" si="41"/>
        <v>-29219361.005018421</v>
      </c>
      <c r="M282" s="72">
        <f t="shared" si="41"/>
        <v>-29930001.255018421</v>
      </c>
      <c r="N282" s="72">
        <f t="shared" si="41"/>
        <v>-32873788.995018419</v>
      </c>
      <c r="O282" s="72">
        <f t="shared" si="41"/>
        <v>-28663297.135018419</v>
      </c>
      <c r="P282" s="72">
        <f t="shared" si="41"/>
        <v>-30535338.565018419</v>
      </c>
      <c r="Q282" s="72">
        <f t="shared" si="41"/>
        <v>-33730170.19201842</v>
      </c>
      <c r="S282" s="62"/>
    </row>
    <row r="283" spans="1:19" x14ac:dyDescent="0.2">
      <c r="D283" s="62" t="s">
        <v>2</v>
      </c>
    </row>
    <row r="284" spans="1:19" x14ac:dyDescent="0.2">
      <c r="C284" s="151" t="s">
        <v>128</v>
      </c>
      <c r="D284" s="62" t="s">
        <v>2</v>
      </c>
    </row>
    <row r="285" spans="1:19" outlineLevel="1" x14ac:dyDescent="0.2">
      <c r="D285" s="62" t="s">
        <v>2</v>
      </c>
    </row>
    <row r="286" spans="1:19" outlineLevel="1" x14ac:dyDescent="0.2">
      <c r="C286" s="62">
        <v>31</v>
      </c>
      <c r="D286" s="62" t="s">
        <v>129</v>
      </c>
    </row>
    <row r="287" spans="1:19" outlineLevel="1" x14ac:dyDescent="0.2">
      <c r="D287" s="62" t="s">
        <v>2</v>
      </c>
    </row>
    <row r="288" spans="1:19" s="66" customFormat="1" outlineLevel="1" x14ac:dyDescent="0.2">
      <c r="A288" s="58"/>
      <c r="B288" s="59"/>
      <c r="C288" s="62">
        <v>3101</v>
      </c>
      <c r="D288" s="62" t="s">
        <v>130</v>
      </c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2"/>
      <c r="S288" s="62"/>
    </row>
    <row r="289" spans="1:19" s="66" customFormat="1" outlineLevel="1" x14ac:dyDescent="0.2">
      <c r="A289" s="58"/>
      <c r="B289" s="59"/>
      <c r="C289" s="62"/>
      <c r="D289" s="62" t="s">
        <v>2</v>
      </c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2"/>
      <c r="S289" s="62"/>
    </row>
    <row r="290" spans="1:19" s="66" customFormat="1" outlineLevel="1" x14ac:dyDescent="0.2">
      <c r="A290" s="58"/>
      <c r="B290" s="59"/>
      <c r="C290" s="62">
        <v>31010001</v>
      </c>
      <c r="D290" s="62" t="s">
        <v>131</v>
      </c>
      <c r="E290" s="63">
        <v>-50000</v>
      </c>
      <c r="F290" s="63">
        <v>-50000</v>
      </c>
      <c r="G290" s="63">
        <v>-50000</v>
      </c>
      <c r="H290" s="63">
        <v>-50000</v>
      </c>
      <c r="I290" s="63">
        <v>-50000</v>
      </c>
      <c r="J290" s="63">
        <v>-50000</v>
      </c>
      <c r="K290" s="63">
        <v>-50000</v>
      </c>
      <c r="L290" s="63">
        <v>-50000</v>
      </c>
      <c r="M290" s="63">
        <v>-50000</v>
      </c>
      <c r="N290" s="63">
        <v>-50000</v>
      </c>
      <c r="O290" s="63">
        <v>-50000</v>
      </c>
      <c r="P290" s="63">
        <v>-50000</v>
      </c>
      <c r="Q290" s="63">
        <v>-50000</v>
      </c>
      <c r="R290" s="62"/>
      <c r="S290" s="494" t="s">
        <v>950</v>
      </c>
    </row>
    <row r="291" spans="1:19" s="66" customFormat="1" outlineLevel="1" x14ac:dyDescent="0.2">
      <c r="A291" s="58"/>
      <c r="B291" s="59"/>
      <c r="C291" s="62">
        <v>31010002</v>
      </c>
      <c r="D291" s="62" t="s">
        <v>132</v>
      </c>
      <c r="E291" s="63">
        <v>-50000</v>
      </c>
      <c r="F291" s="63">
        <v>-50000</v>
      </c>
      <c r="G291" s="63">
        <v>-50000</v>
      </c>
      <c r="H291" s="63">
        <v>-50000</v>
      </c>
      <c r="I291" s="63">
        <v>-50000</v>
      </c>
      <c r="J291" s="63">
        <v>-50000</v>
      </c>
      <c r="K291" s="63">
        <v>-50000</v>
      </c>
      <c r="L291" s="63">
        <v>-50000</v>
      </c>
      <c r="M291" s="63">
        <v>-50000</v>
      </c>
      <c r="N291" s="63">
        <v>-50000</v>
      </c>
      <c r="O291" s="63">
        <v>-50000</v>
      </c>
      <c r="P291" s="63">
        <v>-50000</v>
      </c>
      <c r="Q291" s="63">
        <v>-50000</v>
      </c>
      <c r="R291" s="62"/>
      <c r="S291" s="494" t="s">
        <v>950</v>
      </c>
    </row>
    <row r="292" spans="1:19" s="66" customFormat="1" outlineLevel="1" x14ac:dyDescent="0.2">
      <c r="A292" s="58"/>
      <c r="B292" s="59"/>
      <c r="C292" s="62"/>
      <c r="D292" s="62" t="s">
        <v>2</v>
      </c>
      <c r="E292" s="63" t="s">
        <v>264</v>
      </c>
      <c r="F292" s="63" t="s">
        <v>264</v>
      </c>
      <c r="G292" s="63" t="s">
        <v>264</v>
      </c>
      <c r="H292" s="63" t="s">
        <v>264</v>
      </c>
      <c r="I292" s="63" t="s">
        <v>264</v>
      </c>
      <c r="J292" s="63" t="s">
        <v>264</v>
      </c>
      <c r="K292" s="63" t="s">
        <v>264</v>
      </c>
      <c r="L292" s="63" t="s">
        <v>264</v>
      </c>
      <c r="M292" s="63" t="s">
        <v>264</v>
      </c>
      <c r="N292" s="63" t="s">
        <v>264</v>
      </c>
      <c r="O292" s="63" t="s">
        <v>264</v>
      </c>
      <c r="P292" s="63" t="s">
        <v>264</v>
      </c>
      <c r="Q292" s="63" t="s">
        <v>264</v>
      </c>
      <c r="R292" s="62"/>
      <c r="S292" s="62"/>
    </row>
    <row r="293" spans="1:19" s="66" customFormat="1" ht="15" x14ac:dyDescent="0.25">
      <c r="A293" s="28" t="s">
        <v>395</v>
      </c>
      <c r="B293" s="59"/>
      <c r="C293" s="64" t="s">
        <v>133</v>
      </c>
      <c r="D293" s="64" t="s">
        <v>130</v>
      </c>
      <c r="E293" s="65">
        <f>SUM(E290:E292)</f>
        <v>-100000</v>
      </c>
      <c r="F293" s="65">
        <f t="shared" ref="F293:Q293" si="42">SUM(F290:F292)</f>
        <v>-100000</v>
      </c>
      <c r="G293" s="65">
        <f t="shared" si="42"/>
        <v>-100000</v>
      </c>
      <c r="H293" s="65">
        <f t="shared" si="42"/>
        <v>-100000</v>
      </c>
      <c r="I293" s="65">
        <f t="shared" si="42"/>
        <v>-100000</v>
      </c>
      <c r="J293" s="65">
        <f t="shared" si="42"/>
        <v>-100000</v>
      </c>
      <c r="K293" s="65">
        <f t="shared" si="42"/>
        <v>-100000</v>
      </c>
      <c r="L293" s="65">
        <f t="shared" si="42"/>
        <v>-100000</v>
      </c>
      <c r="M293" s="65">
        <f t="shared" si="42"/>
        <v>-100000</v>
      </c>
      <c r="N293" s="65">
        <f t="shared" si="42"/>
        <v>-100000</v>
      </c>
      <c r="O293" s="65">
        <f t="shared" si="42"/>
        <v>-100000</v>
      </c>
      <c r="P293" s="65">
        <f t="shared" si="42"/>
        <v>-100000</v>
      </c>
      <c r="Q293" s="65">
        <f t="shared" si="42"/>
        <v>-100000</v>
      </c>
      <c r="R293" s="62"/>
      <c r="S293" s="62"/>
    </row>
    <row r="294" spans="1:19" s="66" customFormat="1" outlineLevel="1" x14ac:dyDescent="0.2">
      <c r="A294" s="58"/>
      <c r="B294" s="59"/>
      <c r="C294" s="62"/>
      <c r="D294" s="62" t="s">
        <v>2</v>
      </c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2"/>
      <c r="S294" s="62"/>
    </row>
    <row r="295" spans="1:19" s="66" customFormat="1" outlineLevel="1" x14ac:dyDescent="0.2">
      <c r="A295" s="58"/>
      <c r="B295" s="59"/>
      <c r="C295" s="62">
        <v>3102</v>
      </c>
      <c r="D295" s="62" t="s">
        <v>134</v>
      </c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2"/>
      <c r="S295" s="494" t="s">
        <v>951</v>
      </c>
    </row>
    <row r="296" spans="1:19" s="66" customFormat="1" outlineLevel="1" x14ac:dyDescent="0.2">
      <c r="A296" s="58"/>
      <c r="B296" s="59"/>
      <c r="C296" s="62">
        <v>31020001</v>
      </c>
      <c r="D296" s="62" t="s">
        <v>135</v>
      </c>
      <c r="E296" s="63">
        <v>-20000</v>
      </c>
      <c r="F296" s="63">
        <v>-20000</v>
      </c>
      <c r="G296" s="63">
        <v>-20000</v>
      </c>
      <c r="H296" s="63">
        <v>-20000</v>
      </c>
      <c r="I296" s="63">
        <v>-20000</v>
      </c>
      <c r="J296" s="63">
        <v>-20000</v>
      </c>
      <c r="K296" s="63">
        <v>-20000</v>
      </c>
      <c r="L296" s="63">
        <v>-20000</v>
      </c>
      <c r="M296" s="63">
        <v>-20000</v>
      </c>
      <c r="N296" s="63">
        <v>-20000</v>
      </c>
      <c r="O296" s="63">
        <v>-20000</v>
      </c>
      <c r="P296" s="63">
        <v>-20000</v>
      </c>
      <c r="Q296" s="63">
        <v>-20000</v>
      </c>
      <c r="R296" s="62"/>
      <c r="S296" s="494" t="s">
        <v>951</v>
      </c>
    </row>
    <row r="297" spans="1:19" s="66" customFormat="1" outlineLevel="1" x14ac:dyDescent="0.2">
      <c r="A297" s="58"/>
      <c r="B297" s="59"/>
      <c r="C297" s="62"/>
      <c r="D297" s="62" t="s">
        <v>2</v>
      </c>
      <c r="E297" s="63" t="s">
        <v>264</v>
      </c>
      <c r="F297" s="63" t="s">
        <v>264</v>
      </c>
      <c r="G297" s="63" t="s">
        <v>264</v>
      </c>
      <c r="H297" s="63" t="s">
        <v>264</v>
      </c>
      <c r="I297" s="63" t="s">
        <v>264</v>
      </c>
      <c r="J297" s="63" t="s">
        <v>264</v>
      </c>
      <c r="K297" s="63" t="s">
        <v>264</v>
      </c>
      <c r="L297" s="63" t="s">
        <v>264</v>
      </c>
      <c r="M297" s="63" t="s">
        <v>264</v>
      </c>
      <c r="N297" s="63" t="s">
        <v>264</v>
      </c>
      <c r="O297" s="63" t="s">
        <v>264</v>
      </c>
      <c r="P297" s="63" t="s">
        <v>264</v>
      </c>
      <c r="Q297" s="63" t="s">
        <v>264</v>
      </c>
      <c r="R297" s="62"/>
      <c r="S297" s="62"/>
    </row>
    <row r="298" spans="1:19" s="66" customFormat="1" ht="15" x14ac:dyDescent="0.25">
      <c r="A298" s="28" t="s">
        <v>395</v>
      </c>
      <c r="B298" s="59"/>
      <c r="C298" s="64" t="s">
        <v>136</v>
      </c>
      <c r="D298" s="64" t="s">
        <v>134</v>
      </c>
      <c r="E298" s="65">
        <f>+E296</f>
        <v>-20000</v>
      </c>
      <c r="F298" s="65">
        <f t="shared" ref="F298:Q298" si="43">+F296</f>
        <v>-20000</v>
      </c>
      <c r="G298" s="65">
        <f t="shared" si="43"/>
        <v>-20000</v>
      </c>
      <c r="H298" s="65">
        <f t="shared" si="43"/>
        <v>-20000</v>
      </c>
      <c r="I298" s="65">
        <f t="shared" si="43"/>
        <v>-20000</v>
      </c>
      <c r="J298" s="65">
        <f t="shared" si="43"/>
        <v>-20000</v>
      </c>
      <c r="K298" s="65">
        <f t="shared" si="43"/>
        <v>-20000</v>
      </c>
      <c r="L298" s="65">
        <f t="shared" si="43"/>
        <v>-20000</v>
      </c>
      <c r="M298" s="65">
        <f t="shared" si="43"/>
        <v>-20000</v>
      </c>
      <c r="N298" s="65">
        <f t="shared" si="43"/>
        <v>-20000</v>
      </c>
      <c r="O298" s="65">
        <f t="shared" si="43"/>
        <v>-20000</v>
      </c>
      <c r="P298" s="65">
        <f t="shared" si="43"/>
        <v>-20000</v>
      </c>
      <c r="Q298" s="65">
        <f t="shared" si="43"/>
        <v>-20000</v>
      </c>
      <c r="R298" s="62"/>
      <c r="S298" s="62"/>
    </row>
    <row r="299" spans="1:19" s="66" customFormat="1" outlineLevel="1" x14ac:dyDescent="0.2">
      <c r="A299" s="58"/>
      <c r="B299" s="59"/>
      <c r="C299" s="62"/>
      <c r="D299" s="62" t="s">
        <v>2</v>
      </c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2"/>
      <c r="S299" s="62"/>
    </row>
    <row r="300" spans="1:19" s="66" customFormat="1" outlineLevel="1" x14ac:dyDescent="0.2">
      <c r="A300" s="58"/>
      <c r="B300" s="59"/>
      <c r="C300" s="62"/>
      <c r="D300" s="62" t="s">
        <v>2</v>
      </c>
      <c r="E300" s="63" t="s">
        <v>264</v>
      </c>
      <c r="F300" s="63" t="s">
        <v>264</v>
      </c>
      <c r="G300" s="63" t="s">
        <v>264</v>
      </c>
      <c r="H300" s="63" t="s">
        <v>264</v>
      </c>
      <c r="I300" s="63" t="s">
        <v>264</v>
      </c>
      <c r="J300" s="63" t="s">
        <v>264</v>
      </c>
      <c r="K300" s="63" t="s">
        <v>264</v>
      </c>
      <c r="L300" s="63" t="s">
        <v>264</v>
      </c>
      <c r="M300" s="63" t="s">
        <v>264</v>
      </c>
      <c r="N300" s="63" t="s">
        <v>264</v>
      </c>
      <c r="O300" s="63" t="s">
        <v>264</v>
      </c>
      <c r="P300" s="63" t="s">
        <v>264</v>
      </c>
      <c r="Q300" s="63" t="s">
        <v>264</v>
      </c>
      <c r="R300" s="62"/>
      <c r="S300" s="62"/>
    </row>
    <row r="301" spans="1:19" s="66" customFormat="1" ht="15" x14ac:dyDescent="0.25">
      <c r="A301" s="28" t="s">
        <v>393</v>
      </c>
      <c r="B301" s="59"/>
      <c r="C301" s="64" t="s">
        <v>138</v>
      </c>
      <c r="D301" s="64" t="s">
        <v>137</v>
      </c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2"/>
      <c r="S301" s="62"/>
    </row>
    <row r="302" spans="1:19" s="66" customFormat="1" outlineLevel="1" x14ac:dyDescent="0.2">
      <c r="A302" s="58"/>
      <c r="B302" s="59"/>
      <c r="C302" s="62"/>
      <c r="D302" s="62" t="s">
        <v>2</v>
      </c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2"/>
      <c r="S302" s="62"/>
    </row>
    <row r="303" spans="1:19" s="66" customFormat="1" outlineLevel="1" x14ac:dyDescent="0.2">
      <c r="A303" s="58"/>
      <c r="B303" s="59"/>
      <c r="C303" s="62">
        <v>3106</v>
      </c>
      <c r="D303" s="62" t="s">
        <v>139</v>
      </c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2"/>
      <c r="S303" s="494" t="s">
        <v>952</v>
      </c>
    </row>
    <row r="304" spans="1:19" s="66" customFormat="1" outlineLevel="1" x14ac:dyDescent="0.2">
      <c r="A304" s="58"/>
      <c r="B304" s="59"/>
      <c r="C304" s="62">
        <v>31060008</v>
      </c>
      <c r="D304" s="62" t="s">
        <v>1018</v>
      </c>
      <c r="E304" s="63">
        <v>-45039075.57</v>
      </c>
      <c r="F304" s="63">
        <v>-45039075.57</v>
      </c>
      <c r="G304" s="63">
        <v>-45039075.57</v>
      </c>
      <c r="H304" s="63">
        <v>-45039075.57</v>
      </c>
      <c r="I304" s="63">
        <v>-45039075.57</v>
      </c>
      <c r="J304" s="63">
        <v>-45039075.57</v>
      </c>
      <c r="K304" s="63">
        <v>-45039075.57</v>
      </c>
      <c r="L304" s="63">
        <v>-45039075.57</v>
      </c>
      <c r="M304" s="63">
        <v>-45039075.57</v>
      </c>
      <c r="N304" s="63">
        <v>-45039075.57</v>
      </c>
      <c r="O304" s="63">
        <v>-45039075.57</v>
      </c>
      <c r="P304" s="63">
        <v>-45039075.57</v>
      </c>
      <c r="Q304" s="63">
        <v>-45039075.57</v>
      </c>
      <c r="R304" s="153"/>
      <c r="S304" s="494" t="s">
        <v>952</v>
      </c>
    </row>
    <row r="305" spans="1:19" s="66" customFormat="1" outlineLevel="1" x14ac:dyDescent="0.2">
      <c r="A305" s="58"/>
      <c r="B305" s="59"/>
      <c r="C305" s="62">
        <v>31060009</v>
      </c>
      <c r="D305" s="62" t="s">
        <v>1016</v>
      </c>
      <c r="E305" s="63"/>
      <c r="F305" s="63">
        <v>-23061159.66</v>
      </c>
      <c r="G305" s="63">
        <v>-23061159.66</v>
      </c>
      <c r="H305" s="63">
        <v>-23061159.66</v>
      </c>
      <c r="I305" s="63">
        <v>-23061159.66</v>
      </c>
      <c r="J305" s="63">
        <v>-23061159.66</v>
      </c>
      <c r="K305" s="63">
        <v>-23061159.66</v>
      </c>
      <c r="L305" s="63">
        <v>-23061159.66</v>
      </c>
      <c r="M305" s="63">
        <v>-23061159.66</v>
      </c>
      <c r="N305" s="63">
        <v>-23061159.66</v>
      </c>
      <c r="O305" s="63">
        <v>-23061159.66</v>
      </c>
      <c r="P305" s="63">
        <v>-23061159.66</v>
      </c>
      <c r="Q305" s="63">
        <v>-23061159.66</v>
      </c>
      <c r="R305" s="153"/>
      <c r="S305" s="494" t="s">
        <v>952</v>
      </c>
    </row>
    <row r="306" spans="1:19" s="66" customFormat="1" outlineLevel="1" x14ac:dyDescent="0.2">
      <c r="A306" s="58"/>
      <c r="B306" s="59"/>
      <c r="C306" s="62">
        <v>31060010</v>
      </c>
      <c r="D306" s="62" t="s">
        <v>1017</v>
      </c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2"/>
      <c r="S306" s="494" t="s">
        <v>952</v>
      </c>
    </row>
    <row r="307" spans="1:19" s="66" customFormat="1" outlineLevel="1" x14ac:dyDescent="0.2">
      <c r="A307" s="58"/>
      <c r="B307" s="59"/>
      <c r="C307" s="62"/>
      <c r="D307" s="62" t="s">
        <v>2</v>
      </c>
      <c r="E307" s="63" t="s">
        <v>264</v>
      </c>
      <c r="F307" s="63" t="s">
        <v>264</v>
      </c>
      <c r="G307" s="63" t="s">
        <v>264</v>
      </c>
      <c r="H307" s="63" t="s">
        <v>264</v>
      </c>
      <c r="I307" s="63" t="s">
        <v>264</v>
      </c>
      <c r="J307" s="63" t="s">
        <v>264</v>
      </c>
      <c r="K307" s="63" t="s">
        <v>264</v>
      </c>
      <c r="L307" s="63" t="s">
        <v>264</v>
      </c>
      <c r="M307" s="63" t="s">
        <v>264</v>
      </c>
      <c r="N307" s="63" t="s">
        <v>264</v>
      </c>
      <c r="O307" s="63" t="s">
        <v>264</v>
      </c>
      <c r="P307" s="63" t="s">
        <v>264</v>
      </c>
      <c r="Q307" s="63" t="s">
        <v>264</v>
      </c>
      <c r="R307" s="62"/>
      <c r="S307" s="62"/>
    </row>
    <row r="308" spans="1:19" s="66" customFormat="1" ht="15" x14ac:dyDescent="0.25">
      <c r="A308" s="28" t="s">
        <v>437</v>
      </c>
      <c r="B308" s="59"/>
      <c r="C308" s="64" t="s">
        <v>140</v>
      </c>
      <c r="D308" s="64" t="s">
        <v>139</v>
      </c>
      <c r="E308" s="65">
        <f>SUM(E304:E307)</f>
        <v>-45039075.57</v>
      </c>
      <c r="F308" s="65">
        <f t="shared" ref="F308:Q308" si="44">SUM(F304:F307)</f>
        <v>-68100235.230000004</v>
      </c>
      <c r="G308" s="65">
        <f t="shared" si="44"/>
        <v>-68100235.230000004</v>
      </c>
      <c r="H308" s="65">
        <f t="shared" si="44"/>
        <v>-68100235.230000004</v>
      </c>
      <c r="I308" s="65">
        <f t="shared" si="44"/>
        <v>-68100235.230000004</v>
      </c>
      <c r="J308" s="65">
        <f t="shared" si="44"/>
        <v>-68100235.230000004</v>
      </c>
      <c r="K308" s="65">
        <f t="shared" si="44"/>
        <v>-68100235.230000004</v>
      </c>
      <c r="L308" s="65">
        <f t="shared" si="44"/>
        <v>-68100235.230000004</v>
      </c>
      <c r="M308" s="65">
        <f t="shared" si="44"/>
        <v>-68100235.230000004</v>
      </c>
      <c r="N308" s="65">
        <f t="shared" si="44"/>
        <v>-68100235.230000004</v>
      </c>
      <c r="O308" s="65">
        <f t="shared" si="44"/>
        <v>-68100235.230000004</v>
      </c>
      <c r="P308" s="65">
        <f t="shared" si="44"/>
        <v>-68100235.230000004</v>
      </c>
      <c r="Q308" s="65">
        <f t="shared" si="44"/>
        <v>-68100235.230000004</v>
      </c>
      <c r="R308" s="68"/>
      <c r="S308" s="62"/>
    </row>
    <row r="309" spans="1:19" s="66" customFormat="1" outlineLevel="1" x14ac:dyDescent="0.2">
      <c r="A309" s="58"/>
      <c r="B309" s="59"/>
      <c r="C309" s="62"/>
      <c r="D309" s="62" t="s">
        <v>2</v>
      </c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2"/>
      <c r="S309" s="62"/>
    </row>
    <row r="310" spans="1:19" s="66" customFormat="1" outlineLevel="1" x14ac:dyDescent="0.2">
      <c r="A310" s="58"/>
      <c r="B310" s="59"/>
      <c r="C310" s="62"/>
      <c r="D310" s="62" t="s">
        <v>2</v>
      </c>
      <c r="E310" s="63" t="s">
        <v>264</v>
      </c>
      <c r="F310" s="63" t="s">
        <v>264</v>
      </c>
      <c r="G310" s="63" t="s">
        <v>264</v>
      </c>
      <c r="H310" s="63" t="s">
        <v>264</v>
      </c>
      <c r="I310" s="63" t="s">
        <v>264</v>
      </c>
      <c r="J310" s="63" t="s">
        <v>264</v>
      </c>
      <c r="K310" s="63" t="s">
        <v>264</v>
      </c>
      <c r="L310" s="63" t="s">
        <v>264</v>
      </c>
      <c r="M310" s="63" t="s">
        <v>264</v>
      </c>
      <c r="N310" s="63" t="s">
        <v>264</v>
      </c>
      <c r="O310" s="63" t="s">
        <v>264</v>
      </c>
      <c r="P310" s="63" t="s">
        <v>264</v>
      </c>
      <c r="Q310" s="63" t="s">
        <v>264</v>
      </c>
      <c r="R310" s="62"/>
      <c r="S310" s="62"/>
    </row>
    <row r="311" spans="1:19" s="66" customFormat="1" x14ac:dyDescent="0.2">
      <c r="A311" s="58"/>
      <c r="B311" s="59"/>
      <c r="C311" s="151" t="s">
        <v>141</v>
      </c>
      <c r="D311" s="151" t="s">
        <v>129</v>
      </c>
      <c r="E311" s="70">
        <f>+E308+E298+E293</f>
        <v>-45159075.57</v>
      </c>
      <c r="F311" s="70">
        <f>+F308+F298+F293</f>
        <v>-68220235.230000004</v>
      </c>
      <c r="G311" s="70">
        <f t="shared" ref="G311:Q311" si="45">+G308+G298+G293</f>
        <v>-68220235.230000004</v>
      </c>
      <c r="H311" s="70">
        <f t="shared" si="45"/>
        <v>-68220235.230000004</v>
      </c>
      <c r="I311" s="70">
        <f t="shared" si="45"/>
        <v>-68220235.230000004</v>
      </c>
      <c r="J311" s="70">
        <f t="shared" si="45"/>
        <v>-68220235.230000004</v>
      </c>
      <c r="K311" s="70">
        <f t="shared" si="45"/>
        <v>-68220235.230000004</v>
      </c>
      <c r="L311" s="70">
        <f t="shared" si="45"/>
        <v>-68220235.230000004</v>
      </c>
      <c r="M311" s="70">
        <f t="shared" si="45"/>
        <v>-68220235.230000004</v>
      </c>
      <c r="N311" s="70">
        <f t="shared" si="45"/>
        <v>-68220235.230000004</v>
      </c>
      <c r="O311" s="70">
        <f t="shared" si="45"/>
        <v>-68220235.230000004</v>
      </c>
      <c r="P311" s="70">
        <f t="shared" si="45"/>
        <v>-68220235.230000004</v>
      </c>
      <c r="Q311" s="70">
        <f t="shared" si="45"/>
        <v>-68220235.230000004</v>
      </c>
      <c r="R311" s="62"/>
      <c r="S311" s="62"/>
    </row>
    <row r="312" spans="1:19" x14ac:dyDescent="0.2">
      <c r="D312" s="62" t="s">
        <v>2</v>
      </c>
      <c r="E312" s="63" t="s">
        <v>264</v>
      </c>
      <c r="F312" s="63" t="s">
        <v>264</v>
      </c>
      <c r="G312" s="63" t="s">
        <v>264</v>
      </c>
      <c r="H312" s="63" t="s">
        <v>264</v>
      </c>
      <c r="I312" s="63" t="s">
        <v>264</v>
      </c>
      <c r="J312" s="63" t="s">
        <v>264</v>
      </c>
      <c r="K312" s="63" t="s">
        <v>264</v>
      </c>
      <c r="L312" s="63" t="s">
        <v>264</v>
      </c>
      <c r="M312" s="63" t="s">
        <v>264</v>
      </c>
      <c r="N312" s="63" t="s">
        <v>264</v>
      </c>
      <c r="O312" s="63" t="s">
        <v>264</v>
      </c>
      <c r="P312" s="63" t="s">
        <v>264</v>
      </c>
      <c r="Q312" s="63" t="s">
        <v>264</v>
      </c>
    </row>
    <row r="313" spans="1:19" s="59" customFormat="1" x14ac:dyDescent="0.2">
      <c r="A313" s="58"/>
      <c r="C313" s="651" t="s">
        <v>372</v>
      </c>
      <c r="D313" s="651"/>
      <c r="E313" s="72">
        <f>+E311</f>
        <v>-45159075.57</v>
      </c>
      <c r="F313" s="72">
        <f t="shared" ref="F313:Q313" si="46">+F311</f>
        <v>-68220235.230000004</v>
      </c>
      <c r="G313" s="72">
        <f t="shared" si="46"/>
        <v>-68220235.230000004</v>
      </c>
      <c r="H313" s="72">
        <f t="shared" si="46"/>
        <v>-68220235.230000004</v>
      </c>
      <c r="I313" s="72">
        <f t="shared" si="46"/>
        <v>-68220235.230000004</v>
      </c>
      <c r="J313" s="72">
        <f t="shared" si="46"/>
        <v>-68220235.230000004</v>
      </c>
      <c r="K313" s="72">
        <f t="shared" si="46"/>
        <v>-68220235.230000004</v>
      </c>
      <c r="L313" s="72">
        <f t="shared" si="46"/>
        <v>-68220235.230000004</v>
      </c>
      <c r="M313" s="72">
        <f t="shared" si="46"/>
        <v>-68220235.230000004</v>
      </c>
      <c r="N313" s="72">
        <f t="shared" si="46"/>
        <v>-68220235.230000004</v>
      </c>
      <c r="O313" s="72">
        <f t="shared" si="46"/>
        <v>-68220235.230000004</v>
      </c>
      <c r="P313" s="72">
        <f t="shared" si="46"/>
        <v>-68220235.230000004</v>
      </c>
      <c r="Q313" s="72">
        <f t="shared" si="46"/>
        <v>-68220235.230000004</v>
      </c>
      <c r="S313" s="60"/>
    </row>
    <row r="314" spans="1:19" x14ac:dyDescent="0.2">
      <c r="D314" s="62" t="s">
        <v>2</v>
      </c>
    </row>
    <row r="315" spans="1:19" s="66" customFormat="1" x14ac:dyDescent="0.2">
      <c r="A315" s="58"/>
      <c r="B315" s="59"/>
      <c r="C315" s="151" t="s">
        <v>142</v>
      </c>
      <c r="D315" s="62" t="s">
        <v>2</v>
      </c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2"/>
      <c r="S315" s="62"/>
    </row>
    <row r="316" spans="1:19" s="66" customFormat="1" outlineLevel="1" x14ac:dyDescent="0.2">
      <c r="A316" s="58"/>
      <c r="B316" s="59"/>
      <c r="C316" s="62"/>
      <c r="D316" s="62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2"/>
      <c r="S316" s="62"/>
    </row>
    <row r="317" spans="1:19" s="66" customFormat="1" outlineLevel="1" x14ac:dyDescent="0.2">
      <c r="A317" s="58"/>
      <c r="B317" s="59"/>
      <c r="C317" s="62">
        <v>41</v>
      </c>
      <c r="D317" s="62" t="s">
        <v>143</v>
      </c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2"/>
      <c r="S317" s="62"/>
    </row>
    <row r="318" spans="1:19" s="66" customFormat="1" outlineLevel="1" x14ac:dyDescent="0.2">
      <c r="A318" s="58"/>
      <c r="B318" s="59"/>
      <c r="C318" s="62"/>
      <c r="D318" s="62" t="s">
        <v>2</v>
      </c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2"/>
      <c r="S318" s="62"/>
    </row>
    <row r="319" spans="1:19" s="66" customFormat="1" outlineLevel="1" x14ac:dyDescent="0.2">
      <c r="A319" s="58"/>
      <c r="B319" s="59"/>
      <c r="C319" s="62">
        <v>4101</v>
      </c>
      <c r="D319" s="62" t="s">
        <v>143</v>
      </c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2"/>
      <c r="S319" s="62"/>
    </row>
    <row r="320" spans="1:19" s="66" customFormat="1" ht="13.5" outlineLevel="1" thickBot="1" x14ac:dyDescent="0.25">
      <c r="A320" s="58"/>
      <c r="B320" s="59"/>
      <c r="C320" s="62"/>
      <c r="D320" s="62" t="s">
        <v>2</v>
      </c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2"/>
      <c r="S320" s="62"/>
    </row>
    <row r="321" spans="1:19" s="66" customFormat="1" ht="13.5" outlineLevel="1" thickBot="1" x14ac:dyDescent="0.25">
      <c r="A321" s="58"/>
      <c r="B321" s="59"/>
      <c r="C321" s="62">
        <v>41010001</v>
      </c>
      <c r="D321" s="62" t="s">
        <v>258</v>
      </c>
      <c r="E321" s="63">
        <v>-48981641.351999998</v>
      </c>
      <c r="F321" s="63">
        <v>-2298857.7415199964</v>
      </c>
      <c r="G321" s="63">
        <v>-8325454.5159999989</v>
      </c>
      <c r="H321" s="63">
        <v>-13177143.699999999</v>
      </c>
      <c r="I321" s="63">
        <v>-17626265.821999997</v>
      </c>
      <c r="J321" s="63">
        <v>-21497194.054000001</v>
      </c>
      <c r="K321" s="63">
        <v>-27298188.495999999</v>
      </c>
      <c r="L321" s="63">
        <v>-31775063.984000001</v>
      </c>
      <c r="M321" s="63">
        <v>-35511932.228</v>
      </c>
      <c r="N321" s="63">
        <v>-40842015.688000001</v>
      </c>
      <c r="O321" s="63">
        <v>-44910407.830000006</v>
      </c>
      <c r="P321" s="63">
        <v>-49608035.880000003</v>
      </c>
      <c r="Q321" s="63">
        <v>-54847186.894000001</v>
      </c>
      <c r="R321" s="69"/>
      <c r="S321" s="497" t="s">
        <v>953</v>
      </c>
    </row>
    <row r="322" spans="1:19" s="66" customFormat="1" ht="13.5" outlineLevel="1" thickBot="1" x14ac:dyDescent="0.25">
      <c r="A322" s="58"/>
      <c r="B322" s="59"/>
      <c r="C322" s="62">
        <v>41010002</v>
      </c>
      <c r="D322" s="62" t="s">
        <v>259</v>
      </c>
      <c r="E322" s="63">
        <v>-44792058.101999998</v>
      </c>
      <c r="F322" s="63">
        <v>-3339481.86</v>
      </c>
      <c r="G322" s="63">
        <v>-3863041.2459999993</v>
      </c>
      <c r="H322" s="63">
        <v>-9190616.0399999991</v>
      </c>
      <c r="I322" s="63">
        <v>-12528931.822000001</v>
      </c>
      <c r="J322" s="63">
        <v>-14562626.454</v>
      </c>
      <c r="K322" s="63">
        <v>-22339507.486000001</v>
      </c>
      <c r="L322" s="63">
        <v>-25692884.864</v>
      </c>
      <c r="M322" s="63">
        <v>-26780117.338</v>
      </c>
      <c r="N322" s="63">
        <v>-34554970.497999996</v>
      </c>
      <c r="O322" s="63">
        <v>-37359644.790000007</v>
      </c>
      <c r="P322" s="63">
        <v>-40631252.030000001</v>
      </c>
      <c r="Q322" s="63">
        <v>-45418454.434</v>
      </c>
      <c r="R322" s="69"/>
      <c r="S322" s="497" t="s">
        <v>953</v>
      </c>
    </row>
    <row r="323" spans="1:19" s="66" customFormat="1" ht="13.5" outlineLevel="1" thickBot="1" x14ac:dyDescent="0.25">
      <c r="A323" s="58"/>
      <c r="B323" s="59"/>
      <c r="C323" s="62">
        <v>41010003</v>
      </c>
      <c r="D323" s="62" t="s">
        <v>260</v>
      </c>
      <c r="E323" s="63">
        <v>-35489123.122000001</v>
      </c>
      <c r="F323" s="63">
        <v>-2224221.87</v>
      </c>
      <c r="G323" s="63">
        <v>-4897461.8959999997</v>
      </c>
      <c r="H323" s="63">
        <v>-7259941.5800000001</v>
      </c>
      <c r="I323" s="63">
        <v>-10421177.142000001</v>
      </c>
      <c r="J323" s="63">
        <v>-13462226.904000001</v>
      </c>
      <c r="K323" s="63">
        <v>-16309210.726</v>
      </c>
      <c r="L323" s="63">
        <v>-20052271.574000001</v>
      </c>
      <c r="M323" s="63">
        <v>-22453513.008000001</v>
      </c>
      <c r="N323" s="63">
        <v>-25998951.328000002</v>
      </c>
      <c r="O323" s="63">
        <v>-27990976.340000004</v>
      </c>
      <c r="P323" s="63">
        <v>-30697698.460000001</v>
      </c>
      <c r="Q323" s="63">
        <v>-33264710.014000002</v>
      </c>
      <c r="R323" s="69"/>
      <c r="S323" s="497" t="s">
        <v>953</v>
      </c>
    </row>
    <row r="324" spans="1:19" s="66" customFormat="1" ht="13.5" outlineLevel="1" thickBot="1" x14ac:dyDescent="0.25">
      <c r="A324" s="58"/>
      <c r="B324" s="59"/>
      <c r="C324" s="62">
        <v>41010004</v>
      </c>
      <c r="D324" s="62" t="s">
        <v>261</v>
      </c>
      <c r="E324" s="63">
        <v>-23026307.921999998</v>
      </c>
      <c r="F324" s="63">
        <v>-1745341.46</v>
      </c>
      <c r="G324" s="63">
        <v>-3315557.8059999994</v>
      </c>
      <c r="H324" s="63">
        <v>-4582514.0199999996</v>
      </c>
      <c r="I324" s="63">
        <v>-6008998.9819999998</v>
      </c>
      <c r="J324" s="63">
        <v>-7791440.5940000005</v>
      </c>
      <c r="K324" s="63">
        <v>-9485174.1359999999</v>
      </c>
      <c r="L324" s="63">
        <v>-11235968.263999999</v>
      </c>
      <c r="M324" s="63">
        <v>-12187731.208000001</v>
      </c>
      <c r="N324" s="63">
        <v>-14001809.578</v>
      </c>
      <c r="O324" s="63">
        <v>-15206187.400000006</v>
      </c>
      <c r="P324" s="63">
        <v>-16966611.600000001</v>
      </c>
      <c r="Q324" s="63">
        <v>-19093880.794000003</v>
      </c>
      <c r="R324" s="69"/>
      <c r="S324" s="497" t="s">
        <v>954</v>
      </c>
    </row>
    <row r="325" spans="1:19" s="66" customFormat="1" outlineLevel="1" x14ac:dyDescent="0.2">
      <c r="A325" s="58"/>
      <c r="B325" s="59"/>
      <c r="C325" s="62">
        <v>41010005</v>
      </c>
      <c r="D325" s="62" t="s">
        <v>262</v>
      </c>
      <c r="E325" s="63">
        <v>-24039632.092</v>
      </c>
      <c r="F325" s="63">
        <f>-486760.93848-687474</f>
        <v>-1174234.93848</v>
      </c>
      <c r="G325" s="63">
        <v>-3242085.2359999996</v>
      </c>
      <c r="H325" s="63">
        <v>-4555613.7699999996</v>
      </c>
      <c r="I325" s="63">
        <v>-6181852.3019999992</v>
      </c>
      <c r="J325" s="63">
        <v>-7553655.9940000009</v>
      </c>
      <c r="K325" s="63">
        <v>-10662989.816</v>
      </c>
      <c r="L325" s="63">
        <v>-12078904.684</v>
      </c>
      <c r="M325" s="63">
        <v>-15427035.458000001</v>
      </c>
      <c r="N325" s="63">
        <v>-17277422.787999999</v>
      </c>
      <c r="O325" s="63">
        <v>-18363304.760000005</v>
      </c>
      <c r="P325" s="63">
        <v>-19521801.030000001</v>
      </c>
      <c r="Q325" s="63">
        <v>-20913636.484000001</v>
      </c>
      <c r="R325" s="69"/>
      <c r="S325" s="497" t="s">
        <v>954</v>
      </c>
    </row>
    <row r="326" spans="1:19" s="66" customFormat="1" outlineLevel="1" x14ac:dyDescent="0.2">
      <c r="A326" s="58"/>
      <c r="B326" s="59"/>
      <c r="C326" s="62">
        <v>41010011</v>
      </c>
      <c r="D326" s="62" t="s">
        <v>144</v>
      </c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2"/>
      <c r="S326" s="68"/>
    </row>
    <row r="327" spans="1:19" s="66" customFormat="1" outlineLevel="1" x14ac:dyDescent="0.2">
      <c r="A327" s="58"/>
      <c r="B327" s="59"/>
      <c r="C327" s="62"/>
      <c r="D327" s="62" t="s">
        <v>2</v>
      </c>
      <c r="E327" s="63" t="s">
        <v>264</v>
      </c>
      <c r="F327" s="63" t="s">
        <v>264</v>
      </c>
      <c r="G327" s="63" t="s">
        <v>264</v>
      </c>
      <c r="H327" s="63" t="s">
        <v>264</v>
      </c>
      <c r="I327" s="63" t="s">
        <v>264</v>
      </c>
      <c r="J327" s="63" t="s">
        <v>264</v>
      </c>
      <c r="K327" s="63" t="s">
        <v>264</v>
      </c>
      <c r="L327" s="63" t="s">
        <v>264</v>
      </c>
      <c r="M327" s="63" t="s">
        <v>264</v>
      </c>
      <c r="N327" s="63" t="s">
        <v>264</v>
      </c>
      <c r="O327" s="63" t="s">
        <v>264</v>
      </c>
      <c r="P327" s="63" t="s">
        <v>264</v>
      </c>
      <c r="Q327" s="63" t="s">
        <v>264</v>
      </c>
      <c r="R327" s="62"/>
      <c r="S327" s="62"/>
    </row>
    <row r="328" spans="1:19" s="66" customFormat="1" x14ac:dyDescent="0.2">
      <c r="A328" s="58"/>
      <c r="B328" s="59"/>
      <c r="C328" s="64" t="s">
        <v>145</v>
      </c>
      <c r="D328" s="64" t="s">
        <v>143</v>
      </c>
      <c r="E328" s="65">
        <f>SUM(E321:E327)</f>
        <v>-176328762.59</v>
      </c>
      <c r="F328" s="65">
        <f>SUM(F321:F327)</f>
        <v>-10782137.869999997</v>
      </c>
      <c r="G328" s="65">
        <f>SUM(G321:G327)</f>
        <v>-23643600.699999996</v>
      </c>
      <c r="H328" s="65">
        <f t="shared" ref="H328:Q328" si="47">SUM(H321:H327)</f>
        <v>-38765829.109999999</v>
      </c>
      <c r="I328" s="65">
        <f t="shared" si="47"/>
        <v>-52767226.07</v>
      </c>
      <c r="J328" s="65">
        <f t="shared" si="47"/>
        <v>-64867144</v>
      </c>
      <c r="K328" s="65">
        <f t="shared" si="47"/>
        <v>-86095070.660000011</v>
      </c>
      <c r="L328" s="65">
        <f t="shared" si="47"/>
        <v>-100835093.37</v>
      </c>
      <c r="M328" s="65">
        <f t="shared" si="47"/>
        <v>-112360329.24000001</v>
      </c>
      <c r="N328" s="65">
        <f t="shared" si="47"/>
        <v>-132675169.88</v>
      </c>
      <c r="O328" s="65">
        <f t="shared" si="47"/>
        <v>-143830521.12</v>
      </c>
      <c r="P328" s="65">
        <f t="shared" si="47"/>
        <v>-157425399</v>
      </c>
      <c r="Q328" s="65">
        <f t="shared" si="47"/>
        <v>-173537868.62</v>
      </c>
      <c r="R328" s="68"/>
      <c r="S328" s="62"/>
    </row>
    <row r="329" spans="1:19" s="66" customFormat="1" outlineLevel="1" x14ac:dyDescent="0.2">
      <c r="A329" s="58"/>
      <c r="B329" s="59"/>
      <c r="C329" s="62"/>
      <c r="D329" s="62" t="s">
        <v>2</v>
      </c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2"/>
      <c r="S329" s="62"/>
    </row>
    <row r="330" spans="1:19" s="66" customFormat="1" outlineLevel="1" x14ac:dyDescent="0.2">
      <c r="A330" s="58"/>
      <c r="B330" s="59"/>
      <c r="C330" s="62"/>
      <c r="D330" s="62" t="s">
        <v>2</v>
      </c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2"/>
      <c r="S330" s="62"/>
    </row>
    <row r="331" spans="1:19" s="66" customFormat="1" x14ac:dyDescent="0.2">
      <c r="A331" s="58"/>
      <c r="B331" s="59"/>
      <c r="C331" s="151" t="s">
        <v>146</v>
      </c>
      <c r="D331" s="151" t="s">
        <v>143</v>
      </c>
      <c r="E331" s="70">
        <f>+E328</f>
        <v>-176328762.59</v>
      </c>
      <c r="F331" s="70">
        <f t="shared" ref="F331:Q331" si="48">+F328</f>
        <v>-10782137.869999997</v>
      </c>
      <c r="G331" s="70">
        <f t="shared" si="48"/>
        <v>-23643600.699999996</v>
      </c>
      <c r="H331" s="70">
        <f t="shared" si="48"/>
        <v>-38765829.109999999</v>
      </c>
      <c r="I331" s="70">
        <f t="shared" si="48"/>
        <v>-52767226.07</v>
      </c>
      <c r="J331" s="70">
        <f t="shared" si="48"/>
        <v>-64867144</v>
      </c>
      <c r="K331" s="70">
        <f t="shared" si="48"/>
        <v>-86095070.660000011</v>
      </c>
      <c r="L331" s="70">
        <f t="shared" si="48"/>
        <v>-100835093.37</v>
      </c>
      <c r="M331" s="70">
        <f t="shared" si="48"/>
        <v>-112360329.24000001</v>
      </c>
      <c r="N331" s="70">
        <f t="shared" si="48"/>
        <v>-132675169.88</v>
      </c>
      <c r="O331" s="70">
        <f t="shared" si="48"/>
        <v>-143830521.12</v>
      </c>
      <c r="P331" s="70">
        <f t="shared" si="48"/>
        <v>-157425399</v>
      </c>
      <c r="Q331" s="70">
        <f t="shared" si="48"/>
        <v>-173537868.62</v>
      </c>
      <c r="R331" s="288"/>
      <c r="S331" s="62"/>
    </row>
    <row r="332" spans="1:19" s="66" customFormat="1" outlineLevel="1" x14ac:dyDescent="0.2">
      <c r="A332" s="58"/>
      <c r="B332" s="59"/>
      <c r="C332" s="62"/>
      <c r="D332" s="62" t="s">
        <v>2</v>
      </c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2"/>
      <c r="S332" s="62"/>
    </row>
    <row r="333" spans="1:19" s="66" customFormat="1" outlineLevel="1" x14ac:dyDescent="0.2">
      <c r="A333" s="58"/>
      <c r="B333" s="59"/>
      <c r="C333" s="62">
        <v>42</v>
      </c>
      <c r="D333" s="62" t="s">
        <v>147</v>
      </c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2"/>
      <c r="S333" s="62"/>
    </row>
    <row r="334" spans="1:19" s="66" customFormat="1" outlineLevel="1" x14ac:dyDescent="0.2">
      <c r="A334" s="58"/>
      <c r="B334" s="59"/>
      <c r="C334" s="62"/>
      <c r="D334" s="62" t="s">
        <v>2</v>
      </c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2"/>
      <c r="S334" s="62"/>
    </row>
    <row r="335" spans="1:19" s="66" customFormat="1" outlineLevel="1" x14ac:dyDescent="0.2">
      <c r="A335" s="58"/>
      <c r="B335" s="59"/>
      <c r="C335" s="62">
        <v>4201</v>
      </c>
      <c r="D335" s="62" t="s">
        <v>147</v>
      </c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2"/>
      <c r="S335" s="62"/>
    </row>
    <row r="336" spans="1:19" s="66" customFormat="1" outlineLevel="1" x14ac:dyDescent="0.2">
      <c r="A336" s="58"/>
      <c r="B336" s="59"/>
      <c r="C336" s="62"/>
      <c r="D336" s="62" t="s">
        <v>2</v>
      </c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2"/>
      <c r="S336" s="62"/>
    </row>
    <row r="337" spans="1:19" s="66" customFormat="1" outlineLevel="1" x14ac:dyDescent="0.2">
      <c r="A337" s="58"/>
      <c r="B337" s="59"/>
      <c r="C337" s="62">
        <v>42010001</v>
      </c>
      <c r="D337" s="62" t="s">
        <v>258</v>
      </c>
      <c r="E337" s="63">
        <v>1117.98</v>
      </c>
      <c r="F337" s="63"/>
      <c r="G337" s="63"/>
      <c r="H337" s="63">
        <v>2179</v>
      </c>
      <c r="I337" s="63"/>
      <c r="J337" s="63"/>
      <c r="K337" s="63"/>
      <c r="L337" s="63"/>
      <c r="M337" s="63"/>
      <c r="N337" s="63"/>
      <c r="O337" s="63"/>
      <c r="P337" s="63">
        <v>10951.25</v>
      </c>
      <c r="Q337" s="63">
        <v>28396.720000000001</v>
      </c>
      <c r="R337" s="69"/>
      <c r="S337" s="498" t="s">
        <v>955</v>
      </c>
    </row>
    <row r="338" spans="1:19" s="66" customFormat="1" outlineLevel="1" x14ac:dyDescent="0.2">
      <c r="A338" s="58"/>
      <c r="B338" s="59"/>
      <c r="C338" s="62">
        <v>42010002</v>
      </c>
      <c r="D338" s="62" t="s">
        <v>259</v>
      </c>
      <c r="E338" s="63">
        <v>5205.08</v>
      </c>
      <c r="F338" s="63"/>
      <c r="G338" s="63"/>
      <c r="H338" s="63"/>
      <c r="I338" s="63">
        <v>12828</v>
      </c>
      <c r="J338" s="63">
        <v>19387</v>
      </c>
      <c r="K338" s="63">
        <v>21653.49</v>
      </c>
      <c r="L338" s="63">
        <v>21653.49</v>
      </c>
      <c r="M338" s="63">
        <v>36865.49</v>
      </c>
      <c r="N338" s="63">
        <v>187145.99</v>
      </c>
      <c r="O338" s="63">
        <v>187145.99</v>
      </c>
      <c r="P338" s="63">
        <v>187145.99</v>
      </c>
      <c r="Q338" s="63">
        <v>187145.99</v>
      </c>
      <c r="R338" s="69"/>
      <c r="S338" s="498" t="s">
        <v>955</v>
      </c>
    </row>
    <row r="339" spans="1:19" s="66" customFormat="1" outlineLevel="1" x14ac:dyDescent="0.2">
      <c r="A339" s="58"/>
      <c r="B339" s="59"/>
      <c r="C339" s="62">
        <v>42010003</v>
      </c>
      <c r="D339" s="62" t="s">
        <v>260</v>
      </c>
      <c r="E339" s="63">
        <v>9754.2199999999993</v>
      </c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>
        <v>73879.160000000033</v>
      </c>
      <c r="Q339" s="63">
        <v>96918.670000000042</v>
      </c>
      <c r="R339" s="69"/>
      <c r="S339" s="498" t="s">
        <v>955</v>
      </c>
    </row>
    <row r="340" spans="1:19" s="66" customFormat="1" outlineLevel="1" x14ac:dyDescent="0.2">
      <c r="A340" s="58"/>
      <c r="B340" s="59"/>
      <c r="C340" s="62">
        <v>42010004</v>
      </c>
      <c r="D340" s="62" t="s">
        <v>261</v>
      </c>
      <c r="E340" s="63">
        <v>188310.12</v>
      </c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2"/>
      <c r="S340" s="62"/>
    </row>
    <row r="341" spans="1:19" outlineLevel="1" x14ac:dyDescent="0.2">
      <c r="C341" s="62">
        <v>42010005</v>
      </c>
      <c r="D341" s="62" t="s">
        <v>262</v>
      </c>
    </row>
    <row r="342" spans="1:19" outlineLevel="1" x14ac:dyDescent="0.2">
      <c r="C342" s="62">
        <v>42010011</v>
      </c>
      <c r="D342" s="62" t="s">
        <v>148</v>
      </c>
    </row>
    <row r="343" spans="1:19" outlineLevel="1" x14ac:dyDescent="0.2">
      <c r="D343" s="62" t="s">
        <v>2</v>
      </c>
      <c r="E343" s="63" t="s">
        <v>264</v>
      </c>
      <c r="F343" s="63" t="s">
        <v>264</v>
      </c>
      <c r="G343" s="63" t="s">
        <v>264</v>
      </c>
      <c r="H343" s="63" t="s">
        <v>264</v>
      </c>
      <c r="I343" s="63" t="s">
        <v>264</v>
      </c>
      <c r="J343" s="63" t="s">
        <v>264</v>
      </c>
      <c r="K343" s="63" t="s">
        <v>264</v>
      </c>
      <c r="L343" s="63" t="s">
        <v>264</v>
      </c>
      <c r="M343" s="63" t="s">
        <v>264</v>
      </c>
      <c r="N343" s="63" t="s">
        <v>264</v>
      </c>
      <c r="O343" s="63" t="s">
        <v>264</v>
      </c>
      <c r="P343" s="63" t="s">
        <v>264</v>
      </c>
      <c r="Q343" s="63" t="s">
        <v>264</v>
      </c>
    </row>
    <row r="344" spans="1:19" x14ac:dyDescent="0.2">
      <c r="C344" s="64" t="s">
        <v>149</v>
      </c>
      <c r="D344" s="64" t="s">
        <v>147</v>
      </c>
      <c r="E344" s="65">
        <f>SUM(E337:E343)</f>
        <v>204387.4</v>
      </c>
      <c r="F344" s="65">
        <f t="shared" ref="F344:P344" si="49">SUM(F337:F343)</f>
        <v>0</v>
      </c>
      <c r="G344" s="65">
        <f t="shared" si="49"/>
        <v>0</v>
      </c>
      <c r="H344" s="65">
        <f t="shared" si="49"/>
        <v>2179</v>
      </c>
      <c r="I344" s="65">
        <f t="shared" si="49"/>
        <v>12828</v>
      </c>
      <c r="J344" s="65">
        <f t="shared" si="49"/>
        <v>19387</v>
      </c>
      <c r="K344" s="65">
        <f t="shared" si="49"/>
        <v>21653.49</v>
      </c>
      <c r="L344" s="65">
        <f t="shared" si="49"/>
        <v>21653.49</v>
      </c>
      <c r="M344" s="65">
        <f t="shared" si="49"/>
        <v>36865.49</v>
      </c>
      <c r="N344" s="65">
        <f t="shared" si="49"/>
        <v>187145.99</v>
      </c>
      <c r="O344" s="65">
        <f t="shared" si="49"/>
        <v>187145.99</v>
      </c>
      <c r="P344" s="65">
        <f t="shared" si="49"/>
        <v>271976.40000000002</v>
      </c>
      <c r="Q344" s="65">
        <f>SUM(Q337:Q343)</f>
        <v>312461.38</v>
      </c>
      <c r="R344" s="68"/>
    </row>
    <row r="345" spans="1:19" outlineLevel="1" x14ac:dyDescent="0.2">
      <c r="D345" s="62" t="s">
        <v>2</v>
      </c>
      <c r="E345" s="63" t="s">
        <v>264</v>
      </c>
      <c r="F345" s="63" t="s">
        <v>264</v>
      </c>
      <c r="G345" s="63" t="s">
        <v>264</v>
      </c>
      <c r="H345" s="63" t="s">
        <v>264</v>
      </c>
      <c r="I345" s="63" t="s">
        <v>264</v>
      </c>
      <c r="J345" s="63" t="s">
        <v>264</v>
      </c>
      <c r="K345" s="63" t="s">
        <v>264</v>
      </c>
      <c r="L345" s="63" t="s">
        <v>264</v>
      </c>
      <c r="M345" s="63" t="s">
        <v>264</v>
      </c>
      <c r="N345" s="63" t="s">
        <v>264</v>
      </c>
      <c r="O345" s="63" t="s">
        <v>264</v>
      </c>
      <c r="P345" s="63" t="s">
        <v>264</v>
      </c>
      <c r="Q345" s="63" t="s">
        <v>264</v>
      </c>
      <c r="R345" s="68"/>
    </row>
    <row r="346" spans="1:19" x14ac:dyDescent="0.2">
      <c r="C346" s="151" t="s">
        <v>150</v>
      </c>
      <c r="D346" s="151" t="s">
        <v>147</v>
      </c>
      <c r="E346" s="70">
        <f t="shared" ref="E346:P346" si="50">+E344</f>
        <v>204387.4</v>
      </c>
      <c r="F346" s="70">
        <f t="shared" si="50"/>
        <v>0</v>
      </c>
      <c r="G346" s="70">
        <f t="shared" si="50"/>
        <v>0</v>
      </c>
      <c r="H346" s="70">
        <f t="shared" si="50"/>
        <v>2179</v>
      </c>
      <c r="I346" s="70">
        <f t="shared" si="50"/>
        <v>12828</v>
      </c>
      <c r="J346" s="70">
        <f t="shared" si="50"/>
        <v>19387</v>
      </c>
      <c r="K346" s="70">
        <f t="shared" si="50"/>
        <v>21653.49</v>
      </c>
      <c r="L346" s="70">
        <f t="shared" si="50"/>
        <v>21653.49</v>
      </c>
      <c r="M346" s="70">
        <f t="shared" si="50"/>
        <v>36865.49</v>
      </c>
      <c r="N346" s="70">
        <f t="shared" si="50"/>
        <v>187145.99</v>
      </c>
      <c r="O346" s="70">
        <f t="shared" si="50"/>
        <v>187145.99</v>
      </c>
      <c r="P346" s="70">
        <f t="shared" si="50"/>
        <v>271976.40000000002</v>
      </c>
      <c r="Q346" s="70">
        <f>+Q344</f>
        <v>312461.38</v>
      </c>
    </row>
    <row r="347" spans="1:19" x14ac:dyDescent="0.2">
      <c r="D347" s="62" t="s">
        <v>2</v>
      </c>
      <c r="E347" s="63" t="s">
        <v>264</v>
      </c>
      <c r="F347" s="63" t="s">
        <v>264</v>
      </c>
      <c r="G347" s="63" t="s">
        <v>264</v>
      </c>
      <c r="H347" s="63" t="s">
        <v>264</v>
      </c>
      <c r="I347" s="63" t="s">
        <v>264</v>
      </c>
      <c r="J347" s="63" t="s">
        <v>264</v>
      </c>
      <c r="K347" s="63" t="s">
        <v>264</v>
      </c>
      <c r="L347" s="63" t="s">
        <v>264</v>
      </c>
      <c r="M347" s="63" t="s">
        <v>264</v>
      </c>
      <c r="N347" s="63" t="s">
        <v>264</v>
      </c>
      <c r="O347" s="63" t="s">
        <v>264</v>
      </c>
      <c r="P347" s="63" t="s">
        <v>264</v>
      </c>
      <c r="Q347" s="63" t="s">
        <v>264</v>
      </c>
    </row>
    <row r="348" spans="1:19" s="59" customFormat="1" x14ac:dyDescent="0.2">
      <c r="A348" s="58"/>
      <c r="C348" s="651" t="s">
        <v>371</v>
      </c>
      <c r="D348" s="651"/>
      <c r="E348" s="72">
        <f>+E346+E331</f>
        <v>-176124375.19</v>
      </c>
      <c r="F348" s="72">
        <f t="shared" ref="F348:Q348" si="51">+F346+F331</f>
        <v>-10782137.869999997</v>
      </c>
      <c r="G348" s="72">
        <f t="shared" si="51"/>
        <v>-23643600.699999996</v>
      </c>
      <c r="H348" s="72">
        <f t="shared" si="51"/>
        <v>-38763650.109999999</v>
      </c>
      <c r="I348" s="72">
        <f t="shared" si="51"/>
        <v>-52754398.07</v>
      </c>
      <c r="J348" s="72">
        <f t="shared" si="51"/>
        <v>-64847757</v>
      </c>
      <c r="K348" s="72">
        <f t="shared" si="51"/>
        <v>-86073417.170000017</v>
      </c>
      <c r="L348" s="72">
        <f t="shared" si="51"/>
        <v>-100813439.88000001</v>
      </c>
      <c r="M348" s="72">
        <f t="shared" si="51"/>
        <v>-112323463.75000001</v>
      </c>
      <c r="N348" s="72">
        <f t="shared" si="51"/>
        <v>-132488023.89</v>
      </c>
      <c r="O348" s="72">
        <f t="shared" si="51"/>
        <v>-143643375.13</v>
      </c>
      <c r="P348" s="72">
        <f t="shared" si="51"/>
        <v>-157153422.59999999</v>
      </c>
      <c r="Q348" s="72">
        <f t="shared" si="51"/>
        <v>-173225407.24000001</v>
      </c>
      <c r="R348" s="288"/>
      <c r="S348" s="60"/>
    </row>
    <row r="349" spans="1:19" x14ac:dyDescent="0.2">
      <c r="D349" s="62" t="s">
        <v>2</v>
      </c>
      <c r="R349" s="288"/>
    </row>
    <row r="350" spans="1:19" s="59" customFormat="1" x14ac:dyDescent="0.2">
      <c r="A350" s="58"/>
      <c r="C350" s="151" t="s">
        <v>151</v>
      </c>
      <c r="D350" s="59" t="s">
        <v>2</v>
      </c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S350" s="60"/>
    </row>
    <row r="351" spans="1:19" s="66" customFormat="1" outlineLevel="1" x14ac:dyDescent="0.2">
      <c r="A351" s="58"/>
      <c r="B351" s="59"/>
      <c r="C351" s="62"/>
      <c r="D351" s="62" t="s">
        <v>2</v>
      </c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2"/>
      <c r="S351" s="62"/>
    </row>
    <row r="352" spans="1:19" s="66" customFormat="1" outlineLevel="1" x14ac:dyDescent="0.2">
      <c r="A352" s="58"/>
      <c r="B352" s="59"/>
      <c r="C352" s="62">
        <v>51</v>
      </c>
      <c r="D352" s="62" t="s">
        <v>152</v>
      </c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2"/>
      <c r="S352" s="62"/>
    </row>
    <row r="353" spans="1:19" s="66" customFormat="1" outlineLevel="1" x14ac:dyDescent="0.2">
      <c r="A353" s="58"/>
      <c r="B353" s="59"/>
      <c r="C353" s="62">
        <v>5101</v>
      </c>
      <c r="D353" s="62" t="s">
        <v>152</v>
      </c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2"/>
      <c r="S353" s="62"/>
    </row>
    <row r="354" spans="1:19" s="66" customFormat="1" outlineLevel="1" x14ac:dyDescent="0.2">
      <c r="A354" s="58"/>
      <c r="B354" s="59"/>
      <c r="C354" s="62">
        <v>51010001</v>
      </c>
      <c r="D354" s="62" t="s">
        <v>258</v>
      </c>
      <c r="E354" s="63">
        <v>25753672.921999998</v>
      </c>
      <c r="F354" s="63">
        <v>1829569.93</v>
      </c>
      <c r="G354" s="63">
        <v>4270890.7760000005</v>
      </c>
      <c r="H354" s="63">
        <v>6673682.3760000002</v>
      </c>
      <c r="I354" s="63">
        <v>9058718.2980000004</v>
      </c>
      <c r="J354" s="63">
        <v>11091759.471999999</v>
      </c>
      <c r="K354" s="63">
        <v>14134851.128</v>
      </c>
      <c r="L354" s="63">
        <v>16466475.653999999</v>
      </c>
      <c r="M354" s="63">
        <v>18320174.954</v>
      </c>
      <c r="N354" s="63">
        <v>21207756.939999998</v>
      </c>
      <c r="O354" s="63">
        <v>23200314.794000003</v>
      </c>
      <c r="P354" s="63">
        <v>25637054.880000003</v>
      </c>
      <c r="Q354" s="63">
        <v>28276473.774000004</v>
      </c>
      <c r="R354" s="75"/>
      <c r="S354" s="509" t="s">
        <v>956</v>
      </c>
    </row>
    <row r="355" spans="1:19" s="66" customFormat="1" outlineLevel="1" x14ac:dyDescent="0.2">
      <c r="A355" s="58"/>
      <c r="B355" s="59"/>
      <c r="C355" s="62">
        <v>51010002</v>
      </c>
      <c r="D355" s="62" t="s">
        <v>259</v>
      </c>
      <c r="E355" s="63">
        <v>27891363.542000003</v>
      </c>
      <c r="F355" s="63">
        <v>1183678.6299999999</v>
      </c>
      <c r="G355" s="63">
        <v>2521042.906</v>
      </c>
      <c r="H355" s="63">
        <v>5852889.6559999995</v>
      </c>
      <c r="I355" s="63">
        <v>7888721.1880000001</v>
      </c>
      <c r="J355" s="63">
        <v>9050173.561999999</v>
      </c>
      <c r="K355" s="63">
        <v>13092105.878</v>
      </c>
      <c r="L355" s="63">
        <v>14782125.903999999</v>
      </c>
      <c r="M355" s="63">
        <v>15427500.424000001</v>
      </c>
      <c r="N355" s="63">
        <v>20732197.339999996</v>
      </c>
      <c r="O355" s="63">
        <v>22629701.344000004</v>
      </c>
      <c r="P355" s="63">
        <v>24669190.100000001</v>
      </c>
      <c r="Q355" s="63">
        <v>27676234.724000003</v>
      </c>
      <c r="R355" s="75"/>
      <c r="S355" s="509" t="s">
        <v>956</v>
      </c>
    </row>
    <row r="356" spans="1:19" s="66" customFormat="1" outlineLevel="1" x14ac:dyDescent="0.2">
      <c r="A356" s="58"/>
      <c r="B356" s="59"/>
      <c r="C356" s="62">
        <v>51010003</v>
      </c>
      <c r="D356" s="62" t="s">
        <v>260</v>
      </c>
      <c r="E356" s="63">
        <v>19109702.881999999</v>
      </c>
      <c r="F356" s="63">
        <v>1228829.22</v>
      </c>
      <c r="G356" s="63">
        <v>2534587.3659999999</v>
      </c>
      <c r="H356" s="63">
        <v>3637493.0959999999</v>
      </c>
      <c r="I356" s="63">
        <v>5605725.5779999997</v>
      </c>
      <c r="J356" s="63">
        <v>7066091.2719999999</v>
      </c>
      <c r="K356" s="63">
        <v>8656219.9279999994</v>
      </c>
      <c r="L356" s="63">
        <v>10568220.264</v>
      </c>
      <c r="M356" s="63">
        <v>11739617.493999999</v>
      </c>
      <c r="N356" s="63">
        <v>13424214.579999998</v>
      </c>
      <c r="O356" s="63">
        <v>14389933.334000003</v>
      </c>
      <c r="P356" s="63">
        <v>15954497.170000002</v>
      </c>
      <c r="Q356" s="63">
        <v>16996811.954000004</v>
      </c>
      <c r="R356" s="75"/>
      <c r="S356" s="509" t="s">
        <v>956</v>
      </c>
    </row>
    <row r="357" spans="1:19" s="66" customFormat="1" outlineLevel="1" x14ac:dyDescent="0.2">
      <c r="A357" s="58"/>
      <c r="B357" s="59"/>
      <c r="C357" s="62">
        <v>51010004</v>
      </c>
      <c r="D357" s="62" t="s">
        <v>261</v>
      </c>
      <c r="E357" s="63">
        <v>13052120.052000001</v>
      </c>
      <c r="F357" s="63">
        <v>737187.71</v>
      </c>
      <c r="G357" s="63">
        <v>1900889.9959999998</v>
      </c>
      <c r="H357" s="63">
        <v>2635799.2459999998</v>
      </c>
      <c r="I357" s="63">
        <v>3575175.4880000004</v>
      </c>
      <c r="J357" s="63">
        <v>4582014.5320000006</v>
      </c>
      <c r="K357" s="63">
        <v>5662816.8279999997</v>
      </c>
      <c r="L357" s="63">
        <v>6657497.4340000004</v>
      </c>
      <c r="M357" s="63">
        <v>7217085.9740000004</v>
      </c>
      <c r="N357" s="63">
        <v>8154835.4699999988</v>
      </c>
      <c r="O357" s="63">
        <v>8791634.6840000022</v>
      </c>
      <c r="P357" s="63">
        <v>9781842.3100000024</v>
      </c>
      <c r="Q357" s="63">
        <v>10888959.664000001</v>
      </c>
      <c r="R357" s="75"/>
      <c r="S357" s="509" t="s">
        <v>956</v>
      </c>
    </row>
    <row r="358" spans="1:19" s="66" customFormat="1" outlineLevel="1" x14ac:dyDescent="0.2">
      <c r="A358" s="58"/>
      <c r="B358" s="59"/>
      <c r="C358" s="62">
        <v>51010005</v>
      </c>
      <c r="D358" s="62" t="s">
        <v>262</v>
      </c>
      <c r="E358" s="63">
        <v>13084239.822000001</v>
      </c>
      <c r="F358" s="63">
        <v>712835.34</v>
      </c>
      <c r="G358" s="63">
        <v>1830406.4759999998</v>
      </c>
      <c r="H358" s="63">
        <v>2610467.3059999999</v>
      </c>
      <c r="I358" s="63">
        <v>3677473.1480000005</v>
      </c>
      <c r="J358" s="63">
        <v>4427581.0120000001</v>
      </c>
      <c r="K358" s="63">
        <v>5995655.5779999997</v>
      </c>
      <c r="L358" s="63">
        <v>6870082.284</v>
      </c>
      <c r="M358" s="63">
        <v>9127047.8839999996</v>
      </c>
      <c r="N358" s="63">
        <v>10154761.719999999</v>
      </c>
      <c r="O358" s="63">
        <v>10713002.384000003</v>
      </c>
      <c r="P358" s="63">
        <v>11345728.050000003</v>
      </c>
      <c r="Q358" s="63">
        <v>12389042.084000003</v>
      </c>
      <c r="R358" s="75"/>
      <c r="S358" s="509" t="s">
        <v>956</v>
      </c>
    </row>
    <row r="359" spans="1:19" s="66" customFormat="1" outlineLevel="1" x14ac:dyDescent="0.2">
      <c r="A359" s="58"/>
      <c r="B359" s="59"/>
      <c r="C359" s="62">
        <v>51010011</v>
      </c>
      <c r="D359" s="62" t="s">
        <v>153</v>
      </c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2"/>
      <c r="S359" s="62"/>
    </row>
    <row r="360" spans="1:19" s="66" customFormat="1" outlineLevel="1" x14ac:dyDescent="0.2">
      <c r="A360" s="58"/>
      <c r="B360" s="59"/>
      <c r="C360" s="62"/>
      <c r="D360" s="62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8"/>
      <c r="S360" s="62"/>
    </row>
    <row r="361" spans="1:19" outlineLevel="1" x14ac:dyDescent="0.2">
      <c r="C361" s="62">
        <v>52</v>
      </c>
      <c r="D361" s="62" t="s">
        <v>157</v>
      </c>
    </row>
    <row r="362" spans="1:19" outlineLevel="1" x14ac:dyDescent="0.2">
      <c r="C362" s="62">
        <v>5201</v>
      </c>
      <c r="D362" s="62" t="s">
        <v>157</v>
      </c>
    </row>
    <row r="363" spans="1:19" outlineLevel="1" x14ac:dyDescent="0.2">
      <c r="C363" s="62">
        <v>52010112</v>
      </c>
      <c r="D363" s="62" t="s">
        <v>322</v>
      </c>
      <c r="E363" s="63">
        <v>1409635.25</v>
      </c>
      <c r="F363" s="63">
        <v>136848.28</v>
      </c>
      <c r="G363" s="63">
        <v>305132.23</v>
      </c>
      <c r="H363" s="63">
        <v>456335</v>
      </c>
      <c r="I363" s="63">
        <v>595342.46</v>
      </c>
      <c r="J363" s="63">
        <v>770773.25</v>
      </c>
      <c r="K363" s="63">
        <v>870534.05</v>
      </c>
      <c r="L363" s="63">
        <v>971848.85</v>
      </c>
      <c r="M363" s="63">
        <v>1073163.6499999999</v>
      </c>
      <c r="N363" s="63">
        <v>1175243.75</v>
      </c>
      <c r="O363" s="63">
        <v>1277068.75</v>
      </c>
      <c r="P363" s="63">
        <v>1380664.65</v>
      </c>
      <c r="Q363" s="63">
        <v>1473810.59</v>
      </c>
      <c r="R363" s="68"/>
      <c r="S363" s="509" t="s">
        <v>956</v>
      </c>
    </row>
    <row r="364" spans="1:19" outlineLevel="1" x14ac:dyDescent="0.2">
      <c r="C364" s="62">
        <v>52010135</v>
      </c>
      <c r="D364" s="62" t="s">
        <v>360</v>
      </c>
      <c r="E364" s="63">
        <v>4847564.5999999996</v>
      </c>
      <c r="F364" s="63">
        <v>379604.9</v>
      </c>
      <c r="G364" s="63">
        <v>799246.67</v>
      </c>
      <c r="H364" s="63">
        <v>1193437.68</v>
      </c>
      <c r="I364" s="63">
        <v>1602782.25</v>
      </c>
      <c r="J364" s="63">
        <v>2009179.14</v>
      </c>
      <c r="K364" s="63">
        <v>2472330.12</v>
      </c>
      <c r="L364" s="63">
        <v>2848234.47</v>
      </c>
      <c r="M364" s="63">
        <v>3226364.19</v>
      </c>
      <c r="N364" s="63">
        <v>3698205.92</v>
      </c>
      <c r="O364" s="63">
        <v>4065542.82</v>
      </c>
      <c r="P364" s="63">
        <v>4433441.0199999996</v>
      </c>
      <c r="Q364" s="63">
        <v>4825750.9800000004</v>
      </c>
      <c r="R364" s="68"/>
      <c r="S364" s="509" t="s">
        <v>956</v>
      </c>
    </row>
    <row r="365" spans="1:19" outlineLevel="1" x14ac:dyDescent="0.2">
      <c r="C365" s="62">
        <v>52010140</v>
      </c>
      <c r="D365" s="62" t="s">
        <v>323</v>
      </c>
      <c r="E365" s="63">
        <v>912714.53</v>
      </c>
      <c r="F365" s="63">
        <v>27978.83</v>
      </c>
      <c r="G365" s="63">
        <v>85973.29</v>
      </c>
      <c r="H365" s="63">
        <v>107598.32</v>
      </c>
      <c r="I365" s="63">
        <v>118514.26</v>
      </c>
      <c r="J365" s="63">
        <v>128231.81</v>
      </c>
      <c r="K365" s="63">
        <v>156822.93</v>
      </c>
      <c r="L365" s="63">
        <v>216474.35</v>
      </c>
      <c r="M365" s="63">
        <v>244574.04</v>
      </c>
      <c r="N365" s="63">
        <v>293066.45</v>
      </c>
      <c r="O365" s="63">
        <v>299749.28000000003</v>
      </c>
      <c r="P365" s="63">
        <v>308666.73</v>
      </c>
      <c r="Q365" s="63">
        <v>369998.05</v>
      </c>
      <c r="R365" s="69"/>
      <c r="S365" s="509" t="s">
        <v>956</v>
      </c>
    </row>
    <row r="366" spans="1:19" outlineLevel="1" x14ac:dyDescent="0.2">
      <c r="C366" s="62">
        <v>52010212</v>
      </c>
      <c r="D366" s="62" t="s">
        <v>324</v>
      </c>
      <c r="E366" s="63">
        <v>139290.31</v>
      </c>
      <c r="F366" s="63">
        <v>6353.25</v>
      </c>
      <c r="G366" s="63">
        <v>11877.04</v>
      </c>
      <c r="H366" s="63">
        <v>16571.37</v>
      </c>
      <c r="I366" s="63">
        <v>22095.16</v>
      </c>
      <c r="J366" s="63">
        <v>114881.15</v>
      </c>
      <c r="K366" s="63">
        <v>120404.94</v>
      </c>
      <c r="L366" s="63">
        <v>146325.53</v>
      </c>
      <c r="M366" s="63">
        <v>152819.62</v>
      </c>
      <c r="N366" s="63">
        <v>191425.71</v>
      </c>
      <c r="O366" s="63">
        <v>221561.9</v>
      </c>
      <c r="P366" s="63">
        <v>228055.99</v>
      </c>
      <c r="Q366" s="63">
        <v>234550.08</v>
      </c>
      <c r="R366" s="69"/>
      <c r="S366" s="509" t="s">
        <v>956</v>
      </c>
    </row>
    <row r="367" spans="1:19" outlineLevel="1" x14ac:dyDescent="0.2">
      <c r="C367" s="62">
        <v>52010213</v>
      </c>
      <c r="D367" s="62" t="s">
        <v>325</v>
      </c>
      <c r="E367" s="63">
        <v>827443.53</v>
      </c>
      <c r="F367" s="63">
        <v>67070</v>
      </c>
      <c r="G367" s="63">
        <v>123756</v>
      </c>
      <c r="H367" s="63">
        <v>181485</v>
      </c>
      <c r="I367" s="63">
        <v>256871</v>
      </c>
      <c r="J367" s="63">
        <v>325415.73</v>
      </c>
      <c r="K367" s="63">
        <v>394841.73</v>
      </c>
      <c r="L367" s="63">
        <v>455203.73</v>
      </c>
      <c r="M367" s="63">
        <v>541129.48</v>
      </c>
      <c r="N367" s="63">
        <v>594993.81000000006</v>
      </c>
      <c r="O367" s="63">
        <v>672392.58</v>
      </c>
      <c r="P367" s="63">
        <v>739773.8</v>
      </c>
      <c r="Q367" s="63">
        <v>816799.2</v>
      </c>
      <c r="R367" s="69"/>
      <c r="S367" s="509" t="s">
        <v>956</v>
      </c>
    </row>
    <row r="368" spans="1:19" outlineLevel="1" x14ac:dyDescent="0.2">
      <c r="C368" s="62">
        <v>52010214</v>
      </c>
      <c r="D368" s="62" t="s">
        <v>326</v>
      </c>
      <c r="E368" s="63">
        <v>459784.66</v>
      </c>
      <c r="F368" s="63">
        <v>36599.980000000003</v>
      </c>
      <c r="G368" s="63">
        <v>69770.720000000001</v>
      </c>
      <c r="H368" s="63">
        <v>106754.31</v>
      </c>
      <c r="I368" s="63">
        <v>143554.32</v>
      </c>
      <c r="J368" s="63">
        <v>187740.83</v>
      </c>
      <c r="K368" s="63">
        <v>222544.8</v>
      </c>
      <c r="L368" s="63">
        <v>261029.24</v>
      </c>
      <c r="M368" s="63">
        <v>306218.46999999997</v>
      </c>
      <c r="N368" s="63">
        <v>345256.4</v>
      </c>
      <c r="O368" s="63">
        <v>384322.93</v>
      </c>
      <c r="P368" s="63">
        <v>424077.52</v>
      </c>
      <c r="Q368" s="63">
        <v>463966.44</v>
      </c>
      <c r="R368" s="69"/>
      <c r="S368" s="509" t="s">
        <v>956</v>
      </c>
    </row>
    <row r="369" spans="1:19" outlineLevel="1" x14ac:dyDescent="0.2">
      <c r="C369" s="62">
        <v>52010215</v>
      </c>
      <c r="D369" s="62" t="s">
        <v>327</v>
      </c>
      <c r="E369" s="63">
        <v>395374.22</v>
      </c>
      <c r="F369" s="63">
        <v>31402.59</v>
      </c>
      <c r="G369" s="63">
        <v>66129.62</v>
      </c>
      <c r="H369" s="63">
        <v>100887.98</v>
      </c>
      <c r="I369" s="63">
        <v>136690.63</v>
      </c>
      <c r="J369" s="63">
        <v>179163.24</v>
      </c>
      <c r="K369" s="63">
        <v>219763.29</v>
      </c>
      <c r="L369" s="63">
        <v>215794</v>
      </c>
      <c r="M369" s="63">
        <v>283071.17</v>
      </c>
      <c r="N369" s="63">
        <v>316876.93</v>
      </c>
      <c r="O369" s="63">
        <v>351434.62</v>
      </c>
      <c r="P369" s="63">
        <v>417999.14</v>
      </c>
      <c r="Q369" s="63">
        <v>406675.97</v>
      </c>
      <c r="R369" s="69"/>
      <c r="S369" s="509" t="s">
        <v>956</v>
      </c>
    </row>
    <row r="370" spans="1:19" outlineLevel="1" x14ac:dyDescent="0.2">
      <c r="C370" s="62">
        <v>52010216</v>
      </c>
      <c r="D370" s="62" t="s">
        <v>328</v>
      </c>
      <c r="E370" s="63">
        <v>609840.84</v>
      </c>
      <c r="F370" s="63">
        <v>58300.32</v>
      </c>
      <c r="G370" s="63">
        <v>118880.05</v>
      </c>
      <c r="H370" s="63">
        <v>179943.1</v>
      </c>
      <c r="I370" s="63">
        <v>241027.14</v>
      </c>
      <c r="J370" s="63">
        <v>297832.92</v>
      </c>
      <c r="K370" s="63">
        <v>355060.76</v>
      </c>
      <c r="L370" s="63">
        <v>419762.99</v>
      </c>
      <c r="M370" s="63">
        <v>484495.25</v>
      </c>
      <c r="N370" s="63">
        <v>549716.96</v>
      </c>
      <c r="O370" s="63">
        <v>613582.67000000004</v>
      </c>
      <c r="P370" s="63">
        <v>676146.38</v>
      </c>
      <c r="Q370" s="63">
        <v>738816.09</v>
      </c>
      <c r="R370" s="69"/>
      <c r="S370" s="509" t="s">
        <v>956</v>
      </c>
    </row>
    <row r="371" spans="1:19" outlineLevel="1" x14ac:dyDescent="0.2">
      <c r="C371" s="62">
        <v>52010218</v>
      </c>
      <c r="D371" s="62" t="s">
        <v>329</v>
      </c>
      <c r="E371" s="63">
        <v>56491.94</v>
      </c>
      <c r="F371" s="63">
        <v>3836.93</v>
      </c>
      <c r="G371" s="63">
        <v>8280.92</v>
      </c>
      <c r="H371" s="63">
        <v>13331.98</v>
      </c>
      <c r="I371" s="63">
        <v>17775.97</v>
      </c>
      <c r="J371" s="63">
        <v>50719.360000000001</v>
      </c>
      <c r="K371" s="63">
        <v>55163.35</v>
      </c>
      <c r="L371" s="63">
        <v>93339.95</v>
      </c>
      <c r="M371" s="63">
        <v>98564.56</v>
      </c>
      <c r="N371" s="63">
        <v>144494.03</v>
      </c>
      <c r="O371" s="63">
        <v>170445.81</v>
      </c>
      <c r="P371" s="63">
        <v>175670.42</v>
      </c>
      <c r="Q371" s="63">
        <v>180895.03</v>
      </c>
      <c r="R371" s="69"/>
      <c r="S371" s="509" t="s">
        <v>956</v>
      </c>
    </row>
    <row r="372" spans="1:19" outlineLevel="1" x14ac:dyDescent="0.2">
      <c r="C372" s="62">
        <v>52010219</v>
      </c>
      <c r="D372" s="62" t="s">
        <v>330</v>
      </c>
      <c r="E372" s="63">
        <v>386346.74</v>
      </c>
      <c r="F372" s="63">
        <v>32330.97</v>
      </c>
      <c r="G372" s="63">
        <v>78628.42</v>
      </c>
      <c r="H372" s="63">
        <v>151393.85999999999</v>
      </c>
      <c r="I372" s="63">
        <v>197559.77</v>
      </c>
      <c r="J372" s="63">
        <v>243725.68</v>
      </c>
      <c r="K372" s="63">
        <v>286628.01</v>
      </c>
      <c r="L372" s="63">
        <v>337066.42</v>
      </c>
      <c r="M372" s="63">
        <v>387504.83</v>
      </c>
      <c r="N372" s="63">
        <v>437943.24</v>
      </c>
      <c r="O372" s="63">
        <v>488381.65</v>
      </c>
      <c r="P372" s="63">
        <v>538820.06000000006</v>
      </c>
      <c r="Q372" s="63">
        <v>589258.47</v>
      </c>
      <c r="R372" s="69"/>
      <c r="S372" s="509" t="s">
        <v>956</v>
      </c>
    </row>
    <row r="373" spans="1:19" outlineLevel="1" x14ac:dyDescent="0.2">
      <c r="C373" s="62">
        <v>52010231</v>
      </c>
      <c r="D373" s="62" t="s">
        <v>331</v>
      </c>
      <c r="E373" s="63">
        <v>5467.46</v>
      </c>
      <c r="R373" s="69"/>
    </row>
    <row r="374" spans="1:19" outlineLevel="1" x14ac:dyDescent="0.2">
      <c r="C374" s="62">
        <v>52010234</v>
      </c>
      <c r="D374" s="62" t="s">
        <v>332</v>
      </c>
      <c r="E374" s="63">
        <v>1319367.29</v>
      </c>
      <c r="R374" s="69"/>
    </row>
    <row r="375" spans="1:19" outlineLevel="1" x14ac:dyDescent="0.2">
      <c r="C375" s="62">
        <v>52010300</v>
      </c>
      <c r="D375" s="62" t="s">
        <v>333</v>
      </c>
      <c r="E375" s="63">
        <v>70821.39</v>
      </c>
      <c r="G375" s="63">
        <v>293.10000000000002</v>
      </c>
      <c r="H375" s="63">
        <v>2633.42</v>
      </c>
      <c r="I375" s="63">
        <v>4557.01</v>
      </c>
      <c r="J375" s="63">
        <v>4557.01</v>
      </c>
      <c r="K375" s="63">
        <v>190462.84</v>
      </c>
      <c r="L375" s="63">
        <v>335696.86</v>
      </c>
      <c r="M375" s="63">
        <v>348903.58</v>
      </c>
      <c r="N375" s="63">
        <v>570623.44999999995</v>
      </c>
      <c r="O375" s="63">
        <v>574344.36</v>
      </c>
      <c r="P375" s="63">
        <v>601565.82999999996</v>
      </c>
      <c r="Q375" s="63">
        <v>694428.75</v>
      </c>
      <c r="R375" s="69"/>
      <c r="S375" s="509" t="s">
        <v>956</v>
      </c>
    </row>
    <row r="376" spans="1:19" outlineLevel="1" x14ac:dyDescent="0.2">
      <c r="C376" s="62">
        <v>52010302</v>
      </c>
      <c r="D376" s="62" t="s">
        <v>334</v>
      </c>
      <c r="E376" s="63">
        <v>41841.4</v>
      </c>
      <c r="F376" s="63">
        <v>655.32000000000005</v>
      </c>
      <c r="G376" s="63">
        <v>1310.6400000000001</v>
      </c>
      <c r="H376" s="63">
        <v>2115.96</v>
      </c>
      <c r="I376" s="63">
        <v>2871.28</v>
      </c>
      <c r="J376" s="63">
        <v>3526.6</v>
      </c>
      <c r="K376" s="63">
        <v>4181.92</v>
      </c>
      <c r="L376" s="63">
        <v>4837.24</v>
      </c>
      <c r="M376" s="63">
        <v>5642.56</v>
      </c>
      <c r="N376" s="63">
        <v>6297.88</v>
      </c>
      <c r="O376" s="63">
        <v>7428.2</v>
      </c>
      <c r="P376" s="63">
        <v>8458.52</v>
      </c>
      <c r="Q376" s="63">
        <v>10169.84</v>
      </c>
      <c r="R376" s="69"/>
      <c r="S376" s="509" t="s">
        <v>956</v>
      </c>
    </row>
    <row r="377" spans="1:19" outlineLevel="1" x14ac:dyDescent="0.2">
      <c r="C377" s="62">
        <v>52010303</v>
      </c>
      <c r="D377" s="62" t="s">
        <v>335</v>
      </c>
      <c r="E377" s="63">
        <v>578.46</v>
      </c>
      <c r="P377" s="63">
        <v>381.24</v>
      </c>
      <c r="Q377" s="63">
        <v>521.24</v>
      </c>
      <c r="R377" s="69"/>
      <c r="S377" s="509" t="s">
        <v>956</v>
      </c>
    </row>
    <row r="378" spans="1:19" outlineLevel="1" x14ac:dyDescent="0.2">
      <c r="C378" s="62">
        <v>52010304</v>
      </c>
      <c r="D378" s="62" t="s">
        <v>336</v>
      </c>
      <c r="E378" s="63">
        <v>348305.21</v>
      </c>
      <c r="F378" s="63">
        <v>23071.16</v>
      </c>
      <c r="G378" s="63">
        <v>61898.39</v>
      </c>
      <c r="H378" s="63">
        <v>96991</v>
      </c>
      <c r="I378" s="63">
        <v>129999.83</v>
      </c>
      <c r="J378" s="63">
        <v>152731.74</v>
      </c>
      <c r="K378" s="63">
        <v>181521.41</v>
      </c>
      <c r="L378" s="63">
        <v>212044.29</v>
      </c>
      <c r="M378" s="63">
        <v>242378.94</v>
      </c>
      <c r="N378" s="63">
        <v>274334.25</v>
      </c>
      <c r="O378" s="63">
        <v>303749.95</v>
      </c>
      <c r="P378" s="63">
        <v>331418.55</v>
      </c>
      <c r="Q378" s="63">
        <v>360687.53</v>
      </c>
      <c r="R378" s="69"/>
      <c r="S378" s="509" t="s">
        <v>956</v>
      </c>
    </row>
    <row r="379" spans="1:19" outlineLevel="1" x14ac:dyDescent="0.2">
      <c r="C379" s="62">
        <v>52010308</v>
      </c>
      <c r="D379" s="62" t="s">
        <v>337</v>
      </c>
      <c r="E379" s="63">
        <v>172001.8</v>
      </c>
      <c r="F379" s="63">
        <v>13943.32</v>
      </c>
      <c r="G379" s="63">
        <v>39674.35</v>
      </c>
      <c r="H379" s="63">
        <v>52530.7</v>
      </c>
      <c r="I379" s="63">
        <v>98168.27</v>
      </c>
      <c r="J379" s="63">
        <v>98168.27</v>
      </c>
      <c r="K379" s="63">
        <v>133804.47</v>
      </c>
      <c r="L379" s="63">
        <v>155951.5</v>
      </c>
      <c r="M379" s="63">
        <v>158804.29999999999</v>
      </c>
      <c r="N379" s="63">
        <v>213874.56</v>
      </c>
      <c r="O379" s="63">
        <v>213874.56</v>
      </c>
      <c r="P379" s="63">
        <v>220341.02</v>
      </c>
      <c r="Q379" s="63">
        <v>220341.02</v>
      </c>
      <c r="R379" s="69"/>
      <c r="S379" s="509" t="s">
        <v>956</v>
      </c>
    </row>
    <row r="380" spans="1:19" outlineLevel="1" x14ac:dyDescent="0.2">
      <c r="C380" s="62">
        <v>52010311</v>
      </c>
      <c r="D380" s="62" t="s">
        <v>338</v>
      </c>
      <c r="E380" s="63">
        <v>8770.94</v>
      </c>
      <c r="F380" s="63">
        <v>1963.47</v>
      </c>
      <c r="G380" s="63">
        <v>3260.93</v>
      </c>
      <c r="H380" s="63">
        <v>4538.68</v>
      </c>
      <c r="I380" s="63">
        <v>5418.68</v>
      </c>
      <c r="J380" s="63">
        <v>6693.73</v>
      </c>
      <c r="K380" s="63">
        <v>8185.14</v>
      </c>
      <c r="L380" s="63">
        <v>1788.33</v>
      </c>
      <c r="M380" s="63">
        <v>9112.69</v>
      </c>
      <c r="N380" s="63">
        <v>10512.39</v>
      </c>
      <c r="O380" s="63">
        <v>11612.39</v>
      </c>
      <c r="P380" s="63">
        <v>12712.39</v>
      </c>
      <c r="Q380" s="63">
        <v>12712.39</v>
      </c>
      <c r="R380" s="69"/>
      <c r="S380" s="509" t="s">
        <v>956</v>
      </c>
    </row>
    <row r="381" spans="1:19" outlineLevel="1" x14ac:dyDescent="0.2">
      <c r="C381" s="62">
        <v>52010312</v>
      </c>
      <c r="D381" s="62" t="s">
        <v>339</v>
      </c>
      <c r="E381" s="63">
        <v>33851.160000000003</v>
      </c>
      <c r="F381" s="63">
        <v>3745.14</v>
      </c>
      <c r="G381" s="63">
        <v>7490.28</v>
      </c>
      <c r="H381" s="63">
        <v>11235.42</v>
      </c>
      <c r="I381" s="63">
        <v>14980.56</v>
      </c>
      <c r="J381" s="63">
        <v>18725.7</v>
      </c>
      <c r="K381" s="63">
        <v>22470.84</v>
      </c>
      <c r="L381" s="63">
        <v>26215.98</v>
      </c>
      <c r="M381" s="63">
        <v>29961.119999999999</v>
      </c>
      <c r="N381" s="63">
        <v>33706.26</v>
      </c>
      <c r="O381" s="63">
        <v>37451.4</v>
      </c>
      <c r="P381" s="63">
        <v>41196.54</v>
      </c>
      <c r="Q381" s="63">
        <v>44941.68</v>
      </c>
      <c r="R381" s="69"/>
      <c r="S381" s="509" t="s">
        <v>956</v>
      </c>
    </row>
    <row r="382" spans="1:19" outlineLevel="1" x14ac:dyDescent="0.2">
      <c r="C382" s="62">
        <v>52010315</v>
      </c>
      <c r="D382" s="62" t="s">
        <v>340</v>
      </c>
      <c r="E382" s="63">
        <v>2070942.39</v>
      </c>
      <c r="F382" s="63">
        <v>205227</v>
      </c>
      <c r="G382" s="63">
        <v>407599</v>
      </c>
      <c r="H382" s="63">
        <v>611398.31999999995</v>
      </c>
      <c r="I382" s="63">
        <v>954213.15</v>
      </c>
      <c r="J382" s="63">
        <v>1192768.17</v>
      </c>
      <c r="K382" s="63">
        <v>1431321.71</v>
      </c>
      <c r="L382" s="63">
        <v>1421183.35</v>
      </c>
      <c r="M382" s="63">
        <v>1908428.79</v>
      </c>
      <c r="N382" s="63">
        <v>2146982.36</v>
      </c>
      <c r="O382" s="63">
        <v>2385535.71</v>
      </c>
      <c r="P382" s="63">
        <v>2621558.54</v>
      </c>
      <c r="Q382" s="63">
        <v>2859882.01</v>
      </c>
      <c r="R382" s="68"/>
      <c r="S382" s="509" t="s">
        <v>956</v>
      </c>
    </row>
    <row r="383" spans="1:19" outlineLevel="1" x14ac:dyDescent="0.2">
      <c r="C383" s="62">
        <v>52010316</v>
      </c>
      <c r="D383" s="62" t="s">
        <v>341</v>
      </c>
      <c r="Q383" s="63">
        <v>570.69000000000005</v>
      </c>
      <c r="R383" s="69"/>
      <c r="S383" s="509" t="s">
        <v>956</v>
      </c>
    </row>
    <row r="384" spans="1:19" s="66" customFormat="1" outlineLevel="1" x14ac:dyDescent="0.2">
      <c r="A384" s="58"/>
      <c r="B384" s="59"/>
      <c r="C384" s="62">
        <v>52010319</v>
      </c>
      <c r="D384" s="62" t="s">
        <v>342</v>
      </c>
      <c r="E384" s="63">
        <v>2278425.7400000002</v>
      </c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9"/>
      <c r="S384" s="69"/>
    </row>
    <row r="385" spans="1:19" s="66" customFormat="1" outlineLevel="1" x14ac:dyDescent="0.2">
      <c r="A385" s="58"/>
      <c r="B385" s="59"/>
      <c r="C385" s="62">
        <v>52010321</v>
      </c>
      <c r="D385" s="62" t="s">
        <v>343</v>
      </c>
      <c r="E385" s="63">
        <v>3543337.12</v>
      </c>
      <c r="F385" s="63">
        <v>41760.68</v>
      </c>
      <c r="G385" s="63">
        <v>91464.98</v>
      </c>
      <c r="H385" s="63">
        <v>215880.82</v>
      </c>
      <c r="I385" s="63">
        <v>307983.53999999998</v>
      </c>
      <c r="J385" s="63">
        <v>347800.96</v>
      </c>
      <c r="K385" s="63">
        <v>408957.92</v>
      </c>
      <c r="L385" s="63">
        <v>433828.63</v>
      </c>
      <c r="M385" s="63">
        <v>485997.23</v>
      </c>
      <c r="N385" s="63">
        <v>608492.36</v>
      </c>
      <c r="O385" s="63">
        <v>685020.16000000003</v>
      </c>
      <c r="P385" s="63">
        <v>727782.16</v>
      </c>
      <c r="Q385" s="63">
        <v>819020.62</v>
      </c>
      <c r="R385" s="69"/>
      <c r="S385" s="509" t="s">
        <v>956</v>
      </c>
    </row>
    <row r="386" spans="1:19" s="66" customFormat="1" outlineLevel="1" x14ac:dyDescent="0.2">
      <c r="A386" s="58"/>
      <c r="B386" s="59"/>
      <c r="C386" s="62">
        <v>52010322</v>
      </c>
      <c r="D386" s="62" t="s">
        <v>344</v>
      </c>
      <c r="E386" s="63">
        <v>77728.3</v>
      </c>
      <c r="F386" s="63">
        <v>6160</v>
      </c>
      <c r="G386" s="63">
        <v>37738.339999999997</v>
      </c>
      <c r="H386" s="63">
        <v>40864.339999999997</v>
      </c>
      <c r="I386" s="63">
        <v>43990.34</v>
      </c>
      <c r="J386" s="63">
        <v>47116.34</v>
      </c>
      <c r="K386" s="63">
        <v>50242.34</v>
      </c>
      <c r="L386" s="63">
        <v>45668.34</v>
      </c>
      <c r="M386" s="63">
        <v>54954.34</v>
      </c>
      <c r="N386" s="63">
        <v>58080.34</v>
      </c>
      <c r="O386" s="63">
        <v>61206.34</v>
      </c>
      <c r="P386" s="63">
        <v>64332.34</v>
      </c>
      <c r="Q386" s="63">
        <v>67458.34</v>
      </c>
      <c r="R386" s="69"/>
      <c r="S386" s="509" t="s">
        <v>956</v>
      </c>
    </row>
    <row r="387" spans="1:19" s="66" customFormat="1" outlineLevel="1" x14ac:dyDescent="0.2">
      <c r="A387" s="58"/>
      <c r="B387" s="59"/>
      <c r="C387" s="62">
        <v>52010323</v>
      </c>
      <c r="D387" s="62" t="s">
        <v>345</v>
      </c>
      <c r="E387" s="63">
        <v>103822.23</v>
      </c>
      <c r="F387" s="63"/>
      <c r="G387" s="63"/>
      <c r="H387" s="63"/>
      <c r="I387" s="63">
        <v>27650</v>
      </c>
      <c r="J387" s="63">
        <v>44600.5</v>
      </c>
      <c r="K387" s="63">
        <v>74290.64</v>
      </c>
      <c r="L387" s="63">
        <v>74290.64</v>
      </c>
      <c r="M387" s="63">
        <v>74290.64</v>
      </c>
      <c r="N387" s="63">
        <v>74290.64</v>
      </c>
      <c r="O387" s="63">
        <v>74290.64</v>
      </c>
      <c r="P387" s="63">
        <v>76745.259999999995</v>
      </c>
      <c r="Q387" s="63">
        <v>76815.86</v>
      </c>
      <c r="R387" s="69"/>
      <c r="S387" s="509" t="s">
        <v>956</v>
      </c>
    </row>
    <row r="388" spans="1:19" s="66" customFormat="1" outlineLevel="1" x14ac:dyDescent="0.2">
      <c r="A388" s="58"/>
      <c r="B388" s="59"/>
      <c r="C388" s="62">
        <v>52010324</v>
      </c>
      <c r="D388" s="62" t="s">
        <v>346</v>
      </c>
      <c r="E388" s="63">
        <v>638273.62</v>
      </c>
      <c r="F388" s="63">
        <v>40555.01</v>
      </c>
      <c r="G388" s="63">
        <v>91218.27</v>
      </c>
      <c r="H388" s="63">
        <v>150898.6</v>
      </c>
      <c r="I388" s="63">
        <v>200937.59</v>
      </c>
      <c r="J388" s="63">
        <v>250691.37</v>
      </c>
      <c r="K388" s="63">
        <v>306710.12</v>
      </c>
      <c r="L388" s="63">
        <v>14436.25</v>
      </c>
      <c r="M388" s="63">
        <v>370506.67</v>
      </c>
      <c r="N388" s="63">
        <v>431824.48</v>
      </c>
      <c r="O388" s="63">
        <v>482036.45</v>
      </c>
      <c r="P388" s="63">
        <v>529973.23</v>
      </c>
      <c r="Q388" s="63">
        <v>586649.93999999994</v>
      </c>
      <c r="R388" s="69"/>
      <c r="S388" s="509" t="s">
        <v>956</v>
      </c>
    </row>
    <row r="389" spans="1:19" s="66" customFormat="1" outlineLevel="1" x14ac:dyDescent="0.2">
      <c r="A389" s="58"/>
      <c r="B389" s="59"/>
      <c r="C389" s="62">
        <v>52010326</v>
      </c>
      <c r="D389" s="62" t="s">
        <v>347</v>
      </c>
      <c r="E389" s="63"/>
      <c r="F389" s="63"/>
      <c r="G389" s="63"/>
      <c r="H389" s="63">
        <v>1250</v>
      </c>
      <c r="I389" s="63">
        <v>1250</v>
      </c>
      <c r="J389" s="63">
        <v>1250</v>
      </c>
      <c r="K389" s="63">
        <v>1250</v>
      </c>
      <c r="L389" s="63">
        <v>1250</v>
      </c>
      <c r="M389" s="63">
        <v>1250</v>
      </c>
      <c r="N389" s="63">
        <v>3700</v>
      </c>
      <c r="O389" s="63">
        <v>3700</v>
      </c>
      <c r="P389" s="63">
        <v>3700</v>
      </c>
      <c r="Q389" s="63">
        <v>3700</v>
      </c>
      <c r="R389" s="69"/>
      <c r="S389" s="509" t="s">
        <v>956</v>
      </c>
    </row>
    <row r="390" spans="1:19" s="66" customFormat="1" outlineLevel="1" x14ac:dyDescent="0.2">
      <c r="A390" s="58"/>
      <c r="B390" s="59"/>
      <c r="C390" s="62">
        <v>52010328</v>
      </c>
      <c r="D390" s="62" t="s">
        <v>348</v>
      </c>
      <c r="E390" s="63">
        <v>1723795.38</v>
      </c>
      <c r="F390" s="63">
        <v>114183.6</v>
      </c>
      <c r="G390" s="63">
        <v>252442.17</v>
      </c>
      <c r="H390" s="63">
        <v>397695.39</v>
      </c>
      <c r="I390" s="63">
        <v>582493.06000000006</v>
      </c>
      <c r="J390" s="63">
        <v>716329.65</v>
      </c>
      <c r="K390" s="63">
        <v>852142.98</v>
      </c>
      <c r="L390" s="63">
        <v>980687.4</v>
      </c>
      <c r="M390" s="63">
        <v>1118762.72</v>
      </c>
      <c r="N390" s="63">
        <v>1259604.28</v>
      </c>
      <c r="O390" s="63">
        <v>1443327.52</v>
      </c>
      <c r="P390" s="63">
        <v>1567559.54</v>
      </c>
      <c r="Q390" s="63">
        <v>1702001.87</v>
      </c>
      <c r="R390" s="69"/>
      <c r="S390" s="509" t="s">
        <v>956</v>
      </c>
    </row>
    <row r="391" spans="1:19" s="66" customFormat="1" outlineLevel="1" x14ac:dyDescent="0.2">
      <c r="A391" s="58"/>
      <c r="B391" s="59"/>
      <c r="C391" s="62">
        <v>52010336</v>
      </c>
      <c r="D391" s="62" t="s">
        <v>349</v>
      </c>
      <c r="E391" s="63">
        <v>27582.03</v>
      </c>
      <c r="F391" s="63"/>
      <c r="G391" s="63"/>
      <c r="H391" s="63"/>
      <c r="I391" s="63"/>
      <c r="J391" s="63"/>
      <c r="K391" s="63">
        <v>9540.5</v>
      </c>
      <c r="L391" s="63">
        <v>9540.5</v>
      </c>
      <c r="M391" s="63">
        <v>9540.5</v>
      </c>
      <c r="N391" s="63">
        <v>9540.5</v>
      </c>
      <c r="O391" s="63">
        <v>9540.5</v>
      </c>
      <c r="P391" s="63">
        <v>9540.5</v>
      </c>
      <c r="Q391" s="63">
        <v>9540.5</v>
      </c>
      <c r="R391" s="69"/>
      <c r="S391" s="509" t="s">
        <v>956</v>
      </c>
    </row>
    <row r="392" spans="1:19" s="66" customFormat="1" outlineLevel="1" x14ac:dyDescent="0.2">
      <c r="A392" s="58"/>
      <c r="B392" s="59"/>
      <c r="C392" s="62">
        <v>52010337</v>
      </c>
      <c r="D392" s="62" t="s">
        <v>350</v>
      </c>
      <c r="E392" s="63">
        <v>216172.5</v>
      </c>
      <c r="F392" s="63">
        <v>12658.48</v>
      </c>
      <c r="G392" s="63">
        <v>47263.83</v>
      </c>
      <c r="H392" s="63">
        <v>80978.570000000007</v>
      </c>
      <c r="I392" s="63">
        <v>115459.27</v>
      </c>
      <c r="J392" s="63">
        <v>149939.97</v>
      </c>
      <c r="K392" s="63">
        <v>198705.77</v>
      </c>
      <c r="L392" s="63">
        <v>100923.51</v>
      </c>
      <c r="M392" s="63">
        <v>287738.48</v>
      </c>
      <c r="N392" s="63">
        <v>333271.15000000002</v>
      </c>
      <c r="O392" s="63">
        <v>379834.66</v>
      </c>
      <c r="P392" s="63">
        <v>430839.84</v>
      </c>
      <c r="Q392" s="63">
        <v>494117.96</v>
      </c>
      <c r="R392" s="69"/>
      <c r="S392" s="509" t="s">
        <v>956</v>
      </c>
    </row>
    <row r="393" spans="1:19" s="66" customFormat="1" outlineLevel="1" x14ac:dyDescent="0.2">
      <c r="A393" s="58"/>
      <c r="B393" s="59"/>
      <c r="C393" s="62">
        <v>52010347</v>
      </c>
      <c r="D393" s="62" t="s">
        <v>351</v>
      </c>
      <c r="E393" s="63">
        <v>1115.68</v>
      </c>
      <c r="F393" s="63"/>
      <c r="G393" s="63"/>
      <c r="H393" s="63"/>
      <c r="I393" s="63"/>
      <c r="J393" s="63"/>
      <c r="K393" s="63"/>
      <c r="L393" s="63">
        <v>160</v>
      </c>
      <c r="M393" s="63">
        <v>160</v>
      </c>
      <c r="N393" s="63">
        <v>160</v>
      </c>
      <c r="O393" s="63">
        <v>295</v>
      </c>
      <c r="P393" s="63">
        <v>1157</v>
      </c>
      <c r="Q393" s="63">
        <v>1157</v>
      </c>
      <c r="R393" s="69"/>
      <c r="S393" s="509" t="s">
        <v>956</v>
      </c>
    </row>
    <row r="394" spans="1:19" s="66" customFormat="1" outlineLevel="1" x14ac:dyDescent="0.2">
      <c r="A394" s="58"/>
      <c r="B394" s="59"/>
      <c r="C394" s="62">
        <v>52010352</v>
      </c>
      <c r="D394" s="62" t="s">
        <v>352</v>
      </c>
      <c r="E394" s="63"/>
      <c r="F394" s="63"/>
      <c r="G394" s="63"/>
      <c r="H394" s="63"/>
      <c r="I394" s="63"/>
      <c r="J394" s="63">
        <v>3697.21</v>
      </c>
      <c r="K394" s="63">
        <v>10733.15</v>
      </c>
      <c r="L394" s="63">
        <v>10733.15</v>
      </c>
      <c r="M394" s="63">
        <v>18270.03</v>
      </c>
      <c r="N394" s="63">
        <v>19660.03</v>
      </c>
      <c r="O394" s="63">
        <v>19660.03</v>
      </c>
      <c r="P394" s="63">
        <v>19660.03</v>
      </c>
      <c r="Q394" s="63">
        <v>22135.97</v>
      </c>
      <c r="R394" s="69"/>
      <c r="S394" s="509" t="s">
        <v>956</v>
      </c>
    </row>
    <row r="395" spans="1:19" s="66" customFormat="1" outlineLevel="1" x14ac:dyDescent="0.2">
      <c r="A395" s="58"/>
      <c r="B395" s="59"/>
      <c r="C395" s="62">
        <v>52010353</v>
      </c>
      <c r="D395" s="62" t="s">
        <v>353</v>
      </c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9"/>
      <c r="S395" s="62"/>
    </row>
    <row r="396" spans="1:19" s="66" customFormat="1" outlineLevel="1" x14ac:dyDescent="0.2">
      <c r="A396" s="58"/>
      <c r="B396" s="59"/>
      <c r="C396" s="62">
        <v>52010355</v>
      </c>
      <c r="D396" s="62" t="s">
        <v>354</v>
      </c>
      <c r="E396" s="63">
        <v>288807.96000000002</v>
      </c>
      <c r="F396" s="63">
        <v>19003.599999999999</v>
      </c>
      <c r="G396" s="63">
        <v>38007.199999999997</v>
      </c>
      <c r="H396" s="63">
        <v>83014.8</v>
      </c>
      <c r="I396" s="63">
        <v>102713</v>
      </c>
      <c r="J396" s="63">
        <v>124638</v>
      </c>
      <c r="K396" s="63">
        <v>143669</v>
      </c>
      <c r="L396" s="63">
        <v>166968.79</v>
      </c>
      <c r="M396" s="63">
        <v>189270.5</v>
      </c>
      <c r="N396" s="63">
        <v>215216.3</v>
      </c>
      <c r="O396" s="63">
        <v>238266.92</v>
      </c>
      <c r="P396" s="63">
        <v>261389.31</v>
      </c>
      <c r="Q396" s="63">
        <v>301446.75</v>
      </c>
      <c r="R396" s="69"/>
      <c r="S396" s="509" t="s">
        <v>956</v>
      </c>
    </row>
    <row r="397" spans="1:19" s="66" customFormat="1" outlineLevel="1" x14ac:dyDescent="0.2">
      <c r="A397" s="58"/>
      <c r="B397" s="59"/>
      <c r="C397" s="62">
        <v>52010356</v>
      </c>
      <c r="D397" s="62" t="s">
        <v>355</v>
      </c>
      <c r="E397" s="63">
        <v>34010.720000000001</v>
      </c>
      <c r="F397" s="63">
        <v>34010.720000000001</v>
      </c>
      <c r="G397" s="63">
        <v>40296.370000000003</v>
      </c>
      <c r="H397" s="63">
        <v>40296.370000000003</v>
      </c>
      <c r="I397" s="63">
        <v>40296.370000000003</v>
      </c>
      <c r="J397" s="63">
        <v>40296.370000000003</v>
      </c>
      <c r="K397" s="63">
        <v>40296.370000000003</v>
      </c>
      <c r="L397" s="63">
        <v>40296.370000000003</v>
      </c>
      <c r="M397" s="63">
        <v>40296.370000000003</v>
      </c>
      <c r="N397" s="63">
        <v>40296.370000000003</v>
      </c>
      <c r="O397" s="63">
        <v>40296.370000000003</v>
      </c>
      <c r="P397" s="63">
        <v>40296.370000000003</v>
      </c>
      <c r="Q397" s="63">
        <v>40296.370000000003</v>
      </c>
      <c r="R397" s="69"/>
      <c r="S397" s="509" t="s">
        <v>956</v>
      </c>
    </row>
    <row r="398" spans="1:19" s="66" customFormat="1" outlineLevel="1" x14ac:dyDescent="0.2">
      <c r="A398" s="58"/>
      <c r="B398" s="59"/>
      <c r="C398" s="62">
        <v>52010357</v>
      </c>
      <c r="D398" s="62" t="s">
        <v>356</v>
      </c>
      <c r="E398" s="63">
        <v>2808160.1999999899</v>
      </c>
      <c r="F398" s="63"/>
      <c r="G398" s="63">
        <v>166759</v>
      </c>
      <c r="H398" s="63">
        <f>+G398</f>
        <v>166759</v>
      </c>
      <c r="I398" s="63">
        <f t="shared" ref="I398:Q398" si="52">+H398</f>
        <v>166759</v>
      </c>
      <c r="J398" s="63">
        <f t="shared" si="52"/>
        <v>166759</v>
      </c>
      <c r="K398" s="63">
        <f t="shared" si="52"/>
        <v>166759</v>
      </c>
      <c r="L398" s="63">
        <f t="shared" si="52"/>
        <v>166759</v>
      </c>
      <c r="M398" s="63">
        <f t="shared" si="52"/>
        <v>166759</v>
      </c>
      <c r="N398" s="63">
        <f t="shared" si="52"/>
        <v>166759</v>
      </c>
      <c r="O398" s="63">
        <f t="shared" si="52"/>
        <v>166759</v>
      </c>
      <c r="P398" s="63">
        <f t="shared" si="52"/>
        <v>166759</v>
      </c>
      <c r="Q398" s="63">
        <f t="shared" si="52"/>
        <v>166759</v>
      </c>
      <c r="R398" s="69"/>
      <c r="S398" s="509" t="s">
        <v>956</v>
      </c>
    </row>
    <row r="399" spans="1:19" s="66" customFormat="1" outlineLevel="1" x14ac:dyDescent="0.2">
      <c r="A399" s="58"/>
      <c r="B399" s="59"/>
      <c r="C399" s="62">
        <v>52010359</v>
      </c>
      <c r="D399" s="62" t="s">
        <v>357</v>
      </c>
      <c r="E399" s="63">
        <v>171427.58</v>
      </c>
      <c r="F399" s="63">
        <v>20000</v>
      </c>
      <c r="G399" s="63">
        <v>33433.99</v>
      </c>
      <c r="H399" s="63">
        <v>62902.21</v>
      </c>
      <c r="I399" s="63">
        <v>82902.210000000006</v>
      </c>
      <c r="J399" s="63">
        <v>102902.21</v>
      </c>
      <c r="K399" s="63">
        <v>122902.21</v>
      </c>
      <c r="L399" s="63">
        <v>157902.21</v>
      </c>
      <c r="M399" s="63">
        <v>192902.21</v>
      </c>
      <c r="N399" s="63">
        <v>227902.21</v>
      </c>
      <c r="O399" s="63">
        <v>262902.21000000002</v>
      </c>
      <c r="P399" s="63">
        <v>262902.21000000002</v>
      </c>
      <c r="Q399" s="63">
        <v>191829.9</v>
      </c>
      <c r="R399" s="69"/>
      <c r="S399" s="509" t="s">
        <v>956</v>
      </c>
    </row>
    <row r="400" spans="1:19" s="66" customFormat="1" outlineLevel="1" x14ac:dyDescent="0.2">
      <c r="A400" s="58"/>
      <c r="B400" s="59"/>
      <c r="C400" s="62">
        <v>52010360</v>
      </c>
      <c r="D400" s="62" t="s">
        <v>358</v>
      </c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9"/>
      <c r="S400" s="62"/>
    </row>
    <row r="401" spans="1:19" s="66" customFormat="1" outlineLevel="1" x14ac:dyDescent="0.2">
      <c r="A401" s="58"/>
      <c r="B401" s="59"/>
      <c r="C401" s="62">
        <v>52010361</v>
      </c>
      <c r="D401" s="62" t="s">
        <v>359</v>
      </c>
      <c r="E401" s="63">
        <v>224150</v>
      </c>
      <c r="F401" s="63"/>
      <c r="G401" s="63"/>
      <c r="H401" s="63"/>
      <c r="I401" s="63">
        <v>174253</v>
      </c>
      <c r="J401" s="63">
        <v>174253</v>
      </c>
      <c r="K401" s="63">
        <v>89039</v>
      </c>
      <c r="L401" s="63">
        <v>89039</v>
      </c>
      <c r="M401" s="63">
        <v>89039</v>
      </c>
      <c r="N401" s="63">
        <v>48512.57</v>
      </c>
      <c r="O401" s="63">
        <v>48512.57</v>
      </c>
      <c r="P401" s="63">
        <v>48512.57</v>
      </c>
      <c r="Q401" s="63">
        <v>39890.57</v>
      </c>
      <c r="R401" s="69"/>
      <c r="S401" s="509" t="s">
        <v>956</v>
      </c>
    </row>
    <row r="402" spans="1:19" s="66" customFormat="1" outlineLevel="1" x14ac:dyDescent="0.2">
      <c r="A402" s="58"/>
      <c r="B402" s="59"/>
      <c r="C402" s="62">
        <v>52010362</v>
      </c>
      <c r="D402" s="62" t="s">
        <v>374</v>
      </c>
      <c r="E402" s="63">
        <v>8024591.1000000015</v>
      </c>
      <c r="F402" s="63">
        <v>95682.189999999944</v>
      </c>
      <c r="G402" s="63">
        <v>967208.11000000034</v>
      </c>
      <c r="H402" s="63">
        <v>838140.87999999989</v>
      </c>
      <c r="I402" s="63">
        <v>1885369.7700000014</v>
      </c>
      <c r="J402" s="63">
        <v>2524484.580000001</v>
      </c>
      <c r="K402" s="63">
        <v>4418287.4900000021</v>
      </c>
      <c r="L402" s="63">
        <v>5283946.0599999968</v>
      </c>
      <c r="M402" s="63">
        <v>6161108.6699999999</v>
      </c>
      <c r="N402" s="63">
        <v>7885379.4799999967</v>
      </c>
      <c r="O402" s="63">
        <v>8388359.6700000037</v>
      </c>
      <c r="P402" s="63">
        <v>9204249.7699999958</v>
      </c>
      <c r="Q402" s="63">
        <v>10349067.750000004</v>
      </c>
      <c r="R402" s="69"/>
      <c r="S402" s="509" t="s">
        <v>956</v>
      </c>
    </row>
    <row r="403" spans="1:19" s="66" customFormat="1" outlineLevel="1" x14ac:dyDescent="0.2">
      <c r="A403" s="58"/>
      <c r="B403" s="59"/>
      <c r="C403" s="62">
        <v>52010363</v>
      </c>
      <c r="D403" s="62" t="s">
        <v>377</v>
      </c>
      <c r="E403" s="63">
        <v>2807657.53</v>
      </c>
      <c r="F403" s="63">
        <v>218020.4</v>
      </c>
      <c r="G403" s="63">
        <v>512540.18</v>
      </c>
      <c r="H403" s="63">
        <v>713163.11</v>
      </c>
      <c r="I403" s="63">
        <v>976887.45</v>
      </c>
      <c r="J403" s="63">
        <v>1205795.5</v>
      </c>
      <c r="K403" s="63">
        <v>1494117.42</v>
      </c>
      <c r="L403" s="63">
        <v>1575748.36</v>
      </c>
      <c r="M403" s="63">
        <v>2013417.11</v>
      </c>
      <c r="N403" s="63">
        <v>2314682.65</v>
      </c>
      <c r="O403" s="63">
        <v>2625144.0299999998</v>
      </c>
      <c r="P403" s="63">
        <v>2871053.8</v>
      </c>
      <c r="Q403" s="63">
        <v>3034423.17</v>
      </c>
      <c r="R403" s="69"/>
      <c r="S403" s="509" t="s">
        <v>956</v>
      </c>
    </row>
    <row r="404" spans="1:19" s="66" customFormat="1" outlineLevel="1" x14ac:dyDescent="0.2">
      <c r="A404" s="58"/>
      <c r="B404" s="59"/>
      <c r="C404" s="62">
        <v>52010364</v>
      </c>
      <c r="D404" s="76" t="s">
        <v>375</v>
      </c>
      <c r="E404" s="63">
        <v>-6133359.1699999999</v>
      </c>
      <c r="F404" s="63">
        <v>-401731.41</v>
      </c>
      <c r="G404" s="63">
        <v>-947777.56</v>
      </c>
      <c r="H404" s="63">
        <v>-1467939.12</v>
      </c>
      <c r="I404" s="63">
        <v>-1829677.46</v>
      </c>
      <c r="J404" s="63">
        <v>-2224520.92</v>
      </c>
      <c r="K404" s="63">
        <v>-2724342.7</v>
      </c>
      <c r="L404" s="63">
        <v>-3165761.5</v>
      </c>
      <c r="M404" s="63">
        <v>-3611622.88</v>
      </c>
      <c r="N404" s="63">
        <v>-4195037.8499999996</v>
      </c>
      <c r="O404" s="63">
        <v>-4574869.37</v>
      </c>
      <c r="P404" s="63">
        <v>-4976195.34</v>
      </c>
      <c r="Q404" s="63">
        <v>-5531791.8899999997</v>
      </c>
      <c r="R404" s="69"/>
      <c r="S404" s="509" t="s">
        <v>956</v>
      </c>
    </row>
    <row r="405" spans="1:19" s="66" customFormat="1" outlineLevel="1" x14ac:dyDescent="0.2">
      <c r="A405" s="58"/>
      <c r="B405" s="59"/>
      <c r="C405" s="62">
        <v>52010365</v>
      </c>
      <c r="D405" s="76" t="s">
        <v>376</v>
      </c>
      <c r="E405" s="63">
        <v>-23915260.539999999</v>
      </c>
      <c r="F405" s="63">
        <v>-864395.64999999991</v>
      </c>
      <c r="G405" s="63">
        <v>-3419148.94</v>
      </c>
      <c r="H405" s="63">
        <v>-6250764.71</v>
      </c>
      <c r="I405" s="63">
        <v>-8338581.5100000007</v>
      </c>
      <c r="J405" s="63">
        <v>-9980827.9100000001</v>
      </c>
      <c r="K405" s="63">
        <v>-13017496.709999999</v>
      </c>
      <c r="L405" s="63">
        <v>-14883092.66</v>
      </c>
      <c r="M405" s="63">
        <v>-16901876.41</v>
      </c>
      <c r="N405" s="63">
        <v>-20527905.760000002</v>
      </c>
      <c r="O405" s="63">
        <v>-22240746.75</v>
      </c>
      <c r="P405" s="63">
        <v>-24245405.059999999</v>
      </c>
      <c r="Q405" s="63">
        <v>-27803298.400000002</v>
      </c>
      <c r="R405" s="69"/>
      <c r="S405" s="509" t="s">
        <v>956</v>
      </c>
    </row>
    <row r="406" spans="1:19" s="66" customFormat="1" outlineLevel="1" x14ac:dyDescent="0.2">
      <c r="A406" s="58"/>
      <c r="B406" s="59"/>
      <c r="C406" s="62"/>
      <c r="D406" s="62" t="s">
        <v>2</v>
      </c>
      <c r="E406" s="63" t="s">
        <v>264</v>
      </c>
      <c r="F406" s="63" t="s">
        <v>264</v>
      </c>
      <c r="G406" s="63" t="s">
        <v>264</v>
      </c>
      <c r="H406" s="63" t="s">
        <v>264</v>
      </c>
      <c r="I406" s="63" t="s">
        <v>264</v>
      </c>
      <c r="J406" s="63" t="s">
        <v>264</v>
      </c>
      <c r="K406" s="63" t="s">
        <v>264</v>
      </c>
      <c r="L406" s="63" t="s">
        <v>264</v>
      </c>
      <c r="M406" s="63" t="s">
        <v>264</v>
      </c>
      <c r="N406" s="63" t="s">
        <v>264</v>
      </c>
      <c r="O406" s="63" t="s">
        <v>264</v>
      </c>
      <c r="P406" s="63" t="s">
        <v>264</v>
      </c>
      <c r="Q406" s="63" t="s">
        <v>264</v>
      </c>
      <c r="R406" s="62"/>
      <c r="S406" s="62"/>
    </row>
    <row r="407" spans="1:19" s="66" customFormat="1" x14ac:dyDescent="0.2">
      <c r="A407" s="58"/>
      <c r="B407" s="59"/>
      <c r="C407" s="64" t="s">
        <v>154</v>
      </c>
      <c r="D407" s="64" t="s">
        <v>152</v>
      </c>
      <c r="E407" s="65">
        <f>SUM(E354:E406)</f>
        <v>105927971.31999996</v>
      </c>
      <c r="F407" s="65">
        <f t="shared" ref="F407:O407" si="53">SUM(F354:F406)</f>
        <v>6056939.9099999983</v>
      </c>
      <c r="G407" s="65">
        <f t="shared" si="53"/>
        <v>13158465.109999996</v>
      </c>
      <c r="H407" s="65">
        <f t="shared" si="53"/>
        <v>19772654.040000007</v>
      </c>
      <c r="I407" s="65">
        <f t="shared" si="53"/>
        <v>28888921.070000019</v>
      </c>
      <c r="J407" s="65">
        <f t="shared" si="53"/>
        <v>35697660.010000005</v>
      </c>
      <c r="K407" s="65">
        <f t="shared" si="53"/>
        <v>47313496.149999991</v>
      </c>
      <c r="L407" s="65">
        <f t="shared" si="53"/>
        <v>54570522.670000002</v>
      </c>
      <c r="M407" s="65">
        <f t="shared" si="53"/>
        <v>62093328.150000006</v>
      </c>
      <c r="N407" s="65">
        <f t="shared" si="53"/>
        <v>73651749.149999991</v>
      </c>
      <c r="O407" s="65">
        <f t="shared" si="53"/>
        <v>79916602.070000038</v>
      </c>
      <c r="P407" s="65">
        <f>SUM(P354:P406)</f>
        <v>87614113.379999995</v>
      </c>
      <c r="Q407" s="65">
        <f>SUM(Q354:Q406)</f>
        <v>95103519.530000046</v>
      </c>
      <c r="R407" s="68"/>
      <c r="S407" s="62"/>
    </row>
    <row r="408" spans="1:19" s="66" customFormat="1" x14ac:dyDescent="0.2">
      <c r="A408" s="58"/>
      <c r="B408" s="59"/>
      <c r="C408" s="151" t="s">
        <v>155</v>
      </c>
      <c r="D408" s="151" t="s">
        <v>152</v>
      </c>
      <c r="E408" s="70">
        <f>+E407</f>
        <v>105927971.31999996</v>
      </c>
      <c r="F408" s="70">
        <f t="shared" ref="F408:Q408" si="54">+F407</f>
        <v>6056939.9099999983</v>
      </c>
      <c r="G408" s="70">
        <f t="shared" si="54"/>
        <v>13158465.109999996</v>
      </c>
      <c r="H408" s="70">
        <f t="shared" si="54"/>
        <v>19772654.040000007</v>
      </c>
      <c r="I408" s="70">
        <f t="shared" si="54"/>
        <v>28888921.070000019</v>
      </c>
      <c r="J408" s="70">
        <f t="shared" si="54"/>
        <v>35697660.010000005</v>
      </c>
      <c r="K408" s="70">
        <f t="shared" si="54"/>
        <v>47313496.149999991</v>
      </c>
      <c r="L408" s="70">
        <f t="shared" si="54"/>
        <v>54570522.670000002</v>
      </c>
      <c r="M408" s="70">
        <f t="shared" si="54"/>
        <v>62093328.150000006</v>
      </c>
      <c r="N408" s="70">
        <f t="shared" si="54"/>
        <v>73651749.149999991</v>
      </c>
      <c r="O408" s="70">
        <f t="shared" si="54"/>
        <v>79916602.070000038</v>
      </c>
      <c r="P408" s="70">
        <f t="shared" si="54"/>
        <v>87614113.379999995</v>
      </c>
      <c r="Q408" s="70">
        <f t="shared" si="54"/>
        <v>95103519.530000046</v>
      </c>
      <c r="S408" s="62"/>
    </row>
    <row r="409" spans="1:19" s="66" customFormat="1" outlineLevel="1" x14ac:dyDescent="0.2">
      <c r="A409" s="58"/>
      <c r="B409" s="59"/>
      <c r="C409" s="62"/>
      <c r="D409" s="62" t="s">
        <v>2</v>
      </c>
      <c r="E409" s="63" t="s">
        <v>264</v>
      </c>
      <c r="F409" s="63" t="s">
        <v>264</v>
      </c>
      <c r="G409" s="63" t="s">
        <v>264</v>
      </c>
      <c r="H409" s="63" t="s">
        <v>264</v>
      </c>
      <c r="I409" s="63" t="s">
        <v>264</v>
      </c>
      <c r="J409" s="63" t="s">
        <v>264</v>
      </c>
      <c r="K409" s="63" t="s">
        <v>264</v>
      </c>
      <c r="L409" s="63" t="s">
        <v>264</v>
      </c>
      <c r="M409" s="63" t="s">
        <v>264</v>
      </c>
      <c r="N409" s="63" t="s">
        <v>264</v>
      </c>
      <c r="O409" s="63" t="s">
        <v>264</v>
      </c>
      <c r="P409" s="63" t="s">
        <v>264</v>
      </c>
      <c r="Q409" s="63" t="s">
        <v>264</v>
      </c>
      <c r="R409" s="62"/>
      <c r="S409" s="62"/>
    </row>
    <row r="410" spans="1:19" s="66" customFormat="1" x14ac:dyDescent="0.2">
      <c r="A410" s="58"/>
      <c r="B410" s="59"/>
      <c r="C410" s="651" t="s">
        <v>370</v>
      </c>
      <c r="D410" s="651"/>
      <c r="E410" s="61">
        <f>+E408</f>
        <v>105927971.31999996</v>
      </c>
      <c r="F410" s="61">
        <f t="shared" ref="F410:Q410" si="55">+F408</f>
        <v>6056939.9099999983</v>
      </c>
      <c r="G410" s="61">
        <f t="shared" si="55"/>
        <v>13158465.109999996</v>
      </c>
      <c r="H410" s="61">
        <f t="shared" si="55"/>
        <v>19772654.040000007</v>
      </c>
      <c r="I410" s="61">
        <f t="shared" si="55"/>
        <v>28888921.070000019</v>
      </c>
      <c r="J410" s="61">
        <f t="shared" si="55"/>
        <v>35697660.010000005</v>
      </c>
      <c r="K410" s="61">
        <f t="shared" si="55"/>
        <v>47313496.149999991</v>
      </c>
      <c r="L410" s="61">
        <f t="shared" si="55"/>
        <v>54570522.670000002</v>
      </c>
      <c r="M410" s="61">
        <f t="shared" si="55"/>
        <v>62093328.150000006</v>
      </c>
      <c r="N410" s="61">
        <f t="shared" si="55"/>
        <v>73651749.149999991</v>
      </c>
      <c r="O410" s="61">
        <f t="shared" si="55"/>
        <v>79916602.070000038</v>
      </c>
      <c r="P410" s="61">
        <f t="shared" si="55"/>
        <v>87614113.379999995</v>
      </c>
      <c r="Q410" s="61">
        <f t="shared" si="55"/>
        <v>95103519.530000046</v>
      </c>
      <c r="R410" s="68"/>
      <c r="S410" s="62"/>
    </row>
    <row r="411" spans="1:19" s="66" customFormat="1" x14ac:dyDescent="0.2">
      <c r="A411" s="58"/>
      <c r="B411" s="59"/>
      <c r="C411" s="62"/>
      <c r="D411" s="62" t="s">
        <v>2</v>
      </c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73"/>
      <c r="S411" s="62"/>
    </row>
    <row r="412" spans="1:19" s="59" customFormat="1" x14ac:dyDescent="0.2">
      <c r="A412" s="58"/>
      <c r="C412" s="151" t="s">
        <v>156</v>
      </c>
      <c r="D412" s="59" t="s">
        <v>2</v>
      </c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S412" s="60"/>
    </row>
    <row r="414" spans="1:19" s="66" customFormat="1" outlineLevel="1" x14ac:dyDescent="0.2">
      <c r="A414" s="58"/>
      <c r="B414" s="59"/>
      <c r="C414" s="62"/>
      <c r="D414" s="62" t="s">
        <v>2</v>
      </c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2"/>
      <c r="S414" s="62"/>
    </row>
    <row r="415" spans="1:19" s="66" customFormat="1" outlineLevel="1" x14ac:dyDescent="0.2">
      <c r="A415" s="58"/>
      <c r="B415" s="59"/>
      <c r="C415" s="62"/>
      <c r="D415" s="62" t="s">
        <v>2</v>
      </c>
      <c r="E415" s="63" t="s">
        <v>264</v>
      </c>
      <c r="F415" s="63" t="s">
        <v>264</v>
      </c>
      <c r="G415" s="63" t="s">
        <v>264</v>
      </c>
      <c r="H415" s="63" t="s">
        <v>264</v>
      </c>
      <c r="I415" s="63" t="s">
        <v>264</v>
      </c>
      <c r="J415" s="63" t="s">
        <v>264</v>
      </c>
      <c r="K415" s="63" t="s">
        <v>264</v>
      </c>
      <c r="L415" s="63" t="s">
        <v>264</v>
      </c>
      <c r="M415" s="63" t="s">
        <v>264</v>
      </c>
      <c r="N415" s="63" t="s">
        <v>264</v>
      </c>
      <c r="O415" s="63" t="s">
        <v>264</v>
      </c>
      <c r="P415" s="63" t="s">
        <v>264</v>
      </c>
      <c r="Q415" s="63" t="s">
        <v>264</v>
      </c>
      <c r="R415" s="62"/>
      <c r="S415" s="62"/>
    </row>
    <row r="416" spans="1:19" s="66" customFormat="1" outlineLevel="1" x14ac:dyDescent="0.2">
      <c r="A416" s="58"/>
      <c r="B416" s="59"/>
      <c r="C416" s="62">
        <v>63</v>
      </c>
      <c r="D416" s="62" t="s">
        <v>165</v>
      </c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2"/>
      <c r="S416" s="62"/>
    </row>
    <row r="417" spans="1:19" s="66" customFormat="1" outlineLevel="1" x14ac:dyDescent="0.2">
      <c r="A417" s="58"/>
      <c r="B417" s="59"/>
      <c r="C417" s="62">
        <v>6301</v>
      </c>
      <c r="D417" s="62" t="s">
        <v>165</v>
      </c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2"/>
      <c r="S417" s="62"/>
    </row>
    <row r="418" spans="1:19" s="66" customFormat="1" outlineLevel="1" x14ac:dyDescent="0.2">
      <c r="A418" s="58"/>
      <c r="B418" s="59"/>
      <c r="C418" s="62">
        <v>63010112</v>
      </c>
      <c r="D418" s="62" t="s">
        <v>269</v>
      </c>
      <c r="E418" s="63">
        <v>3981691.71</v>
      </c>
      <c r="F418" s="63">
        <v>342781.93</v>
      </c>
      <c r="G418" s="63">
        <v>676201.2</v>
      </c>
      <c r="H418" s="63">
        <v>935188.12</v>
      </c>
      <c r="I418" s="63">
        <v>1228311.19</v>
      </c>
      <c r="J418" s="63">
        <v>1578191.29</v>
      </c>
      <c r="K418" s="63">
        <v>1891977.22</v>
      </c>
      <c r="L418" s="63">
        <v>2296214.35</v>
      </c>
      <c r="M418" s="63">
        <v>2624877.77</v>
      </c>
      <c r="N418" s="63">
        <v>3102584.03</v>
      </c>
      <c r="O418" s="63">
        <v>3509943.63</v>
      </c>
      <c r="P418" s="63">
        <v>3858046.33</v>
      </c>
      <c r="Q418" s="63">
        <v>4114726.43</v>
      </c>
      <c r="R418" s="68"/>
      <c r="S418" s="498" t="s">
        <v>957</v>
      </c>
    </row>
    <row r="419" spans="1:19" s="66" customFormat="1" outlineLevel="1" x14ac:dyDescent="0.2">
      <c r="A419" s="58"/>
      <c r="B419" s="59"/>
      <c r="C419" s="62">
        <v>63010212</v>
      </c>
      <c r="D419" s="62" t="s">
        <v>270</v>
      </c>
      <c r="E419" s="63">
        <v>41599.32</v>
      </c>
      <c r="F419" s="63">
        <v>3466.61</v>
      </c>
      <c r="G419" s="63">
        <v>6480.63</v>
      </c>
      <c r="H419" s="63">
        <v>9042.06</v>
      </c>
      <c r="I419" s="63">
        <v>12056.08</v>
      </c>
      <c r="J419" s="63">
        <v>15070.1</v>
      </c>
      <c r="K419" s="63">
        <v>18084.12</v>
      </c>
      <c r="L419" s="63">
        <v>20248.82</v>
      </c>
      <c r="M419" s="63">
        <v>22413.52</v>
      </c>
      <c r="N419" s="63">
        <v>24578.22</v>
      </c>
      <c r="O419" s="63">
        <v>26742.92</v>
      </c>
      <c r="P419" s="63">
        <v>28907.62</v>
      </c>
      <c r="Q419" s="63">
        <v>62018.82</v>
      </c>
      <c r="R419" s="62"/>
      <c r="S419" s="498" t="s">
        <v>957</v>
      </c>
    </row>
    <row r="420" spans="1:19" s="66" customFormat="1" outlineLevel="1" x14ac:dyDescent="0.2">
      <c r="A420" s="58"/>
      <c r="B420" s="59"/>
      <c r="C420" s="62">
        <v>63010213</v>
      </c>
      <c r="D420" s="62" t="s">
        <v>158</v>
      </c>
      <c r="E420" s="63">
        <v>353499</v>
      </c>
      <c r="F420" s="63">
        <v>28653</v>
      </c>
      <c r="G420" s="63">
        <v>52871</v>
      </c>
      <c r="H420" s="63">
        <v>77534</v>
      </c>
      <c r="I420" s="63">
        <v>109740</v>
      </c>
      <c r="J420" s="63">
        <v>134643</v>
      </c>
      <c r="K420" s="63">
        <v>164303</v>
      </c>
      <c r="L420" s="63">
        <v>183776</v>
      </c>
      <c r="M420" s="63">
        <v>209721.63</v>
      </c>
      <c r="N420" s="63">
        <v>227676.41</v>
      </c>
      <c r="O420" s="63">
        <v>253476</v>
      </c>
      <c r="P420" s="63">
        <v>275936.40000000002</v>
      </c>
      <c r="Q420" s="63">
        <v>301611.53000000003</v>
      </c>
      <c r="R420" s="62"/>
      <c r="S420" s="498" t="s">
        <v>957</v>
      </c>
    </row>
    <row r="421" spans="1:19" s="66" customFormat="1" outlineLevel="1" x14ac:dyDescent="0.2">
      <c r="A421" s="58"/>
      <c r="B421" s="59"/>
      <c r="C421" s="62">
        <v>63010214</v>
      </c>
      <c r="D421" s="62" t="s">
        <v>159</v>
      </c>
      <c r="E421" s="63">
        <v>220310.62</v>
      </c>
      <c r="F421" s="63">
        <v>18117.400000000001</v>
      </c>
      <c r="G421" s="63">
        <v>35173.279999999999</v>
      </c>
      <c r="H421" s="63">
        <v>54049.58</v>
      </c>
      <c r="I421" s="63">
        <v>72524.12</v>
      </c>
      <c r="J421" s="63">
        <v>91158.35</v>
      </c>
      <c r="K421" s="63">
        <v>108162.96</v>
      </c>
      <c r="L421" s="63">
        <v>122231.54</v>
      </c>
      <c r="M421" s="63">
        <v>136030.76</v>
      </c>
      <c r="N421" s="63">
        <v>149305.62</v>
      </c>
      <c r="O421" s="63">
        <v>163573.59</v>
      </c>
      <c r="P421" s="63">
        <v>178016.69</v>
      </c>
      <c r="Q421" s="63">
        <v>192319.69</v>
      </c>
      <c r="R421" s="62"/>
      <c r="S421" s="498" t="s">
        <v>957</v>
      </c>
    </row>
    <row r="422" spans="1:19" s="66" customFormat="1" outlineLevel="1" x14ac:dyDescent="0.2">
      <c r="A422" s="58"/>
      <c r="B422" s="59"/>
      <c r="C422" s="62">
        <v>63010215</v>
      </c>
      <c r="D422" s="62" t="s">
        <v>160</v>
      </c>
      <c r="E422" s="63">
        <v>180443.4</v>
      </c>
      <c r="F422" s="63">
        <v>14435.99</v>
      </c>
      <c r="G422" s="63">
        <v>29788.78</v>
      </c>
      <c r="H422" s="63">
        <v>45134.1</v>
      </c>
      <c r="I422" s="63">
        <v>60478.25</v>
      </c>
      <c r="J422" s="63">
        <v>75348.14</v>
      </c>
      <c r="K422" s="63">
        <v>89468.97</v>
      </c>
      <c r="L422" s="63">
        <v>91992.54</v>
      </c>
      <c r="M422" s="63">
        <v>115474.5</v>
      </c>
      <c r="N422" s="63">
        <v>127788.29</v>
      </c>
      <c r="O422" s="63">
        <v>142518.66</v>
      </c>
      <c r="P422" s="63">
        <v>167680.46</v>
      </c>
      <c r="Q422" s="63">
        <v>166768.85999999999</v>
      </c>
      <c r="R422" s="62"/>
      <c r="S422" s="498" t="s">
        <v>957</v>
      </c>
    </row>
    <row r="423" spans="1:19" s="66" customFormat="1" outlineLevel="1" x14ac:dyDescent="0.2">
      <c r="A423" s="58"/>
      <c r="B423" s="59"/>
      <c r="C423" s="62">
        <v>63010216</v>
      </c>
      <c r="D423" s="62" t="s">
        <v>84</v>
      </c>
      <c r="E423" s="63">
        <v>260533.27</v>
      </c>
      <c r="F423" s="63">
        <v>24906.78</v>
      </c>
      <c r="G423" s="63">
        <v>50787.39</v>
      </c>
      <c r="H423" s="63">
        <v>76874.48</v>
      </c>
      <c r="I423" s="63">
        <v>102970.54</v>
      </c>
      <c r="J423" s="63">
        <v>127238.85</v>
      </c>
      <c r="K423" s="63">
        <v>151687.47</v>
      </c>
      <c r="L423" s="63">
        <v>178785.09</v>
      </c>
      <c r="M423" s="63">
        <v>205902.24</v>
      </c>
      <c r="N423" s="63">
        <v>233299.07</v>
      </c>
      <c r="O423" s="63">
        <v>260695.9</v>
      </c>
      <c r="P423" s="63">
        <v>287623.73</v>
      </c>
      <c r="Q423" s="63">
        <v>314083.56</v>
      </c>
      <c r="R423" s="62"/>
      <c r="S423" s="498" t="s">
        <v>957</v>
      </c>
    </row>
    <row r="424" spans="1:19" s="66" customFormat="1" outlineLevel="1" x14ac:dyDescent="0.2">
      <c r="A424" s="58"/>
      <c r="B424" s="59"/>
      <c r="C424" s="62">
        <v>63010218</v>
      </c>
      <c r="D424" s="62" t="s">
        <v>124</v>
      </c>
      <c r="E424" s="63">
        <v>25123.08</v>
      </c>
      <c r="F424" s="63">
        <v>2093.59</v>
      </c>
      <c r="G424" s="63">
        <v>4518.42</v>
      </c>
      <c r="H424" s="63">
        <v>7274.49</v>
      </c>
      <c r="I424" s="63">
        <v>9699.32</v>
      </c>
      <c r="J424" s="63">
        <v>12124.15</v>
      </c>
      <c r="K424" s="63">
        <v>14548.98</v>
      </c>
      <c r="L424" s="63">
        <v>16290.52</v>
      </c>
      <c r="M424" s="63">
        <v>18032.060000000001</v>
      </c>
      <c r="N424" s="63">
        <v>19773.599999999999</v>
      </c>
      <c r="O424" s="63">
        <v>21515.14</v>
      </c>
      <c r="P424" s="63">
        <v>23256.68</v>
      </c>
      <c r="Q424" s="63">
        <v>64306.46</v>
      </c>
      <c r="R424" s="62"/>
      <c r="S424" s="498" t="s">
        <v>957</v>
      </c>
    </row>
    <row r="425" spans="1:19" s="66" customFormat="1" outlineLevel="1" x14ac:dyDescent="0.2">
      <c r="A425" s="58"/>
      <c r="B425" s="59"/>
      <c r="C425" s="62">
        <v>63010219</v>
      </c>
      <c r="D425" s="62" t="s">
        <v>161</v>
      </c>
      <c r="E425" s="63">
        <v>191186.29</v>
      </c>
      <c r="F425" s="63">
        <v>15932.19</v>
      </c>
      <c r="G425" s="63">
        <v>39341.54</v>
      </c>
      <c r="H425" s="63">
        <v>70228.039999999994</v>
      </c>
      <c r="I425" s="63">
        <v>93637.39</v>
      </c>
      <c r="J425" s="63">
        <v>117046.74</v>
      </c>
      <c r="K425" s="63">
        <v>140456.09</v>
      </c>
      <c r="L425" s="63">
        <v>157268.89000000001</v>
      </c>
      <c r="M425" s="63">
        <v>174081.69</v>
      </c>
      <c r="N425" s="63">
        <v>190894.49</v>
      </c>
      <c r="O425" s="63">
        <v>207707.29</v>
      </c>
      <c r="P425" s="63">
        <v>224520.09</v>
      </c>
      <c r="Q425" s="63">
        <v>241332.89</v>
      </c>
      <c r="R425" s="62"/>
      <c r="S425" s="498" t="s">
        <v>957</v>
      </c>
    </row>
    <row r="426" spans="1:19" s="66" customFormat="1" outlineLevel="1" x14ac:dyDescent="0.2">
      <c r="A426" s="58"/>
      <c r="B426" s="59"/>
      <c r="C426" s="62">
        <v>63010231</v>
      </c>
      <c r="D426" s="62" t="s">
        <v>271</v>
      </c>
      <c r="E426" s="63">
        <v>90494.36</v>
      </c>
      <c r="F426" s="63">
        <v>15738.9</v>
      </c>
      <c r="G426" s="63">
        <v>21385.02</v>
      </c>
      <c r="H426" s="63">
        <v>26572.14</v>
      </c>
      <c r="I426" s="63">
        <v>31759.26</v>
      </c>
      <c r="J426" s="63">
        <v>32623.77</v>
      </c>
      <c r="K426" s="63">
        <v>32623.77</v>
      </c>
      <c r="L426" s="63">
        <v>34981.769999999997</v>
      </c>
      <c r="M426" s="63">
        <v>37110.769999999997</v>
      </c>
      <c r="N426" s="63">
        <v>37110.769999999997</v>
      </c>
      <c r="O426" s="63">
        <v>37110.769999999997</v>
      </c>
      <c r="P426" s="63">
        <v>37110.769999999997</v>
      </c>
      <c r="Q426" s="63">
        <v>37110.769999999997</v>
      </c>
      <c r="R426" s="62"/>
      <c r="S426" s="498" t="s">
        <v>957</v>
      </c>
    </row>
    <row r="427" spans="1:19" s="66" customFormat="1" outlineLevel="1" x14ac:dyDescent="0.2">
      <c r="A427" s="58"/>
      <c r="B427" s="59"/>
      <c r="C427" s="62">
        <v>63010234</v>
      </c>
      <c r="D427" s="62" t="s">
        <v>162</v>
      </c>
      <c r="E427" s="63">
        <v>713383.71</v>
      </c>
      <c r="F427" s="63">
        <v>65407.26</v>
      </c>
      <c r="G427" s="63">
        <v>135801.42000000001</v>
      </c>
      <c r="H427" s="63">
        <v>216373.1</v>
      </c>
      <c r="I427" s="63">
        <v>274738.43</v>
      </c>
      <c r="J427" s="63">
        <v>354739.3</v>
      </c>
      <c r="K427" s="63">
        <v>417533.24</v>
      </c>
      <c r="L427" s="63">
        <v>627592.65</v>
      </c>
      <c r="M427" s="63">
        <v>828189.96</v>
      </c>
      <c r="N427" s="63">
        <v>1296528.57</v>
      </c>
      <c r="O427" s="63">
        <v>1440392.29</v>
      </c>
      <c r="P427" s="63">
        <v>1580913.06</v>
      </c>
      <c r="Q427" s="63">
        <v>1528184.24</v>
      </c>
      <c r="R427" s="62"/>
      <c r="S427" s="498" t="s">
        <v>957</v>
      </c>
    </row>
    <row r="428" spans="1:19" s="66" customFormat="1" outlineLevel="1" x14ac:dyDescent="0.2">
      <c r="A428" s="58"/>
      <c r="B428" s="59"/>
      <c r="C428" s="62">
        <v>63010300</v>
      </c>
      <c r="D428" s="62" t="s">
        <v>272</v>
      </c>
      <c r="E428" s="63">
        <v>11818.64</v>
      </c>
      <c r="F428" s="63">
        <v>6389.02</v>
      </c>
      <c r="G428" s="63">
        <v>6825.02</v>
      </c>
      <c r="H428" s="63">
        <v>7718.9</v>
      </c>
      <c r="I428" s="63">
        <v>7718.9</v>
      </c>
      <c r="J428" s="63">
        <v>7718.9</v>
      </c>
      <c r="K428" s="63">
        <v>8168.9</v>
      </c>
      <c r="L428" s="63">
        <v>9000.83</v>
      </c>
      <c r="M428" s="63">
        <v>13873.86</v>
      </c>
      <c r="N428" s="63">
        <v>13873.86</v>
      </c>
      <c r="O428" s="63">
        <v>13873.86</v>
      </c>
      <c r="P428" s="63">
        <v>81651.520000000004</v>
      </c>
      <c r="Q428" s="63">
        <v>138163.82999999999</v>
      </c>
      <c r="R428" s="62"/>
      <c r="S428" s="498" t="s">
        <v>957</v>
      </c>
    </row>
    <row r="429" spans="1:19" s="66" customFormat="1" outlineLevel="1" x14ac:dyDescent="0.2">
      <c r="A429" s="58"/>
      <c r="B429" s="59"/>
      <c r="C429" s="62">
        <v>63010302</v>
      </c>
      <c r="D429" s="62" t="s">
        <v>273</v>
      </c>
      <c r="E429" s="63">
        <v>19407.900000000001</v>
      </c>
      <c r="F429" s="63">
        <v>472.13</v>
      </c>
      <c r="G429" s="63">
        <v>839.26</v>
      </c>
      <c r="H429" s="63">
        <v>3090.89</v>
      </c>
      <c r="I429" s="63">
        <v>4494.0200000000004</v>
      </c>
      <c r="J429" s="63">
        <v>4972.1499999999996</v>
      </c>
      <c r="K429" s="63">
        <v>5306.28</v>
      </c>
      <c r="L429" s="63">
        <v>5784.41</v>
      </c>
      <c r="M429" s="63">
        <v>6118.54</v>
      </c>
      <c r="N429" s="63">
        <v>6452.67</v>
      </c>
      <c r="O429" s="63">
        <v>9127.4</v>
      </c>
      <c r="P429" s="63">
        <v>9711.5300000000007</v>
      </c>
      <c r="Q429" s="63">
        <v>10306.66</v>
      </c>
      <c r="R429" s="62"/>
      <c r="S429" s="498" t="s">
        <v>957</v>
      </c>
    </row>
    <row r="430" spans="1:19" s="66" customFormat="1" outlineLevel="1" x14ac:dyDescent="0.2">
      <c r="A430" s="58"/>
      <c r="B430" s="59"/>
      <c r="C430" s="62">
        <v>63010303</v>
      </c>
      <c r="D430" s="62" t="s">
        <v>274</v>
      </c>
      <c r="E430" s="63">
        <v>1130785.3700000001</v>
      </c>
      <c r="F430" s="63">
        <v>77376.13</v>
      </c>
      <c r="G430" s="63">
        <v>191399.17</v>
      </c>
      <c r="H430" s="63">
        <v>298258</v>
      </c>
      <c r="I430" s="63">
        <v>372030.66</v>
      </c>
      <c r="J430" s="63">
        <v>475545.61</v>
      </c>
      <c r="K430" s="63">
        <v>564979.21</v>
      </c>
      <c r="L430" s="63">
        <v>667084.11</v>
      </c>
      <c r="M430" s="63">
        <v>753187.25</v>
      </c>
      <c r="N430" s="63">
        <v>847098.71</v>
      </c>
      <c r="O430" s="63">
        <v>922433.76</v>
      </c>
      <c r="P430" s="63">
        <v>1021777.84</v>
      </c>
      <c r="Q430" s="63">
        <v>1107185.2</v>
      </c>
      <c r="R430" s="62"/>
      <c r="S430" s="498" t="s">
        <v>957</v>
      </c>
    </row>
    <row r="431" spans="1:19" s="66" customFormat="1" outlineLevel="1" x14ac:dyDescent="0.2">
      <c r="A431" s="58"/>
      <c r="B431" s="59"/>
      <c r="C431" s="62">
        <v>63010304</v>
      </c>
      <c r="D431" s="62" t="s">
        <v>275</v>
      </c>
      <c r="E431" s="63">
        <v>159033.4</v>
      </c>
      <c r="F431" s="63">
        <v>11185.92</v>
      </c>
      <c r="G431" s="63">
        <v>30133.49</v>
      </c>
      <c r="H431" s="63">
        <v>46937.94</v>
      </c>
      <c r="I431" s="63">
        <v>62401.8</v>
      </c>
      <c r="J431" s="63">
        <v>73743.759999999995</v>
      </c>
      <c r="K431" s="63">
        <v>87650.3</v>
      </c>
      <c r="L431" s="63">
        <v>101993.16</v>
      </c>
      <c r="M431" s="63">
        <v>116743.44</v>
      </c>
      <c r="N431" s="63">
        <v>132025.01999999999</v>
      </c>
      <c r="O431" s="63">
        <v>146357.04999999999</v>
      </c>
      <c r="P431" s="63">
        <v>159717.88</v>
      </c>
      <c r="Q431" s="63">
        <v>173500.68</v>
      </c>
      <c r="R431" s="62"/>
      <c r="S431" s="498" t="s">
        <v>957</v>
      </c>
    </row>
    <row r="432" spans="1:19" s="66" customFormat="1" outlineLevel="1" x14ac:dyDescent="0.2">
      <c r="A432" s="58"/>
      <c r="B432" s="59"/>
      <c r="C432" s="62">
        <v>63010308</v>
      </c>
      <c r="D432" s="62" t="s">
        <v>276</v>
      </c>
      <c r="E432" s="63">
        <v>43774.93</v>
      </c>
      <c r="F432" s="63">
        <v>4947.41</v>
      </c>
      <c r="G432" s="63">
        <v>13905.41</v>
      </c>
      <c r="H432" s="63">
        <v>14985.41</v>
      </c>
      <c r="I432" s="63">
        <v>14985.41</v>
      </c>
      <c r="J432" s="63">
        <v>22799.88</v>
      </c>
      <c r="K432" s="63">
        <v>22799.88</v>
      </c>
      <c r="L432" s="63">
        <v>6711.19</v>
      </c>
      <c r="M432" s="63">
        <v>22514.6</v>
      </c>
      <c r="N432" s="63">
        <v>22514.6</v>
      </c>
      <c r="O432" s="63">
        <v>22514.6</v>
      </c>
      <c r="P432" s="63">
        <v>22514.6</v>
      </c>
      <c r="Q432" s="63">
        <v>22514.6</v>
      </c>
      <c r="R432" s="62"/>
      <c r="S432" s="498" t="s">
        <v>957</v>
      </c>
    </row>
    <row r="433" spans="1:19" s="66" customFormat="1" outlineLevel="1" x14ac:dyDescent="0.2">
      <c r="A433" s="58"/>
      <c r="B433" s="59"/>
      <c r="C433" s="62">
        <v>63010311</v>
      </c>
      <c r="D433" s="62" t="s">
        <v>277</v>
      </c>
      <c r="E433" s="63">
        <v>68498.64</v>
      </c>
      <c r="F433" s="63">
        <v>6625.8</v>
      </c>
      <c r="G433" s="63">
        <v>16034.8</v>
      </c>
      <c r="H433" s="63">
        <v>19966.23</v>
      </c>
      <c r="I433" s="63">
        <v>27207.9</v>
      </c>
      <c r="J433" s="63">
        <v>35845.019999999997</v>
      </c>
      <c r="K433" s="63">
        <v>41822.81</v>
      </c>
      <c r="L433" s="63">
        <v>13331.57</v>
      </c>
      <c r="M433" s="63">
        <v>51071.21</v>
      </c>
      <c r="N433" s="63">
        <v>51691.519999999997</v>
      </c>
      <c r="O433" s="63">
        <v>56830.18</v>
      </c>
      <c r="P433" s="63">
        <v>58642.16</v>
      </c>
      <c r="Q433" s="63">
        <v>59612.160000000003</v>
      </c>
      <c r="R433" s="62"/>
      <c r="S433" s="498" t="s">
        <v>957</v>
      </c>
    </row>
    <row r="434" spans="1:19" s="66" customFormat="1" outlineLevel="1" x14ac:dyDescent="0.2">
      <c r="A434" s="58"/>
      <c r="B434" s="59"/>
      <c r="C434" s="62">
        <v>63010312</v>
      </c>
      <c r="D434" s="62" t="s">
        <v>278</v>
      </c>
      <c r="E434" s="63">
        <v>13540.44</v>
      </c>
      <c r="F434" s="63">
        <v>1498.05</v>
      </c>
      <c r="G434" s="63">
        <v>2996.1</v>
      </c>
      <c r="H434" s="63">
        <v>4494.1499999999996</v>
      </c>
      <c r="I434" s="63">
        <v>5992.2</v>
      </c>
      <c r="J434" s="63">
        <v>7490.25</v>
      </c>
      <c r="K434" s="63">
        <v>8988.2999999999993</v>
      </c>
      <c r="L434" s="63">
        <v>10486.35</v>
      </c>
      <c r="M434" s="63">
        <v>11984.4</v>
      </c>
      <c r="N434" s="63">
        <v>13482.45</v>
      </c>
      <c r="O434" s="63">
        <v>14980.5</v>
      </c>
      <c r="P434" s="63">
        <v>16478.55</v>
      </c>
      <c r="Q434" s="63">
        <v>17976.599999999999</v>
      </c>
      <c r="R434" s="62"/>
      <c r="S434" s="498" t="s">
        <v>957</v>
      </c>
    </row>
    <row r="435" spans="1:19" s="66" customFormat="1" outlineLevel="1" x14ac:dyDescent="0.2">
      <c r="A435" s="58"/>
      <c r="B435" s="59"/>
      <c r="C435" s="62">
        <v>63010314</v>
      </c>
      <c r="D435" s="62" t="s">
        <v>279</v>
      </c>
      <c r="E435" s="63">
        <v>746063.8</v>
      </c>
      <c r="F435" s="63">
        <v>78436.539999999994</v>
      </c>
      <c r="G435" s="63">
        <v>142260.62</v>
      </c>
      <c r="H435" s="63">
        <v>251749.43</v>
      </c>
      <c r="I435" s="63">
        <v>345100.63</v>
      </c>
      <c r="J435" s="63">
        <v>439952.65</v>
      </c>
      <c r="K435" s="63">
        <v>536075.77</v>
      </c>
      <c r="L435" s="63">
        <v>636142.51</v>
      </c>
      <c r="M435" s="63">
        <v>739212.72</v>
      </c>
      <c r="N435" s="63">
        <v>835587.05</v>
      </c>
      <c r="O435" s="63">
        <v>932669.71</v>
      </c>
      <c r="P435" s="63">
        <v>1029545.42</v>
      </c>
      <c r="Q435" s="63">
        <v>1125443.05</v>
      </c>
      <c r="R435" s="62"/>
      <c r="S435" s="498" t="s">
        <v>957</v>
      </c>
    </row>
    <row r="436" spans="1:19" s="66" customFormat="1" outlineLevel="1" x14ac:dyDescent="0.2">
      <c r="A436" s="58"/>
      <c r="B436" s="59"/>
      <c r="C436" s="62">
        <v>63010316</v>
      </c>
      <c r="D436" s="62" t="s">
        <v>280</v>
      </c>
      <c r="E436" s="63">
        <v>945915.1</v>
      </c>
      <c r="F436" s="63">
        <v>76853.789999999994</v>
      </c>
      <c r="G436" s="63">
        <v>136922.84000000119</v>
      </c>
      <c r="H436" s="63">
        <v>347951.49</v>
      </c>
      <c r="I436" s="63">
        <v>414866.15</v>
      </c>
      <c r="J436" s="63">
        <v>481325.49</v>
      </c>
      <c r="K436" s="63">
        <v>582037.97</v>
      </c>
      <c r="L436" s="63">
        <v>716613.2</v>
      </c>
      <c r="M436" s="63">
        <v>783475.87</v>
      </c>
      <c r="N436" s="63">
        <v>936377.05</v>
      </c>
      <c r="O436" s="63">
        <v>1047816.6</v>
      </c>
      <c r="P436" s="63">
        <v>1232427.2</v>
      </c>
      <c r="Q436" s="63">
        <v>1281482.44</v>
      </c>
      <c r="R436" s="62"/>
      <c r="S436" s="498" t="s">
        <v>957</v>
      </c>
    </row>
    <row r="437" spans="1:19" s="66" customFormat="1" outlineLevel="1" x14ac:dyDescent="0.2">
      <c r="A437" s="58"/>
      <c r="B437" s="59"/>
      <c r="C437" s="62">
        <v>63010317</v>
      </c>
      <c r="D437" s="62" t="s">
        <v>281</v>
      </c>
      <c r="E437" s="63"/>
      <c r="F437" s="63">
        <v>743892.55999999866</v>
      </c>
      <c r="G437" s="63">
        <v>743892.55999999866</v>
      </c>
      <c r="H437" s="63">
        <v>743892.55999999866</v>
      </c>
      <c r="I437" s="63">
        <v>743892.55999999866</v>
      </c>
      <c r="J437" s="63">
        <v>743892.55999999866</v>
      </c>
      <c r="K437" s="63">
        <v>743892.55999999866</v>
      </c>
      <c r="L437" s="63">
        <v>743892.55999999866</v>
      </c>
      <c r="M437" s="63">
        <v>743892.55999999866</v>
      </c>
      <c r="N437" s="63">
        <v>743892.55999999866</v>
      </c>
      <c r="O437" s="63">
        <v>743892.55999999866</v>
      </c>
      <c r="P437" s="63">
        <v>743892.55999999866</v>
      </c>
      <c r="Q437" s="63">
        <v>743892.55999999866</v>
      </c>
      <c r="R437" s="62"/>
      <c r="S437" s="498" t="s">
        <v>957</v>
      </c>
    </row>
    <row r="438" spans="1:19" s="66" customFormat="1" outlineLevel="1" x14ac:dyDescent="0.2">
      <c r="A438" s="58"/>
      <c r="B438" s="59"/>
      <c r="C438" s="62">
        <v>63010318</v>
      </c>
      <c r="D438" s="62" t="s">
        <v>282</v>
      </c>
      <c r="E438" s="63">
        <v>368195.06</v>
      </c>
      <c r="F438" s="63">
        <v>30468.799999999999</v>
      </c>
      <c r="G438" s="63">
        <v>68554.8</v>
      </c>
      <c r="H438" s="63">
        <v>108544.8</v>
      </c>
      <c r="I438" s="63">
        <v>148534.79999999999</v>
      </c>
      <c r="J438" s="63">
        <v>188143.8</v>
      </c>
      <c r="K438" s="63">
        <v>227752.8</v>
      </c>
      <c r="L438" s="63">
        <v>267361.8</v>
      </c>
      <c r="M438" s="63">
        <v>306970.8</v>
      </c>
      <c r="N438" s="63">
        <v>346579.8</v>
      </c>
      <c r="O438" s="63">
        <v>386188.79999999999</v>
      </c>
      <c r="P438" s="63">
        <v>425797.8</v>
      </c>
      <c r="Q438" s="63">
        <v>465406.8</v>
      </c>
      <c r="R438" s="62"/>
      <c r="S438" s="498" t="s">
        <v>957</v>
      </c>
    </row>
    <row r="439" spans="1:19" s="66" customFormat="1" outlineLevel="1" x14ac:dyDescent="0.2">
      <c r="A439" s="58"/>
      <c r="B439" s="59"/>
      <c r="C439" s="62">
        <v>63010321</v>
      </c>
      <c r="D439" s="62" t="s">
        <v>283</v>
      </c>
      <c r="E439" s="63">
        <v>166306.98000000001</v>
      </c>
      <c r="F439" s="63">
        <v>8408.85</v>
      </c>
      <c r="G439" s="63">
        <v>14688.85</v>
      </c>
      <c r="H439" s="63">
        <v>35360.46</v>
      </c>
      <c r="I439" s="63">
        <v>49819.92</v>
      </c>
      <c r="J439" s="63">
        <v>58835.88</v>
      </c>
      <c r="K439" s="63">
        <v>84576.62</v>
      </c>
      <c r="L439" s="63">
        <v>95307.26</v>
      </c>
      <c r="M439" s="63">
        <v>103567.9</v>
      </c>
      <c r="N439" s="63">
        <v>114077.91</v>
      </c>
      <c r="O439" s="63">
        <v>121922.31</v>
      </c>
      <c r="P439" s="63">
        <v>130572.31</v>
      </c>
      <c r="Q439" s="63">
        <v>143600.39000000001</v>
      </c>
      <c r="R439" s="62"/>
      <c r="S439" s="498" t="s">
        <v>957</v>
      </c>
    </row>
    <row r="440" spans="1:19" s="66" customFormat="1" outlineLevel="1" x14ac:dyDescent="0.2">
      <c r="A440" s="58"/>
      <c r="B440" s="59"/>
      <c r="C440" s="62">
        <v>63010322</v>
      </c>
      <c r="D440" s="62" t="s">
        <v>284</v>
      </c>
      <c r="E440" s="63">
        <v>27927.72</v>
      </c>
      <c r="F440" s="63">
        <v>3080</v>
      </c>
      <c r="G440" s="63">
        <v>29956.1</v>
      </c>
      <c r="H440" s="63">
        <v>31206.5</v>
      </c>
      <c r="I440" s="63">
        <v>32456.9</v>
      </c>
      <c r="J440" s="63">
        <v>39476.519999999997</v>
      </c>
      <c r="K440" s="63">
        <v>40726.92</v>
      </c>
      <c r="L440" s="63">
        <v>38897.32</v>
      </c>
      <c r="M440" s="63">
        <v>43227.72</v>
      </c>
      <c r="N440" s="63">
        <v>44478.12</v>
      </c>
      <c r="O440" s="63">
        <v>45728.52</v>
      </c>
      <c r="P440" s="63">
        <v>46978.92</v>
      </c>
      <c r="Q440" s="63">
        <v>48229.32</v>
      </c>
      <c r="R440" s="69"/>
      <c r="S440" s="498" t="s">
        <v>957</v>
      </c>
    </row>
    <row r="441" spans="1:19" s="66" customFormat="1" outlineLevel="1" x14ac:dyDescent="0.2">
      <c r="A441" s="58"/>
      <c r="B441" s="59"/>
      <c r="C441" s="62">
        <v>63010323</v>
      </c>
      <c r="D441" s="62" t="s">
        <v>285</v>
      </c>
      <c r="E441" s="63">
        <v>100805.58</v>
      </c>
      <c r="F441" s="63">
        <v>23812.46</v>
      </c>
      <c r="G441" s="63">
        <v>24257.72</v>
      </c>
      <c r="H441" s="63">
        <v>24971.65</v>
      </c>
      <c r="I441" s="63">
        <v>44199.4</v>
      </c>
      <c r="J441" s="63">
        <v>53085.64</v>
      </c>
      <c r="K441" s="63">
        <v>55085.64</v>
      </c>
      <c r="L441" s="63">
        <v>27192.57</v>
      </c>
      <c r="M441" s="63">
        <v>51632.5</v>
      </c>
      <c r="N441" s="63">
        <v>56871.12</v>
      </c>
      <c r="O441" s="63">
        <v>61032.47</v>
      </c>
      <c r="P441" s="63">
        <v>66463.509999999995</v>
      </c>
      <c r="Q441" s="63">
        <v>69635.06</v>
      </c>
      <c r="R441" s="62"/>
      <c r="S441" s="498" t="s">
        <v>957</v>
      </c>
    </row>
    <row r="442" spans="1:19" s="66" customFormat="1" outlineLevel="1" x14ac:dyDescent="0.2">
      <c r="A442" s="58"/>
      <c r="B442" s="59"/>
      <c r="C442" s="62">
        <v>63010324</v>
      </c>
      <c r="D442" s="62" t="s">
        <v>286</v>
      </c>
      <c r="E442" s="63">
        <v>322104.73</v>
      </c>
      <c r="F442" s="63">
        <v>19241.009999999998</v>
      </c>
      <c r="G442" s="63">
        <v>43636.03</v>
      </c>
      <c r="H442" s="63">
        <v>76064.06</v>
      </c>
      <c r="I442" s="63">
        <v>98538.240000000005</v>
      </c>
      <c r="J442" s="63">
        <v>121898.71</v>
      </c>
      <c r="K442" s="63">
        <v>150512.76</v>
      </c>
      <c r="L442" s="63">
        <v>15275.2</v>
      </c>
      <c r="M442" s="63">
        <v>181298.04</v>
      </c>
      <c r="N442" s="63">
        <v>219010.4</v>
      </c>
      <c r="O442" s="63">
        <v>241980.59</v>
      </c>
      <c r="P442" s="63">
        <v>267616.46000000002</v>
      </c>
      <c r="Q442" s="63">
        <v>309007.34000000003</v>
      </c>
      <c r="R442" s="62"/>
      <c r="S442" s="498" t="s">
        <v>957</v>
      </c>
    </row>
    <row r="443" spans="1:19" s="66" customFormat="1" outlineLevel="1" x14ac:dyDescent="0.2">
      <c r="A443" s="58"/>
      <c r="B443" s="59"/>
      <c r="C443" s="62">
        <v>63010326</v>
      </c>
      <c r="D443" s="62" t="s">
        <v>287</v>
      </c>
      <c r="E443" s="63">
        <v>6280</v>
      </c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2"/>
      <c r="S443" s="498" t="s">
        <v>957</v>
      </c>
    </row>
    <row r="444" spans="1:19" s="66" customFormat="1" outlineLevel="1" x14ac:dyDescent="0.2">
      <c r="A444" s="58"/>
      <c r="B444" s="59"/>
      <c r="C444" s="62">
        <v>63010328</v>
      </c>
      <c r="D444" s="62" t="s">
        <v>163</v>
      </c>
      <c r="E444" s="63">
        <v>741768.53</v>
      </c>
      <c r="F444" s="63">
        <v>55957.32</v>
      </c>
      <c r="G444" s="63">
        <v>123910.08</v>
      </c>
      <c r="H444" s="63">
        <v>193069.83</v>
      </c>
      <c r="I444" s="63">
        <v>257167.09</v>
      </c>
      <c r="J444" s="63">
        <v>322320.76</v>
      </c>
      <c r="K444" s="63">
        <v>388881.45</v>
      </c>
      <c r="L444" s="63">
        <v>456224.92</v>
      </c>
      <c r="M444" s="63">
        <v>521665.07</v>
      </c>
      <c r="N444" s="63">
        <v>588880.52</v>
      </c>
      <c r="O444" s="63">
        <v>657388.34</v>
      </c>
      <c r="P444" s="63">
        <v>721907.91</v>
      </c>
      <c r="Q444" s="63">
        <v>787373</v>
      </c>
      <c r="R444" s="62"/>
      <c r="S444" s="498" t="s">
        <v>957</v>
      </c>
    </row>
    <row r="445" spans="1:19" s="66" customFormat="1" outlineLevel="1" x14ac:dyDescent="0.2">
      <c r="A445" s="58"/>
      <c r="B445" s="59"/>
      <c r="C445" s="62">
        <v>63010332</v>
      </c>
      <c r="D445" s="62" t="s">
        <v>288</v>
      </c>
      <c r="E445" s="63">
        <v>2340471</v>
      </c>
      <c r="F445" s="63">
        <v>29120.480000000593</v>
      </c>
      <c r="G445" s="63">
        <f>+F445</f>
        <v>29120.480000000593</v>
      </c>
      <c r="H445" s="63">
        <v>233697</v>
      </c>
      <c r="I445" s="63">
        <v>462561</v>
      </c>
      <c r="J445" s="63">
        <v>698356</v>
      </c>
      <c r="K445" s="63">
        <f>1071270-0.14</f>
        <v>1071269.8600000001</v>
      </c>
      <c r="L445" s="63">
        <v>1300608</v>
      </c>
      <c r="M445" s="63">
        <v>1557528.88</v>
      </c>
      <c r="N445" s="63">
        <v>1789095.34</v>
      </c>
      <c r="O445" s="63">
        <v>1945087.6</v>
      </c>
      <c r="P445" s="63">
        <v>2101079.86</v>
      </c>
      <c r="Q445" s="63">
        <v>2257072.12</v>
      </c>
      <c r="R445" s="62"/>
      <c r="S445" s="498" t="s">
        <v>957</v>
      </c>
    </row>
    <row r="446" spans="1:19" s="66" customFormat="1" outlineLevel="1" x14ac:dyDescent="0.2">
      <c r="A446" s="58"/>
      <c r="B446" s="59"/>
      <c r="C446" s="62">
        <v>63010334</v>
      </c>
      <c r="D446" s="62" t="s">
        <v>289</v>
      </c>
      <c r="E446" s="63">
        <v>4637060.4799999958</v>
      </c>
      <c r="F446" s="63"/>
      <c r="G446" s="63"/>
      <c r="H446" s="63"/>
      <c r="I446" s="63"/>
      <c r="J446" s="63"/>
      <c r="K446" s="63"/>
      <c r="L446" s="63">
        <v>680</v>
      </c>
      <c r="M446" s="63">
        <v>1360</v>
      </c>
      <c r="N446" s="63">
        <v>1360</v>
      </c>
      <c r="O446" s="63">
        <v>14359.25</v>
      </c>
      <c r="P446" s="63">
        <v>14359.25</v>
      </c>
      <c r="Q446" s="63">
        <v>14531.67</v>
      </c>
      <c r="R446" s="62"/>
      <c r="S446" s="498" t="s">
        <v>957</v>
      </c>
    </row>
    <row r="447" spans="1:19" s="66" customFormat="1" outlineLevel="1" x14ac:dyDescent="0.2">
      <c r="A447" s="58"/>
      <c r="B447" s="59"/>
      <c r="C447" s="62">
        <v>63010336</v>
      </c>
      <c r="D447" s="62" t="s">
        <v>290</v>
      </c>
      <c r="E447" s="63">
        <v>11032.81</v>
      </c>
      <c r="F447" s="63"/>
      <c r="G447" s="63"/>
      <c r="H447" s="63"/>
      <c r="I447" s="63"/>
      <c r="J447" s="63"/>
      <c r="K447" s="63">
        <v>3816.2</v>
      </c>
      <c r="L447" s="63">
        <v>3816.2</v>
      </c>
      <c r="M447" s="63">
        <v>3816.2</v>
      </c>
      <c r="N447" s="63">
        <v>3816.2</v>
      </c>
      <c r="O447" s="63">
        <v>3816.2</v>
      </c>
      <c r="P447" s="63">
        <v>3816.2</v>
      </c>
      <c r="Q447" s="63">
        <v>3816.2</v>
      </c>
      <c r="R447" s="62"/>
      <c r="S447" s="498" t="s">
        <v>957</v>
      </c>
    </row>
    <row r="448" spans="1:19" s="66" customFormat="1" outlineLevel="1" x14ac:dyDescent="0.2">
      <c r="A448" s="58"/>
      <c r="B448" s="59"/>
      <c r="C448" s="62">
        <v>63010337</v>
      </c>
      <c r="D448" s="62" t="s">
        <v>291</v>
      </c>
      <c r="E448" s="63">
        <v>140178.97</v>
      </c>
      <c r="F448" s="63">
        <v>5063.3900000000003</v>
      </c>
      <c r="G448" s="63">
        <v>11398.45</v>
      </c>
      <c r="H448" s="63">
        <v>17097.68</v>
      </c>
      <c r="I448" s="63">
        <v>23103.29</v>
      </c>
      <c r="J448" s="63">
        <v>29108.9</v>
      </c>
      <c r="K448" s="63">
        <v>37710.75</v>
      </c>
      <c r="L448" s="63">
        <v>10653.39</v>
      </c>
      <c r="M448" s="63">
        <v>56245.95</v>
      </c>
      <c r="N448" s="63">
        <v>66672.350000000006</v>
      </c>
      <c r="O448" s="63">
        <v>77511.09</v>
      </c>
      <c r="P448" s="63">
        <v>90126.5</v>
      </c>
      <c r="Q448" s="63">
        <v>103933.29</v>
      </c>
      <c r="R448" s="62"/>
      <c r="S448" s="498" t="s">
        <v>957</v>
      </c>
    </row>
    <row r="449" spans="1:19" s="66" customFormat="1" outlineLevel="1" x14ac:dyDescent="0.2">
      <c r="A449" s="58"/>
      <c r="B449" s="59"/>
      <c r="C449" s="62">
        <v>63010347</v>
      </c>
      <c r="D449" s="62" t="s">
        <v>292</v>
      </c>
      <c r="E449" s="63">
        <v>9438.9699999999993</v>
      </c>
      <c r="F449" s="63">
        <v>2144.84</v>
      </c>
      <c r="G449" s="63">
        <v>3134.32</v>
      </c>
      <c r="H449" s="63">
        <v>4098</v>
      </c>
      <c r="I449" s="63">
        <v>4891.03</v>
      </c>
      <c r="J449" s="63">
        <v>5128.13</v>
      </c>
      <c r="K449" s="63">
        <v>5736.75</v>
      </c>
      <c r="L449" s="63">
        <v>6785.69</v>
      </c>
      <c r="M449" s="63">
        <v>8140.22</v>
      </c>
      <c r="N449" s="63">
        <v>8418.7000000000007</v>
      </c>
      <c r="O449" s="63">
        <v>10149.92</v>
      </c>
      <c r="P449" s="63">
        <v>10149.92</v>
      </c>
      <c r="Q449" s="63">
        <v>11952.15</v>
      </c>
      <c r="R449" s="62"/>
      <c r="S449" s="498" t="s">
        <v>957</v>
      </c>
    </row>
    <row r="450" spans="1:19" s="66" customFormat="1" outlineLevel="1" x14ac:dyDescent="0.2">
      <c r="A450" s="58"/>
      <c r="B450" s="59"/>
      <c r="C450" s="62">
        <v>63010352</v>
      </c>
      <c r="D450" s="62" t="s">
        <v>293</v>
      </c>
      <c r="E450" s="63">
        <v>11366.32</v>
      </c>
      <c r="F450" s="63">
        <v>11676</v>
      </c>
      <c r="G450" s="63">
        <v>11676</v>
      </c>
      <c r="H450" s="63">
        <v>11676</v>
      </c>
      <c r="I450" s="63">
        <v>11676</v>
      </c>
      <c r="J450" s="63">
        <v>11676</v>
      </c>
      <c r="K450" s="63">
        <v>15434</v>
      </c>
      <c r="L450" s="63">
        <v>15434</v>
      </c>
      <c r="M450" s="63">
        <v>15434</v>
      </c>
      <c r="N450" s="63">
        <v>15434</v>
      </c>
      <c r="O450" s="63">
        <v>15434</v>
      </c>
      <c r="P450" s="63">
        <v>15434</v>
      </c>
      <c r="Q450" s="63">
        <v>15434</v>
      </c>
      <c r="R450" s="62"/>
      <c r="S450" s="498" t="s">
        <v>957</v>
      </c>
    </row>
    <row r="451" spans="1:19" s="66" customFormat="1" outlineLevel="1" x14ac:dyDescent="0.2">
      <c r="A451" s="58"/>
      <c r="B451" s="59"/>
      <c r="C451" s="62">
        <v>63010355</v>
      </c>
      <c r="D451" s="62" t="s">
        <v>164</v>
      </c>
      <c r="E451" s="63">
        <v>151600.64000000001</v>
      </c>
      <c r="F451" s="63">
        <v>10790.4</v>
      </c>
      <c r="G451" s="63">
        <v>21580.799999999999</v>
      </c>
      <c r="H451" s="63">
        <v>43480.2</v>
      </c>
      <c r="I451" s="63">
        <v>54670</v>
      </c>
      <c r="J451" s="63">
        <v>66605</v>
      </c>
      <c r="K451" s="63">
        <v>77304</v>
      </c>
      <c r="L451" s="63">
        <v>84820.53</v>
      </c>
      <c r="M451" s="63">
        <v>91985.1</v>
      </c>
      <c r="N451" s="63">
        <v>100360.7</v>
      </c>
      <c r="O451" s="63">
        <v>108002.24000000001</v>
      </c>
      <c r="P451" s="63">
        <v>115625.37</v>
      </c>
      <c r="Q451" s="63">
        <v>128977.85</v>
      </c>
      <c r="R451" s="62"/>
      <c r="S451" s="498" t="s">
        <v>957</v>
      </c>
    </row>
    <row r="452" spans="1:19" s="66" customFormat="1" outlineLevel="1" x14ac:dyDescent="0.2">
      <c r="A452" s="58"/>
      <c r="B452" s="59"/>
      <c r="C452" s="62">
        <v>63010356</v>
      </c>
      <c r="D452" s="62" t="s">
        <v>295</v>
      </c>
      <c r="E452" s="63">
        <v>67623.789999999994</v>
      </c>
      <c r="F452" s="63">
        <v>2407.48</v>
      </c>
      <c r="G452" s="63">
        <v>10646.94</v>
      </c>
      <c r="H452" s="63">
        <v>16974.96</v>
      </c>
      <c r="I452" s="63">
        <v>34416.199999999997</v>
      </c>
      <c r="J452" s="63">
        <v>37573.11</v>
      </c>
      <c r="K452" s="63">
        <v>42401.69</v>
      </c>
      <c r="L452" s="63">
        <v>44902.97</v>
      </c>
      <c r="M452" s="63">
        <v>48457.66</v>
      </c>
      <c r="N452" s="63">
        <v>51638.59</v>
      </c>
      <c r="O452" s="63">
        <v>55876.77</v>
      </c>
      <c r="P452" s="63">
        <v>61300.69</v>
      </c>
      <c r="Q452" s="63">
        <v>69709.36</v>
      </c>
      <c r="R452" s="62"/>
      <c r="S452" s="498" t="s">
        <v>957</v>
      </c>
    </row>
    <row r="453" spans="1:19" s="66" customFormat="1" outlineLevel="1" x14ac:dyDescent="0.2">
      <c r="A453" s="58"/>
      <c r="B453" s="59"/>
      <c r="C453" s="62">
        <v>63010357</v>
      </c>
      <c r="D453" s="62" t="s">
        <v>296</v>
      </c>
      <c r="E453" s="63">
        <v>193697.81</v>
      </c>
      <c r="F453" s="63">
        <v>16968.86</v>
      </c>
      <c r="G453" s="63">
        <v>33421.67</v>
      </c>
      <c r="H453" s="63">
        <v>60043.82</v>
      </c>
      <c r="I453" s="63">
        <v>71995.62</v>
      </c>
      <c r="J453" s="63">
        <v>88508.92</v>
      </c>
      <c r="K453" s="63">
        <v>103451.35</v>
      </c>
      <c r="L453" s="63">
        <v>129403.04</v>
      </c>
      <c r="M453" s="63">
        <v>144896.64000000001</v>
      </c>
      <c r="N453" s="63">
        <v>166137.20000000001</v>
      </c>
      <c r="O453" s="63">
        <v>202213.8</v>
      </c>
      <c r="P453" s="63">
        <v>231447.36</v>
      </c>
      <c r="Q453" s="63">
        <v>252025.60000000001</v>
      </c>
      <c r="R453" s="62"/>
      <c r="S453" s="498" t="s">
        <v>957</v>
      </c>
    </row>
    <row r="454" spans="1:19" s="66" customFormat="1" outlineLevel="1" x14ac:dyDescent="0.2">
      <c r="A454" s="58"/>
      <c r="B454" s="59"/>
      <c r="C454" s="62">
        <v>63010360</v>
      </c>
      <c r="D454" s="62" t="s">
        <v>297</v>
      </c>
      <c r="E454" s="63">
        <v>696799.96</v>
      </c>
      <c r="F454" s="63">
        <v>38836.83</v>
      </c>
      <c r="G454" s="63">
        <v>106646.85</v>
      </c>
      <c r="H454" s="63">
        <v>174450.5</v>
      </c>
      <c r="I454" s="63">
        <v>212083.76</v>
      </c>
      <c r="J454" s="63">
        <v>275178.76</v>
      </c>
      <c r="K454" s="63">
        <v>317586.09999999998</v>
      </c>
      <c r="L454" s="63">
        <v>380782.23</v>
      </c>
      <c r="M454" s="63">
        <v>443978.39</v>
      </c>
      <c r="N454" s="63">
        <v>507193.69</v>
      </c>
      <c r="O454" s="63">
        <v>570426.46</v>
      </c>
      <c r="P454" s="63">
        <v>633586.12</v>
      </c>
      <c r="Q454" s="63">
        <v>696799.96</v>
      </c>
      <c r="R454" s="68"/>
      <c r="S454" s="498" t="s">
        <v>957</v>
      </c>
    </row>
    <row r="455" spans="1:19" s="66" customFormat="1" outlineLevel="1" x14ac:dyDescent="0.2">
      <c r="A455" s="58"/>
      <c r="B455" s="59"/>
      <c r="C455" s="62">
        <v>63010361</v>
      </c>
      <c r="D455" s="62" t="s">
        <v>172</v>
      </c>
      <c r="E455" s="63">
        <v>1908780.39</v>
      </c>
      <c r="F455" s="63">
        <v>126667</v>
      </c>
      <c r="G455" s="63">
        <v>224213.51999999274</v>
      </c>
      <c r="H455" s="63">
        <v>522556.03</v>
      </c>
      <c r="I455" s="63">
        <v>690222.03</v>
      </c>
      <c r="J455" s="63">
        <v>857888.9</v>
      </c>
      <c r="K455" s="63">
        <v>1333035.77</v>
      </c>
      <c r="L455" s="63">
        <v>1555035.77</v>
      </c>
      <c r="M455" s="63">
        <v>1777035.77</v>
      </c>
      <c r="N455" s="63">
        <v>1712760.08</v>
      </c>
      <c r="O455" s="63">
        <v>1878760.08</v>
      </c>
      <c r="P455" s="63">
        <v>2044760.08</v>
      </c>
      <c r="Q455" s="63">
        <v>2365819.75</v>
      </c>
      <c r="R455" s="62"/>
      <c r="S455" s="498" t="s">
        <v>957</v>
      </c>
    </row>
    <row r="456" spans="1:19" s="66" customFormat="1" outlineLevel="1" x14ac:dyDescent="0.2">
      <c r="A456" s="58"/>
      <c r="B456" s="59"/>
      <c r="C456" s="62"/>
      <c r="D456" s="62" t="s">
        <v>2</v>
      </c>
      <c r="E456" s="63" t="s">
        <v>264</v>
      </c>
      <c r="F456" s="63" t="s">
        <v>264</v>
      </c>
      <c r="G456" s="63" t="s">
        <v>264</v>
      </c>
      <c r="H456" s="63" t="s">
        <v>264</v>
      </c>
      <c r="I456" s="63" t="s">
        <v>264</v>
      </c>
      <c r="J456" s="63" t="s">
        <v>264</v>
      </c>
      <c r="K456" s="63" t="s">
        <v>264</v>
      </c>
      <c r="L456" s="63" t="s">
        <v>264</v>
      </c>
      <c r="M456" s="63" t="s">
        <v>264</v>
      </c>
      <c r="N456" s="63" t="s">
        <v>264</v>
      </c>
      <c r="O456" s="63" t="s">
        <v>264</v>
      </c>
      <c r="P456" s="63" t="s">
        <v>264</v>
      </c>
      <c r="Q456" s="63" t="s">
        <v>264</v>
      </c>
      <c r="R456" s="62"/>
      <c r="S456" s="62"/>
    </row>
    <row r="457" spans="1:19" s="66" customFormat="1" x14ac:dyDescent="0.2">
      <c r="A457" s="58"/>
      <c r="B457" s="59"/>
      <c r="C457" s="64" t="s">
        <v>166</v>
      </c>
      <c r="D457" s="64" t="s">
        <v>165</v>
      </c>
      <c r="E457" s="65">
        <f t="shared" ref="E457:Q457" si="56">SUM(E418:E455)</f>
        <v>21098542.719999995</v>
      </c>
      <c r="F457" s="65">
        <f t="shared" si="56"/>
        <v>1923854.72</v>
      </c>
      <c r="G457" s="65">
        <f t="shared" si="56"/>
        <v>3094400.5599999931</v>
      </c>
      <c r="H457" s="65">
        <f t="shared" si="56"/>
        <v>4810606.5999999987</v>
      </c>
      <c r="I457" s="65">
        <f t="shared" si="56"/>
        <v>6190940.0899999999</v>
      </c>
      <c r="J457" s="65">
        <f t="shared" si="56"/>
        <v>7685254.9899999974</v>
      </c>
      <c r="K457" s="65">
        <f t="shared" si="56"/>
        <v>9585850.4599999972</v>
      </c>
      <c r="L457" s="65">
        <f t="shared" si="56"/>
        <v>11073602.949999997</v>
      </c>
      <c r="M457" s="65">
        <f t="shared" si="56"/>
        <v>12971150.189999998</v>
      </c>
      <c r="N457" s="65">
        <f t="shared" si="56"/>
        <v>14805319.279999994</v>
      </c>
      <c r="O457" s="65">
        <f t="shared" si="56"/>
        <v>16370050.85</v>
      </c>
      <c r="P457" s="65">
        <f t="shared" si="56"/>
        <v>18019393.349999994</v>
      </c>
      <c r="Q457" s="65">
        <f t="shared" si="56"/>
        <v>19445864.890000001</v>
      </c>
      <c r="R457" s="62"/>
      <c r="S457" s="62"/>
    </row>
    <row r="458" spans="1:19" outlineLevel="1" x14ac:dyDescent="0.2">
      <c r="D458" s="62" t="s">
        <v>2</v>
      </c>
      <c r="E458" s="63" t="s">
        <v>264</v>
      </c>
      <c r="F458" s="63" t="s">
        <v>264</v>
      </c>
      <c r="G458" s="63" t="s">
        <v>264</v>
      </c>
      <c r="H458" s="63" t="s">
        <v>264</v>
      </c>
      <c r="I458" s="63" t="s">
        <v>264</v>
      </c>
      <c r="J458" s="63" t="s">
        <v>264</v>
      </c>
      <c r="K458" s="63" t="s">
        <v>264</v>
      </c>
      <c r="L458" s="63" t="s">
        <v>264</v>
      </c>
      <c r="M458" s="63" t="s">
        <v>264</v>
      </c>
      <c r="N458" s="63" t="s">
        <v>264</v>
      </c>
      <c r="O458" s="63" t="s">
        <v>264</v>
      </c>
      <c r="P458" s="63" t="s">
        <v>264</v>
      </c>
      <c r="Q458" s="63" t="s">
        <v>264</v>
      </c>
    </row>
    <row r="459" spans="1:19" x14ac:dyDescent="0.2">
      <c r="C459" s="151" t="s">
        <v>167</v>
      </c>
      <c r="D459" s="151" t="s">
        <v>165</v>
      </c>
      <c r="E459" s="70">
        <f t="shared" ref="E459:P459" si="57">+E457</f>
        <v>21098542.719999995</v>
      </c>
      <c r="F459" s="70">
        <f t="shared" si="57"/>
        <v>1923854.72</v>
      </c>
      <c r="G459" s="70">
        <f t="shared" si="57"/>
        <v>3094400.5599999931</v>
      </c>
      <c r="H459" s="70">
        <f t="shared" si="57"/>
        <v>4810606.5999999987</v>
      </c>
      <c r="I459" s="70">
        <f t="shared" si="57"/>
        <v>6190940.0899999999</v>
      </c>
      <c r="J459" s="70">
        <f t="shared" si="57"/>
        <v>7685254.9899999974</v>
      </c>
      <c r="K459" s="70">
        <f t="shared" si="57"/>
        <v>9585850.4599999972</v>
      </c>
      <c r="L459" s="70">
        <f t="shared" si="57"/>
        <v>11073602.949999997</v>
      </c>
      <c r="M459" s="70">
        <f t="shared" si="57"/>
        <v>12971150.189999998</v>
      </c>
      <c r="N459" s="70">
        <f t="shared" si="57"/>
        <v>14805319.279999994</v>
      </c>
      <c r="O459" s="70">
        <f t="shared" si="57"/>
        <v>16370050.85</v>
      </c>
      <c r="P459" s="70">
        <f t="shared" si="57"/>
        <v>18019393.349999994</v>
      </c>
      <c r="Q459" s="70">
        <f>+Q457</f>
        <v>19445864.890000001</v>
      </c>
    </row>
    <row r="460" spans="1:19" outlineLevel="1" x14ac:dyDescent="0.2">
      <c r="D460" s="62" t="s">
        <v>2</v>
      </c>
    </row>
    <row r="461" spans="1:19" s="66" customFormat="1" outlineLevel="1" x14ac:dyDescent="0.2">
      <c r="A461" s="58"/>
      <c r="B461" s="59"/>
      <c r="C461" s="62">
        <v>65</v>
      </c>
      <c r="D461" s="62" t="s">
        <v>168</v>
      </c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2"/>
      <c r="S461" s="62"/>
    </row>
    <row r="462" spans="1:19" s="66" customFormat="1" outlineLevel="1" x14ac:dyDescent="0.2">
      <c r="A462" s="58"/>
      <c r="B462" s="59"/>
      <c r="C462" s="62">
        <v>6501</v>
      </c>
      <c r="D462" s="62" t="s">
        <v>168</v>
      </c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2"/>
      <c r="S462" s="62"/>
    </row>
    <row r="463" spans="1:19" s="66" customFormat="1" outlineLevel="1" x14ac:dyDescent="0.2">
      <c r="A463" s="58"/>
      <c r="B463" s="59"/>
      <c r="C463" s="62">
        <v>65010111</v>
      </c>
      <c r="D463" s="62" t="s">
        <v>268</v>
      </c>
      <c r="E463" s="63">
        <v>5908275.5599999996</v>
      </c>
      <c r="F463" s="63">
        <v>526184.99</v>
      </c>
      <c r="G463" s="63">
        <v>1283270.8899999999</v>
      </c>
      <c r="H463" s="63">
        <v>1930763.76</v>
      </c>
      <c r="I463" s="63">
        <v>2542159.4300000002</v>
      </c>
      <c r="J463" s="63">
        <v>3302731.77</v>
      </c>
      <c r="K463" s="63">
        <v>4064897.83</v>
      </c>
      <c r="L463" s="63">
        <v>4794361.1100000003</v>
      </c>
      <c r="M463" s="63">
        <v>5635532.3899999997</v>
      </c>
      <c r="N463" s="63">
        <v>6457637.4199999999</v>
      </c>
      <c r="O463" s="63">
        <v>7236793.4199999999</v>
      </c>
      <c r="P463" s="63">
        <v>8019011.2800000003</v>
      </c>
      <c r="Q463" s="63">
        <v>8586268.6500000004</v>
      </c>
      <c r="R463" s="68"/>
      <c r="S463" s="498" t="s">
        <v>957</v>
      </c>
    </row>
    <row r="464" spans="1:19" s="66" customFormat="1" outlineLevel="1" x14ac:dyDescent="0.2">
      <c r="A464" s="58"/>
      <c r="B464" s="59"/>
      <c r="C464" s="62">
        <v>65010212</v>
      </c>
      <c r="D464" s="62" t="s">
        <v>270</v>
      </c>
      <c r="E464" s="63">
        <v>8769.83</v>
      </c>
      <c r="F464" s="63">
        <v>730.82</v>
      </c>
      <c r="G464" s="63">
        <v>1366.22</v>
      </c>
      <c r="H464" s="63">
        <v>1906.21</v>
      </c>
      <c r="I464" s="63">
        <v>2541.61</v>
      </c>
      <c r="J464" s="63">
        <v>3177.01</v>
      </c>
      <c r="K464" s="63">
        <v>3812.41</v>
      </c>
      <c r="L464" s="63">
        <v>7950.81</v>
      </c>
      <c r="M464" s="63">
        <v>10688.51</v>
      </c>
      <c r="N464" s="63">
        <v>14126.56</v>
      </c>
      <c r="O464" s="63">
        <v>17564.61</v>
      </c>
      <c r="P464" s="63">
        <v>21002.66</v>
      </c>
      <c r="Q464" s="63">
        <v>91863.31</v>
      </c>
      <c r="R464" s="62"/>
      <c r="S464" s="498" t="s">
        <v>957</v>
      </c>
    </row>
    <row r="465" spans="1:19" s="66" customFormat="1" outlineLevel="1" x14ac:dyDescent="0.2">
      <c r="A465" s="58"/>
      <c r="B465" s="59"/>
      <c r="C465" s="62">
        <v>65010213</v>
      </c>
      <c r="D465" s="62" t="s">
        <v>158</v>
      </c>
      <c r="E465" s="63">
        <v>76087</v>
      </c>
      <c r="F465" s="63">
        <v>6167</v>
      </c>
      <c r="G465" s="63">
        <v>11379</v>
      </c>
      <c r="H465" s="63">
        <v>16687</v>
      </c>
      <c r="I465" s="63">
        <v>23619</v>
      </c>
      <c r="J465" s="63">
        <v>28979</v>
      </c>
      <c r="K465" s="63">
        <v>35363</v>
      </c>
      <c r="L465" s="63">
        <v>73819.45</v>
      </c>
      <c r="M465" s="63">
        <v>108537.77</v>
      </c>
      <c r="N465" s="63">
        <v>137054.18</v>
      </c>
      <c r="O465" s="63">
        <v>178030</v>
      </c>
      <c r="P465" s="63">
        <v>213702.41</v>
      </c>
      <c r="Q465" s="63">
        <v>254480.56</v>
      </c>
      <c r="R465" s="62"/>
      <c r="S465" s="498" t="s">
        <v>957</v>
      </c>
    </row>
    <row r="466" spans="1:19" s="66" customFormat="1" outlineLevel="1" x14ac:dyDescent="0.2">
      <c r="A466" s="58"/>
      <c r="B466" s="59"/>
      <c r="C466" s="62">
        <v>65010214</v>
      </c>
      <c r="D466" s="62" t="s">
        <v>159</v>
      </c>
      <c r="E466" s="63">
        <v>91686.43</v>
      </c>
      <c r="F466" s="63">
        <v>7360.8</v>
      </c>
      <c r="G466" s="63">
        <v>16328.5</v>
      </c>
      <c r="H466" s="63">
        <v>25590.639999999999</v>
      </c>
      <c r="I466" s="63">
        <v>35264.28</v>
      </c>
      <c r="J466" s="63">
        <v>44983.59</v>
      </c>
      <c r="K466" s="63">
        <v>54265.81</v>
      </c>
      <c r="L466" s="63">
        <v>79527.360000000001</v>
      </c>
      <c r="M466" s="63">
        <v>98087.8</v>
      </c>
      <c r="N466" s="63">
        <v>118464.81</v>
      </c>
      <c r="O466" s="63">
        <v>139689.67000000001</v>
      </c>
      <c r="P466" s="63">
        <v>158333.32999999999</v>
      </c>
      <c r="Q466" s="63">
        <v>179977.63</v>
      </c>
      <c r="R466" s="62"/>
      <c r="S466" s="498" t="s">
        <v>957</v>
      </c>
    </row>
    <row r="467" spans="1:19" s="66" customFormat="1" outlineLevel="1" x14ac:dyDescent="0.2">
      <c r="A467" s="58"/>
      <c r="B467" s="59"/>
      <c r="C467" s="62">
        <v>65010215</v>
      </c>
      <c r="D467" s="62" t="s">
        <v>160</v>
      </c>
      <c r="E467" s="63">
        <v>150955.26999999999</v>
      </c>
      <c r="F467" s="63">
        <v>11895.97</v>
      </c>
      <c r="G467" s="63">
        <v>28578.6</v>
      </c>
      <c r="H467" s="63">
        <v>45015.79</v>
      </c>
      <c r="I467" s="63">
        <v>62703.13</v>
      </c>
      <c r="J467" s="63">
        <v>80321.119999999995</v>
      </c>
      <c r="K467" s="63">
        <v>97559.86</v>
      </c>
      <c r="L467" s="63">
        <v>88540.38</v>
      </c>
      <c r="M467" s="63">
        <v>136264.07999999999</v>
      </c>
      <c r="N467" s="63">
        <v>155026.42000000001</v>
      </c>
      <c r="O467" s="63">
        <v>175818.29</v>
      </c>
      <c r="P467" s="63">
        <v>213542.03</v>
      </c>
      <c r="Q467" s="63">
        <v>208492.67</v>
      </c>
      <c r="R467" s="62"/>
      <c r="S467" s="498" t="s">
        <v>957</v>
      </c>
    </row>
    <row r="468" spans="1:19" s="66" customFormat="1" outlineLevel="1" x14ac:dyDescent="0.2">
      <c r="A468" s="58"/>
      <c r="B468" s="59"/>
      <c r="C468" s="62">
        <v>65010216</v>
      </c>
      <c r="D468" s="62" t="s">
        <v>84</v>
      </c>
      <c r="E468" s="63">
        <v>56076.12</v>
      </c>
      <c r="F468" s="63">
        <v>5360.84</v>
      </c>
      <c r="G468" s="63">
        <v>10931.27</v>
      </c>
      <c r="H468" s="63">
        <v>16546.14</v>
      </c>
      <c r="I468" s="63">
        <v>22162.94</v>
      </c>
      <c r="J468" s="63">
        <v>27386.35</v>
      </c>
      <c r="K468" s="63">
        <v>32648.57</v>
      </c>
      <c r="L468" s="63">
        <v>55023.65</v>
      </c>
      <c r="M468" s="63">
        <v>79228.7</v>
      </c>
      <c r="N468" s="63">
        <v>101511.17</v>
      </c>
      <c r="O468" s="63">
        <v>123793.64</v>
      </c>
      <c r="P468" s="63">
        <v>145208.10999999999</v>
      </c>
      <c r="Q468" s="63">
        <v>165069.57999999999</v>
      </c>
      <c r="R468" s="62"/>
      <c r="S468" s="498" t="s">
        <v>957</v>
      </c>
    </row>
    <row r="469" spans="1:19" s="66" customFormat="1" outlineLevel="1" x14ac:dyDescent="0.2">
      <c r="A469" s="58"/>
      <c r="B469" s="59"/>
      <c r="C469" s="62">
        <v>65010218</v>
      </c>
      <c r="D469" s="62" t="s">
        <v>361</v>
      </c>
      <c r="E469" s="63">
        <v>5296.33</v>
      </c>
      <c r="F469" s="63">
        <v>441.36</v>
      </c>
      <c r="G469" s="63">
        <v>952.55</v>
      </c>
      <c r="H469" s="63">
        <v>1533.57</v>
      </c>
      <c r="I469" s="63">
        <v>2044.76</v>
      </c>
      <c r="J469" s="63">
        <v>2555.9499999999998</v>
      </c>
      <c r="K469" s="63">
        <v>3067.14</v>
      </c>
      <c r="L469" s="63">
        <v>6396.53</v>
      </c>
      <c r="M469" s="63">
        <v>8599.08</v>
      </c>
      <c r="N469" s="63">
        <v>11365.05</v>
      </c>
      <c r="O469" s="63">
        <v>14131.02</v>
      </c>
      <c r="P469" s="63">
        <v>16896.990000000002</v>
      </c>
      <c r="Q469" s="63">
        <v>60524.54</v>
      </c>
      <c r="R469" s="62"/>
      <c r="S469" s="498" t="s">
        <v>957</v>
      </c>
    </row>
    <row r="470" spans="1:19" s="66" customFormat="1" outlineLevel="1" x14ac:dyDescent="0.2">
      <c r="A470" s="58"/>
      <c r="B470" s="59"/>
      <c r="C470" s="62">
        <v>65010219</v>
      </c>
      <c r="D470" s="62" t="s">
        <v>362</v>
      </c>
      <c r="E470" s="63">
        <v>200804.21</v>
      </c>
      <c r="F470" s="63">
        <v>20889.36</v>
      </c>
      <c r="G470" s="63">
        <v>51520.14</v>
      </c>
      <c r="H470" s="63">
        <v>164324.24</v>
      </c>
      <c r="I470" s="63">
        <v>193938.39</v>
      </c>
      <c r="J470" s="63">
        <v>223482.51</v>
      </c>
      <c r="K470" s="63">
        <v>253271.47</v>
      </c>
      <c r="L470" s="63">
        <v>315785.71000000002</v>
      </c>
      <c r="M470" s="63">
        <v>357417.17</v>
      </c>
      <c r="N470" s="63">
        <v>410260.12</v>
      </c>
      <c r="O470" s="63">
        <v>462872.83</v>
      </c>
      <c r="P470" s="63">
        <v>515611.97</v>
      </c>
      <c r="Q470" s="63">
        <v>531409.36</v>
      </c>
      <c r="R470" s="62"/>
      <c r="S470" s="498" t="s">
        <v>957</v>
      </c>
    </row>
    <row r="471" spans="1:19" s="66" customFormat="1" outlineLevel="1" x14ac:dyDescent="0.2">
      <c r="A471" s="58"/>
      <c r="B471" s="59"/>
      <c r="C471" s="62">
        <v>65010231</v>
      </c>
      <c r="D471" s="62" t="s">
        <v>271</v>
      </c>
      <c r="E471" s="63">
        <v>37679.699999999997</v>
      </c>
      <c r="F471" s="63">
        <v>5589.7</v>
      </c>
      <c r="G471" s="63">
        <v>8189.01</v>
      </c>
      <c r="H471" s="63">
        <v>8189.01</v>
      </c>
      <c r="I471" s="63">
        <v>13376.13</v>
      </c>
      <c r="J471" s="63">
        <v>14240.64</v>
      </c>
      <c r="K471" s="63">
        <v>14240.64</v>
      </c>
      <c r="L471" s="63">
        <v>21972.99</v>
      </c>
      <c r="M471" s="63">
        <v>16906.12</v>
      </c>
      <c r="N471" s="63">
        <v>16906.12</v>
      </c>
      <c r="O471" s="63">
        <v>19218.47</v>
      </c>
      <c r="P471" s="63">
        <v>19218.47</v>
      </c>
      <c r="Q471" s="63">
        <v>19218.47</v>
      </c>
      <c r="R471" s="62"/>
      <c r="S471" s="498" t="s">
        <v>957</v>
      </c>
    </row>
    <row r="472" spans="1:19" s="66" customFormat="1" outlineLevel="1" x14ac:dyDescent="0.2">
      <c r="A472" s="58"/>
      <c r="B472" s="59"/>
      <c r="C472" s="62">
        <v>65010234</v>
      </c>
      <c r="D472" s="62" t="s">
        <v>162</v>
      </c>
      <c r="E472" s="63">
        <v>1048292.31</v>
      </c>
      <c r="F472" s="63">
        <v>13788.88</v>
      </c>
      <c r="G472" s="63">
        <v>28629.07</v>
      </c>
      <c r="H472" s="63">
        <v>72178.91</v>
      </c>
      <c r="I472" s="63">
        <v>84483.23</v>
      </c>
      <c r="J472" s="63">
        <v>101348.66</v>
      </c>
      <c r="K472" s="63">
        <v>114586.61</v>
      </c>
      <c r="L472" s="63">
        <v>190444.76</v>
      </c>
      <c r="M472" s="63">
        <v>224271.94</v>
      </c>
      <c r="N472" s="63">
        <v>320412.95</v>
      </c>
      <c r="O472" s="63">
        <v>363936.42</v>
      </c>
      <c r="P472" s="63">
        <v>403402.79</v>
      </c>
      <c r="Q472" s="63">
        <v>489312.89</v>
      </c>
      <c r="R472" s="62"/>
      <c r="S472" s="498" t="s">
        <v>957</v>
      </c>
    </row>
    <row r="473" spans="1:19" s="66" customFormat="1" outlineLevel="1" x14ac:dyDescent="0.2">
      <c r="A473" s="58"/>
      <c r="B473" s="59"/>
      <c r="C473" s="62">
        <v>65010300</v>
      </c>
      <c r="D473" s="62" t="s">
        <v>272</v>
      </c>
      <c r="E473" s="63">
        <v>5776.61</v>
      </c>
      <c r="F473" s="63"/>
      <c r="G473" s="63">
        <v>114.66</v>
      </c>
      <c r="H473" s="63">
        <v>2766.09</v>
      </c>
      <c r="I473" s="63">
        <v>2766.09</v>
      </c>
      <c r="J473" s="63">
        <v>6391.99</v>
      </c>
      <c r="K473" s="63">
        <v>7624.56</v>
      </c>
      <c r="L473" s="63">
        <v>43840.37</v>
      </c>
      <c r="M473" s="63">
        <v>12633.73</v>
      </c>
      <c r="N473" s="63">
        <v>14442.4</v>
      </c>
      <c r="O473" s="63">
        <v>18666.400000000001</v>
      </c>
      <c r="P473" s="63">
        <v>19021.400000000001</v>
      </c>
      <c r="Q473" s="63">
        <v>31136.62</v>
      </c>
      <c r="R473" s="62"/>
      <c r="S473" s="498" t="s">
        <v>957</v>
      </c>
    </row>
    <row r="474" spans="1:19" s="66" customFormat="1" outlineLevel="1" x14ac:dyDescent="0.2">
      <c r="A474" s="58"/>
      <c r="B474" s="59"/>
      <c r="C474" s="62">
        <v>65010302</v>
      </c>
      <c r="D474" s="62" t="s">
        <v>273</v>
      </c>
      <c r="E474" s="63">
        <v>12632.36</v>
      </c>
      <c r="F474" s="63">
        <v>196.59</v>
      </c>
      <c r="G474" s="63">
        <v>618.17999999999995</v>
      </c>
      <c r="H474" s="63">
        <v>2239.77</v>
      </c>
      <c r="I474" s="63">
        <v>4336.3599999999997</v>
      </c>
      <c r="J474" s="63">
        <v>7017.95</v>
      </c>
      <c r="K474" s="63">
        <v>9839.5400000000009</v>
      </c>
      <c r="L474" s="63">
        <v>15976.13</v>
      </c>
      <c r="M474" s="63">
        <v>13757.72</v>
      </c>
      <c r="N474" s="63">
        <v>15854.31</v>
      </c>
      <c r="O474" s="63">
        <v>16550.900000000001</v>
      </c>
      <c r="P474" s="63">
        <v>17647.490000000002</v>
      </c>
      <c r="Q474" s="63">
        <v>18611.080000000002</v>
      </c>
      <c r="R474" s="62"/>
      <c r="S474" s="498" t="s">
        <v>957</v>
      </c>
    </row>
    <row r="475" spans="1:19" s="66" customFormat="1" outlineLevel="1" x14ac:dyDescent="0.2">
      <c r="A475" s="58"/>
      <c r="B475" s="59"/>
      <c r="C475" s="62">
        <v>65010303</v>
      </c>
      <c r="D475" s="62" t="s">
        <v>363</v>
      </c>
      <c r="E475" s="63">
        <v>38919.99</v>
      </c>
      <c r="F475" s="63">
        <v>3527.72</v>
      </c>
      <c r="G475" s="63">
        <v>16214.86</v>
      </c>
      <c r="H475" s="63">
        <v>20199.099999999999</v>
      </c>
      <c r="I475" s="63">
        <v>27022.32</v>
      </c>
      <c r="J475" s="63">
        <v>28945.21</v>
      </c>
      <c r="K475" s="63">
        <v>32863.360000000001</v>
      </c>
      <c r="L475" s="63">
        <v>70163.070000000007</v>
      </c>
      <c r="M475" s="63">
        <v>45553.33</v>
      </c>
      <c r="N475" s="63">
        <v>65070.75</v>
      </c>
      <c r="O475" s="63">
        <v>73244.14</v>
      </c>
      <c r="P475" s="63">
        <v>77634.960000000006</v>
      </c>
      <c r="Q475" s="63">
        <v>93037.08</v>
      </c>
      <c r="R475" s="62"/>
      <c r="S475" s="498" t="s">
        <v>957</v>
      </c>
    </row>
    <row r="476" spans="1:19" s="66" customFormat="1" outlineLevel="1" x14ac:dyDescent="0.2">
      <c r="A476" s="58"/>
      <c r="B476" s="59"/>
      <c r="C476" s="62">
        <v>65010304</v>
      </c>
      <c r="D476" s="62" t="s">
        <v>275</v>
      </c>
      <c r="E476" s="63">
        <v>104491.56</v>
      </c>
      <c r="F476" s="63"/>
      <c r="G476" s="63">
        <v>11648.17</v>
      </c>
      <c r="H476" s="63">
        <v>22175.95</v>
      </c>
      <c r="I476" s="63">
        <v>32078.6</v>
      </c>
      <c r="J476" s="63">
        <v>38898.160000000003</v>
      </c>
      <c r="K476" s="63">
        <v>47535.03</v>
      </c>
      <c r="L476" s="63">
        <v>65344.18</v>
      </c>
      <c r="M476" s="63">
        <v>65792.210000000006</v>
      </c>
      <c r="N476" s="63">
        <v>75378.759999999995</v>
      </c>
      <c r="O476" s="63">
        <v>84203.47</v>
      </c>
      <c r="P476" s="63">
        <v>92504.05</v>
      </c>
      <c r="Q476" s="63">
        <v>101284.73</v>
      </c>
      <c r="R476" s="62"/>
      <c r="S476" s="498" t="s">
        <v>957</v>
      </c>
    </row>
    <row r="477" spans="1:19" s="66" customFormat="1" outlineLevel="1" x14ac:dyDescent="0.2">
      <c r="A477" s="58"/>
      <c r="B477" s="59"/>
      <c r="C477" s="62">
        <v>65010308</v>
      </c>
      <c r="D477" s="62" t="s">
        <v>276</v>
      </c>
      <c r="E477" s="63">
        <v>29579.18</v>
      </c>
      <c r="F477" s="63">
        <v>855.84</v>
      </c>
      <c r="G477" s="63">
        <v>855.84</v>
      </c>
      <c r="H477" s="63">
        <v>855.84</v>
      </c>
      <c r="I477" s="63">
        <v>855.84</v>
      </c>
      <c r="J477" s="63">
        <v>4760.84</v>
      </c>
      <c r="K477" s="63">
        <v>12280.84</v>
      </c>
      <c r="L477" s="63">
        <v>1663.95</v>
      </c>
      <c r="M477" s="63">
        <v>16688.84</v>
      </c>
      <c r="N477" s="63">
        <v>16688.84</v>
      </c>
      <c r="O477" s="63">
        <v>17638.84</v>
      </c>
      <c r="P477" s="63">
        <v>23263.84</v>
      </c>
      <c r="Q477" s="63">
        <v>41047.519999999997</v>
      </c>
      <c r="R477" s="62"/>
      <c r="S477" s="498" t="s">
        <v>957</v>
      </c>
    </row>
    <row r="478" spans="1:19" s="66" customFormat="1" outlineLevel="1" x14ac:dyDescent="0.2">
      <c r="A478" s="58"/>
      <c r="B478" s="59"/>
      <c r="C478" s="62">
        <v>65010311</v>
      </c>
      <c r="D478" s="62" t="s">
        <v>364</v>
      </c>
      <c r="E478" s="63">
        <v>18765.34</v>
      </c>
      <c r="F478" s="63">
        <v>4613.04</v>
      </c>
      <c r="G478" s="63">
        <v>7550.14</v>
      </c>
      <c r="H478" s="63">
        <v>13286.84</v>
      </c>
      <c r="I478" s="63">
        <v>15539.84</v>
      </c>
      <c r="J478" s="63">
        <v>15922.35</v>
      </c>
      <c r="K478" s="63">
        <v>19044.23</v>
      </c>
      <c r="L478" s="63">
        <v>45173.14</v>
      </c>
      <c r="M478" s="63">
        <v>36628.57</v>
      </c>
      <c r="N478" s="63">
        <v>49793.15</v>
      </c>
      <c r="O478" s="63">
        <v>58716.21</v>
      </c>
      <c r="P478" s="63">
        <v>66726.45</v>
      </c>
      <c r="Q478" s="63">
        <v>69799.45</v>
      </c>
      <c r="R478" s="62"/>
      <c r="S478" s="498" t="s">
        <v>957</v>
      </c>
    </row>
    <row r="479" spans="1:19" s="66" customFormat="1" outlineLevel="1" x14ac:dyDescent="0.2">
      <c r="A479" s="58"/>
      <c r="B479" s="59"/>
      <c r="C479" s="62">
        <v>65010312</v>
      </c>
      <c r="D479" s="62" t="s">
        <v>278</v>
      </c>
      <c r="E479" s="63">
        <v>10155.36</v>
      </c>
      <c r="F479" s="63">
        <v>1123.54</v>
      </c>
      <c r="G479" s="63">
        <v>2247.08</v>
      </c>
      <c r="H479" s="63">
        <v>3370.62</v>
      </c>
      <c r="I479" s="63">
        <v>4494.16</v>
      </c>
      <c r="J479" s="63">
        <v>5617.7</v>
      </c>
      <c r="K479" s="63">
        <v>6741.24</v>
      </c>
      <c r="L479" s="63">
        <v>7864.78</v>
      </c>
      <c r="M479" s="63">
        <v>8988.32</v>
      </c>
      <c r="N479" s="63">
        <v>10111.86</v>
      </c>
      <c r="O479" s="63">
        <v>11235.4</v>
      </c>
      <c r="P479" s="63">
        <v>12358.94</v>
      </c>
      <c r="Q479" s="63">
        <v>13482.48</v>
      </c>
      <c r="R479" s="62"/>
      <c r="S479" s="498" t="s">
        <v>957</v>
      </c>
    </row>
    <row r="480" spans="1:19" s="66" customFormat="1" outlineLevel="1" x14ac:dyDescent="0.2">
      <c r="A480" s="58"/>
      <c r="B480" s="59"/>
      <c r="C480" s="62">
        <v>65010314</v>
      </c>
      <c r="D480" s="62" t="s">
        <v>279</v>
      </c>
      <c r="E480" s="63">
        <v>142457.16</v>
      </c>
      <c r="F480" s="63">
        <v>19609.13</v>
      </c>
      <c r="G480" s="63">
        <v>35565.15</v>
      </c>
      <c r="H480" s="63">
        <v>54352.46</v>
      </c>
      <c r="I480" s="63">
        <v>73723.41</v>
      </c>
      <c r="J480" s="63">
        <v>97436.41</v>
      </c>
      <c r="K480" s="63">
        <v>112882.8</v>
      </c>
      <c r="L480" s="63">
        <v>142801.76999999999</v>
      </c>
      <c r="M480" s="63">
        <v>163667.04</v>
      </c>
      <c r="N480" s="63">
        <v>187760.62</v>
      </c>
      <c r="O480" s="63">
        <v>212031.29</v>
      </c>
      <c r="P480" s="63">
        <v>236250.22</v>
      </c>
      <c r="Q480" s="63">
        <v>260224.63</v>
      </c>
      <c r="R480" s="62"/>
      <c r="S480" s="498" t="s">
        <v>957</v>
      </c>
    </row>
    <row r="481" spans="1:19" s="66" customFormat="1" outlineLevel="1" x14ac:dyDescent="0.2">
      <c r="A481" s="58"/>
      <c r="B481" s="59"/>
      <c r="C481" s="62">
        <v>65010316</v>
      </c>
      <c r="D481" s="62" t="s">
        <v>280</v>
      </c>
      <c r="E481" s="63">
        <v>17126.87</v>
      </c>
      <c r="F481" s="63">
        <v>2556.21</v>
      </c>
      <c r="G481" s="63">
        <v>2556.21</v>
      </c>
      <c r="H481" s="63">
        <v>3561.38</v>
      </c>
      <c r="I481" s="63">
        <v>3982.93</v>
      </c>
      <c r="J481" s="63">
        <v>3982.93</v>
      </c>
      <c r="K481" s="63">
        <v>3982.93</v>
      </c>
      <c r="L481" s="63">
        <v>97651.03</v>
      </c>
      <c r="M481" s="63">
        <v>16340.04</v>
      </c>
      <c r="N481" s="63">
        <v>33420.400000000001</v>
      </c>
      <c r="O481" s="63">
        <v>38225.120000000003</v>
      </c>
      <c r="P481" s="63">
        <v>58792.800000000003</v>
      </c>
      <c r="Q481" s="63">
        <v>101126.59</v>
      </c>
      <c r="R481" s="62"/>
      <c r="S481" s="498" t="s">
        <v>957</v>
      </c>
    </row>
    <row r="482" spans="1:19" s="66" customFormat="1" outlineLevel="1" x14ac:dyDescent="0.2">
      <c r="A482" s="58"/>
      <c r="B482" s="59"/>
      <c r="C482" s="62">
        <v>65010318</v>
      </c>
      <c r="D482" s="62" t="s">
        <v>365</v>
      </c>
      <c r="E482" s="63">
        <v>140400</v>
      </c>
      <c r="F482" s="63">
        <v>15600</v>
      </c>
      <c r="G482" s="63">
        <v>35100</v>
      </c>
      <c r="H482" s="63">
        <v>54600</v>
      </c>
      <c r="I482" s="63">
        <v>74100</v>
      </c>
      <c r="J482" s="63">
        <v>93600</v>
      </c>
      <c r="K482" s="63">
        <v>134550</v>
      </c>
      <c r="L482" s="63">
        <v>138450</v>
      </c>
      <c r="M482" s="63">
        <v>155025</v>
      </c>
      <c r="N482" s="63">
        <v>155025</v>
      </c>
      <c r="O482" s="63">
        <v>155025</v>
      </c>
      <c r="P482" s="63">
        <v>155025</v>
      </c>
      <c r="Q482" s="63">
        <v>155025</v>
      </c>
      <c r="R482" s="62"/>
      <c r="S482" s="498" t="s">
        <v>957</v>
      </c>
    </row>
    <row r="483" spans="1:19" s="66" customFormat="1" outlineLevel="1" x14ac:dyDescent="0.2">
      <c r="A483" s="58"/>
      <c r="B483" s="59"/>
      <c r="C483" s="62">
        <v>65010321</v>
      </c>
      <c r="D483" s="62" t="s">
        <v>283</v>
      </c>
      <c r="E483" s="63">
        <v>94271.82</v>
      </c>
      <c r="F483" s="63">
        <v>5400.4</v>
      </c>
      <c r="G483" s="63">
        <v>16537.509999999998</v>
      </c>
      <c r="H483" s="63">
        <v>25754.01</v>
      </c>
      <c r="I483" s="63">
        <v>33731.64</v>
      </c>
      <c r="J483" s="63">
        <v>41370.01</v>
      </c>
      <c r="K483" s="63">
        <v>49489.13</v>
      </c>
      <c r="L483" s="63">
        <v>59356.01</v>
      </c>
      <c r="M483" s="63">
        <v>66834.460000000006</v>
      </c>
      <c r="N483" s="63">
        <v>74847.360000000001</v>
      </c>
      <c r="O483" s="63">
        <v>83036.5</v>
      </c>
      <c r="P483" s="63">
        <v>90356.7</v>
      </c>
      <c r="Q483" s="63">
        <v>101048.5</v>
      </c>
      <c r="R483" s="62"/>
      <c r="S483" s="498" t="s">
        <v>957</v>
      </c>
    </row>
    <row r="484" spans="1:19" s="66" customFormat="1" outlineLevel="1" x14ac:dyDescent="0.2">
      <c r="A484" s="58"/>
      <c r="B484" s="59"/>
      <c r="C484" s="62">
        <v>65010322</v>
      </c>
      <c r="D484" s="62" t="s">
        <v>284</v>
      </c>
      <c r="E484" s="63">
        <v>70983.360000000001</v>
      </c>
      <c r="F484" s="63">
        <v>13190</v>
      </c>
      <c r="G484" s="63">
        <v>22663.58</v>
      </c>
      <c r="H484" s="63">
        <v>36263.58</v>
      </c>
      <c r="I484" s="63">
        <v>98567.16</v>
      </c>
      <c r="J484" s="63">
        <v>106304.96000000001</v>
      </c>
      <c r="K484" s="63">
        <v>114042.76</v>
      </c>
      <c r="L484" s="63">
        <v>83688.36</v>
      </c>
      <c r="M484" s="63">
        <v>129518.36</v>
      </c>
      <c r="N484" s="63">
        <v>142656.16</v>
      </c>
      <c r="O484" s="63">
        <v>150393.96</v>
      </c>
      <c r="P484" s="63">
        <v>159031.76</v>
      </c>
      <c r="Q484" s="63">
        <v>168169.56</v>
      </c>
      <c r="R484" s="69"/>
      <c r="S484" s="498" t="s">
        <v>957</v>
      </c>
    </row>
    <row r="485" spans="1:19" s="66" customFormat="1" outlineLevel="1" x14ac:dyDescent="0.2">
      <c r="A485" s="58"/>
      <c r="B485" s="59"/>
      <c r="C485" s="62">
        <v>65010323</v>
      </c>
      <c r="D485" s="62" t="s">
        <v>285</v>
      </c>
      <c r="E485" s="63">
        <v>727565.8</v>
      </c>
      <c r="F485" s="63">
        <v>46432.42</v>
      </c>
      <c r="G485" s="63">
        <v>98743.76</v>
      </c>
      <c r="H485" s="63">
        <v>151036.84</v>
      </c>
      <c r="I485" s="63">
        <v>211715.83</v>
      </c>
      <c r="J485" s="63">
        <v>260868.64</v>
      </c>
      <c r="K485" s="63">
        <v>327881.75</v>
      </c>
      <c r="L485" s="63">
        <v>455488.29</v>
      </c>
      <c r="M485" s="63">
        <v>493490.02</v>
      </c>
      <c r="N485" s="63">
        <v>565450.71</v>
      </c>
      <c r="O485" s="63">
        <v>600447.6</v>
      </c>
      <c r="P485" s="63">
        <v>653603.68000000005</v>
      </c>
      <c r="Q485" s="63">
        <v>736264.21</v>
      </c>
      <c r="R485" s="62"/>
      <c r="S485" s="498" t="s">
        <v>957</v>
      </c>
    </row>
    <row r="486" spans="1:19" s="66" customFormat="1" outlineLevel="1" x14ac:dyDescent="0.2">
      <c r="A486" s="58"/>
      <c r="B486" s="59"/>
      <c r="C486" s="62">
        <v>65010324</v>
      </c>
      <c r="D486" s="62" t="s">
        <v>286</v>
      </c>
      <c r="E486" s="63">
        <v>173826.14</v>
      </c>
      <c r="F486" s="63">
        <v>12793.64</v>
      </c>
      <c r="G486" s="63">
        <v>30356.74</v>
      </c>
      <c r="H486" s="63">
        <v>54807.31</v>
      </c>
      <c r="I486" s="63">
        <v>69905.399999999994</v>
      </c>
      <c r="J486" s="63">
        <v>87214.46</v>
      </c>
      <c r="K486" s="63">
        <v>107332.49</v>
      </c>
      <c r="L486" s="63">
        <v>29228.17</v>
      </c>
      <c r="M486" s="63">
        <v>133767.46</v>
      </c>
      <c r="N486" s="63">
        <v>158006.71</v>
      </c>
      <c r="O486" s="63">
        <v>175224.56</v>
      </c>
      <c r="P486" s="63">
        <v>191618.37</v>
      </c>
      <c r="Q486" s="63">
        <v>214791.75</v>
      </c>
      <c r="R486" s="62"/>
      <c r="S486" s="498" t="s">
        <v>957</v>
      </c>
    </row>
    <row r="487" spans="1:19" s="66" customFormat="1" outlineLevel="1" x14ac:dyDescent="0.2">
      <c r="A487" s="58"/>
      <c r="B487" s="59"/>
      <c r="C487" s="62">
        <v>65010328</v>
      </c>
      <c r="D487" s="62" t="s">
        <v>366</v>
      </c>
      <c r="E487" s="63">
        <v>549337.41</v>
      </c>
      <c r="F487" s="63">
        <v>38490.089999999997</v>
      </c>
      <c r="G487" s="63">
        <v>93922.13</v>
      </c>
      <c r="H487" s="63">
        <v>150125.72</v>
      </c>
      <c r="I487" s="63">
        <v>204415.91</v>
      </c>
      <c r="J487" s="63">
        <v>259431.41</v>
      </c>
      <c r="K487" s="63">
        <v>315078.90999999997</v>
      </c>
      <c r="L487" s="63">
        <v>343738.06</v>
      </c>
      <c r="M487" s="63">
        <v>427400.37</v>
      </c>
      <c r="N487" s="63">
        <v>484742.39</v>
      </c>
      <c r="O487" s="63">
        <v>541447.97</v>
      </c>
      <c r="P487" s="63">
        <v>595127.31000000006</v>
      </c>
      <c r="Q487" s="63">
        <v>648697.93000000005</v>
      </c>
      <c r="R487" s="62"/>
      <c r="S487" s="498" t="s">
        <v>957</v>
      </c>
    </row>
    <row r="488" spans="1:19" s="66" customFormat="1" outlineLevel="1" x14ac:dyDescent="0.2">
      <c r="A488" s="58"/>
      <c r="B488" s="59"/>
      <c r="C488" s="62">
        <v>65010336</v>
      </c>
      <c r="D488" s="62" t="s">
        <v>290</v>
      </c>
      <c r="E488" s="63">
        <v>15032.88</v>
      </c>
      <c r="F488" s="63"/>
      <c r="G488" s="63"/>
      <c r="H488" s="63"/>
      <c r="I488" s="63"/>
      <c r="J488" s="63"/>
      <c r="K488" s="63">
        <v>2862.15</v>
      </c>
      <c r="L488" s="63">
        <v>2862.15</v>
      </c>
      <c r="M488" s="63">
        <v>2862.15</v>
      </c>
      <c r="N488" s="63">
        <v>2862.15</v>
      </c>
      <c r="O488" s="63">
        <v>2862.15</v>
      </c>
      <c r="P488" s="63">
        <v>2862.15</v>
      </c>
      <c r="Q488" s="63">
        <v>2862.15</v>
      </c>
      <c r="R488" s="62"/>
      <c r="S488" s="498" t="s">
        <v>957</v>
      </c>
    </row>
    <row r="489" spans="1:19" s="66" customFormat="1" outlineLevel="1" x14ac:dyDescent="0.2">
      <c r="A489" s="58"/>
      <c r="B489" s="59"/>
      <c r="C489" s="62">
        <v>65010337</v>
      </c>
      <c r="D489" s="62" t="s">
        <v>291</v>
      </c>
      <c r="E489" s="63">
        <v>43332.66</v>
      </c>
      <c r="F489" s="63">
        <v>4333.55</v>
      </c>
      <c r="G489" s="63">
        <v>9084.85</v>
      </c>
      <c r="H489" s="63">
        <v>13359.28</v>
      </c>
      <c r="I489" s="63">
        <v>22172.11</v>
      </c>
      <c r="J489" s="63">
        <v>26676.33</v>
      </c>
      <c r="K489" s="63">
        <v>33127.730000000003</v>
      </c>
      <c r="L489" s="63">
        <v>13455.51</v>
      </c>
      <c r="M489" s="63">
        <v>58656.79</v>
      </c>
      <c r="N489" s="63">
        <v>66476.600000000006</v>
      </c>
      <c r="O489" s="63">
        <v>74605.66</v>
      </c>
      <c r="P489" s="63">
        <v>84067.61</v>
      </c>
      <c r="Q489" s="63">
        <v>94423.1</v>
      </c>
      <c r="R489" s="62"/>
      <c r="S489" s="498" t="s">
        <v>957</v>
      </c>
    </row>
    <row r="490" spans="1:19" s="66" customFormat="1" outlineLevel="1" x14ac:dyDescent="0.2">
      <c r="A490" s="58"/>
      <c r="B490" s="59"/>
      <c r="C490" s="62">
        <v>65010347</v>
      </c>
      <c r="D490" s="62" t="s">
        <v>292</v>
      </c>
      <c r="E490" s="63"/>
      <c r="F490" s="63"/>
      <c r="G490" s="63">
        <v>3618.95</v>
      </c>
      <c r="H490" s="63">
        <v>4741.82</v>
      </c>
      <c r="I490" s="63">
        <v>5917.67</v>
      </c>
      <c r="J490" s="63">
        <v>6734.95</v>
      </c>
      <c r="K490" s="63">
        <v>8835.6299999999992</v>
      </c>
      <c r="L490" s="63">
        <v>27022.82</v>
      </c>
      <c r="M490" s="63">
        <v>16733.580000000002</v>
      </c>
      <c r="N490" s="63">
        <v>21820.93</v>
      </c>
      <c r="O490" s="63">
        <v>27585.34</v>
      </c>
      <c r="P490" s="63">
        <v>28775.09</v>
      </c>
      <c r="Q490" s="63">
        <v>35679.71</v>
      </c>
      <c r="R490" s="62"/>
      <c r="S490" s="498" t="s">
        <v>957</v>
      </c>
    </row>
    <row r="491" spans="1:19" s="66" customFormat="1" outlineLevel="1" x14ac:dyDescent="0.2">
      <c r="A491" s="58"/>
      <c r="B491" s="59"/>
      <c r="C491" s="62">
        <v>65010352</v>
      </c>
      <c r="D491" s="62" t="s">
        <v>293</v>
      </c>
      <c r="E491" s="63">
        <v>21187.14</v>
      </c>
      <c r="F491" s="63">
        <v>2237.6</v>
      </c>
      <c r="G491" s="63">
        <v>2237.6</v>
      </c>
      <c r="H491" s="63">
        <v>2237.6</v>
      </c>
      <c r="I491" s="63">
        <v>2237.6</v>
      </c>
      <c r="J491" s="63">
        <v>2237.6</v>
      </c>
      <c r="K491" s="63">
        <v>2873.6</v>
      </c>
      <c r="L491" s="63">
        <v>3433</v>
      </c>
      <c r="M491" s="63">
        <v>2873.6</v>
      </c>
      <c r="N491" s="63">
        <v>4956.6000000000004</v>
      </c>
      <c r="O491" s="63">
        <v>6820.84</v>
      </c>
      <c r="P491" s="63">
        <v>6820.84</v>
      </c>
      <c r="Q491" s="63">
        <v>6820.84</v>
      </c>
      <c r="R491" s="62"/>
      <c r="S491" s="498" t="s">
        <v>957</v>
      </c>
    </row>
    <row r="492" spans="1:19" s="66" customFormat="1" outlineLevel="1" x14ac:dyDescent="0.2">
      <c r="A492" s="58"/>
      <c r="B492" s="59"/>
      <c r="C492" s="62">
        <v>65010353</v>
      </c>
      <c r="D492" s="62" t="s">
        <v>294</v>
      </c>
      <c r="E492" s="63">
        <v>14</v>
      </c>
      <c r="F492" s="63"/>
      <c r="G492" s="63"/>
      <c r="H492" s="63"/>
      <c r="I492" s="63">
        <v>2083</v>
      </c>
      <c r="J492" s="63">
        <v>2083</v>
      </c>
      <c r="K492" s="63">
        <v>2083</v>
      </c>
      <c r="L492" s="63">
        <v>2083</v>
      </c>
      <c r="M492" s="63">
        <v>2083</v>
      </c>
      <c r="N492" s="63">
        <v>2083</v>
      </c>
      <c r="O492" s="63">
        <v>2083</v>
      </c>
      <c r="P492" s="63">
        <v>2083</v>
      </c>
      <c r="Q492" s="63">
        <v>2083</v>
      </c>
      <c r="R492" s="62"/>
      <c r="S492" s="498" t="s">
        <v>957</v>
      </c>
    </row>
    <row r="493" spans="1:19" s="66" customFormat="1" outlineLevel="1" x14ac:dyDescent="0.2">
      <c r="A493" s="58"/>
      <c r="B493" s="59"/>
      <c r="C493" s="62">
        <v>65010355</v>
      </c>
      <c r="D493" s="62" t="s">
        <v>164</v>
      </c>
      <c r="E493" s="63">
        <v>32055.08</v>
      </c>
      <c r="F493" s="63">
        <v>2267.8000000000002</v>
      </c>
      <c r="G493" s="63">
        <v>4535.6000000000004</v>
      </c>
      <c r="H493" s="63">
        <v>9194.4</v>
      </c>
      <c r="I493" s="63">
        <v>11546</v>
      </c>
      <c r="J493" s="63">
        <v>14063</v>
      </c>
      <c r="K493" s="63">
        <v>16314</v>
      </c>
      <c r="L493" s="63">
        <v>29623.4</v>
      </c>
      <c r="M493" s="63">
        <v>40453.67</v>
      </c>
      <c r="N493" s="63">
        <v>53403.27</v>
      </c>
      <c r="O493" s="63">
        <v>65181.01</v>
      </c>
      <c r="P493" s="63">
        <v>75248.039999999994</v>
      </c>
      <c r="Q493" s="63">
        <v>96454.92</v>
      </c>
      <c r="R493" s="62"/>
      <c r="S493" s="498" t="s">
        <v>957</v>
      </c>
    </row>
    <row r="494" spans="1:19" s="66" customFormat="1" outlineLevel="1" x14ac:dyDescent="0.2">
      <c r="A494" s="58"/>
      <c r="B494" s="59"/>
      <c r="C494" s="62">
        <v>65010357</v>
      </c>
      <c r="D494" s="62" t="s">
        <v>296</v>
      </c>
      <c r="E494" s="63">
        <v>598495.46999999473</v>
      </c>
      <c r="F494" s="63">
        <v>5436.7500000001528</v>
      </c>
      <c r="G494" s="63">
        <v>31990.89</v>
      </c>
      <c r="H494" s="63">
        <v>139314.94</v>
      </c>
      <c r="I494" s="63">
        <v>180636.43</v>
      </c>
      <c r="J494" s="63">
        <v>225942.04</v>
      </c>
      <c r="K494" s="63">
        <v>345209.93</v>
      </c>
      <c r="L494" s="63">
        <v>406602.9</v>
      </c>
      <c r="M494" s="63">
        <v>439836.87</v>
      </c>
      <c r="N494" s="63">
        <v>490620.88</v>
      </c>
      <c r="O494" s="63">
        <v>543652</v>
      </c>
      <c r="P494" s="63">
        <v>592470.72</v>
      </c>
      <c r="Q494" s="63">
        <v>651897.55000000005</v>
      </c>
      <c r="R494" s="62"/>
      <c r="S494" s="498" t="s">
        <v>957</v>
      </c>
    </row>
    <row r="495" spans="1:19" s="66" customFormat="1" outlineLevel="1" x14ac:dyDescent="0.2">
      <c r="A495" s="58"/>
      <c r="B495" s="59"/>
      <c r="C495" s="62">
        <v>65010360</v>
      </c>
      <c r="D495" s="62" t="s">
        <v>367</v>
      </c>
      <c r="E495" s="63">
        <v>171410.93</v>
      </c>
      <c r="F495" s="63">
        <v>16244.94</v>
      </c>
      <c r="G495" s="63">
        <v>34737.339999999997</v>
      </c>
      <c r="H495" s="63">
        <v>53229.1</v>
      </c>
      <c r="I495" s="63">
        <v>70443.87</v>
      </c>
      <c r="J495" s="63">
        <v>87655.38</v>
      </c>
      <c r="K495" s="63">
        <v>104830.11</v>
      </c>
      <c r="L495" s="63">
        <v>124288.27</v>
      </c>
      <c r="M495" s="63">
        <v>139259.42000000001</v>
      </c>
      <c r="N495" s="63">
        <v>203027.5</v>
      </c>
      <c r="O495" s="63">
        <v>225848.63</v>
      </c>
      <c r="P495" s="63">
        <v>269117.83</v>
      </c>
      <c r="Q495" s="63">
        <v>312410.56</v>
      </c>
      <c r="R495" s="68"/>
      <c r="S495" s="498" t="s">
        <v>957</v>
      </c>
    </row>
    <row r="496" spans="1:19" s="66" customFormat="1" outlineLevel="1" x14ac:dyDescent="0.2">
      <c r="A496" s="58"/>
      <c r="B496" s="59"/>
      <c r="C496" s="62">
        <v>65010358</v>
      </c>
      <c r="D496" s="62" t="s">
        <v>169</v>
      </c>
      <c r="E496" s="63">
        <v>172295.24</v>
      </c>
      <c r="F496" s="63"/>
      <c r="G496" s="63"/>
      <c r="H496" s="63">
        <v>673961.82</v>
      </c>
      <c r="I496" s="63">
        <v>673961.82</v>
      </c>
      <c r="J496" s="63">
        <v>673961.82</v>
      </c>
      <c r="K496" s="63">
        <v>810446.7</v>
      </c>
      <c r="L496" s="63">
        <v>810446.7</v>
      </c>
      <c r="M496" s="63">
        <v>810446.7</v>
      </c>
      <c r="N496" s="63">
        <v>374285.63</v>
      </c>
      <c r="O496" s="63">
        <v>374285.63</v>
      </c>
      <c r="P496" s="63">
        <v>374285.63</v>
      </c>
      <c r="Q496" s="63">
        <v>91834.43</v>
      </c>
      <c r="R496" s="62"/>
      <c r="S496" s="498" t="s">
        <v>957</v>
      </c>
    </row>
    <row r="497" spans="1:19" s="66" customFormat="1" outlineLevel="1" x14ac:dyDescent="0.2">
      <c r="A497" s="58"/>
      <c r="B497" s="59"/>
      <c r="C497" s="62">
        <v>65010362</v>
      </c>
      <c r="D497" s="62" t="s">
        <v>510</v>
      </c>
      <c r="E497" s="63"/>
      <c r="F497" s="63">
        <v>6619.9164584868304</v>
      </c>
      <c r="G497" s="63">
        <v>13239.832916973661</v>
      </c>
      <c r="H497" s="63">
        <v>19859.749375460491</v>
      </c>
      <c r="I497" s="63">
        <v>26479.665833947322</v>
      </c>
      <c r="J497" s="63">
        <v>33099.582292434148</v>
      </c>
      <c r="K497" s="63">
        <v>39719.498750920975</v>
      </c>
      <c r="L497" s="63">
        <v>46339.415209407802</v>
      </c>
      <c r="M497" s="63">
        <v>52959.331667894628</v>
      </c>
      <c r="N497" s="63">
        <v>59579.248126381455</v>
      </c>
      <c r="O497" s="63">
        <v>66199.164584868282</v>
      </c>
      <c r="P497" s="63">
        <v>72819.081043355109</v>
      </c>
      <c r="Q497" s="63">
        <v>79438.997501841935</v>
      </c>
      <c r="R497" s="68"/>
      <c r="S497" s="498" t="s">
        <v>957</v>
      </c>
    </row>
    <row r="498" spans="1:19" s="66" customFormat="1" outlineLevel="1" x14ac:dyDescent="0.2">
      <c r="A498" s="58"/>
      <c r="B498" s="59"/>
      <c r="C498" s="62"/>
      <c r="D498" s="62" t="s">
        <v>2</v>
      </c>
      <c r="E498" s="63" t="s">
        <v>264</v>
      </c>
      <c r="F498" s="63" t="s">
        <v>264</v>
      </c>
      <c r="G498" s="63" t="s">
        <v>264</v>
      </c>
      <c r="H498" s="63" t="s">
        <v>264</v>
      </c>
      <c r="I498" s="63" t="s">
        <v>264</v>
      </c>
      <c r="J498" s="63" t="s">
        <v>264</v>
      </c>
      <c r="K498" s="63" t="s">
        <v>264</v>
      </c>
      <c r="L498" s="63" t="s">
        <v>264</v>
      </c>
      <c r="M498" s="63" t="s">
        <v>264</v>
      </c>
      <c r="N498" s="63" t="s">
        <v>264</v>
      </c>
      <c r="O498" s="63" t="s">
        <v>264</v>
      </c>
      <c r="P498" s="63" t="s">
        <v>264</v>
      </c>
      <c r="Q498" s="63" t="s">
        <v>264</v>
      </c>
      <c r="R498" s="62"/>
      <c r="S498" s="62"/>
    </row>
    <row r="499" spans="1:19" s="66" customFormat="1" x14ac:dyDescent="0.2">
      <c r="A499" s="58"/>
      <c r="B499" s="59"/>
      <c r="C499" s="64" t="s">
        <v>170</v>
      </c>
      <c r="D499" s="64" t="s">
        <v>168</v>
      </c>
      <c r="E499" s="65">
        <f>SUM(E463:E497)</f>
        <v>10774035.119999999</v>
      </c>
      <c r="F499" s="65">
        <f>SUM(F463:F497)</f>
        <v>799938.89645848679</v>
      </c>
      <c r="G499" s="65">
        <f>SUM(G463:G497)</f>
        <v>1915284.3229169736</v>
      </c>
      <c r="H499" s="65">
        <f>SUM(H463:H497)</f>
        <v>3794029.4893754595</v>
      </c>
      <c r="I499" s="65">
        <f t="shared" ref="I499:Q499" si="58">SUM(I463:I497)</f>
        <v>4835006.5558339469</v>
      </c>
      <c r="J499" s="65">
        <f t="shared" si="58"/>
        <v>5959423.322292435</v>
      </c>
      <c r="K499" s="65">
        <f t="shared" si="58"/>
        <v>7341185.258750922</v>
      </c>
      <c r="L499" s="65">
        <f t="shared" si="58"/>
        <v>8700407.2252094075</v>
      </c>
      <c r="M499" s="65">
        <f t="shared" si="58"/>
        <v>10027784.141667893</v>
      </c>
      <c r="N499" s="65">
        <f t="shared" si="58"/>
        <v>11071130.028126385</v>
      </c>
      <c r="O499" s="65">
        <f t="shared" si="58"/>
        <v>12357059.154584872</v>
      </c>
      <c r="P499" s="65">
        <f t="shared" si="58"/>
        <v>13683443.001043355</v>
      </c>
      <c r="Q499" s="65">
        <f t="shared" si="58"/>
        <v>14714270.047501847</v>
      </c>
      <c r="R499" s="62"/>
      <c r="S499" s="62"/>
    </row>
    <row r="500" spans="1:19" s="66" customFormat="1" outlineLevel="1" x14ac:dyDescent="0.2">
      <c r="A500" s="58"/>
      <c r="B500" s="59"/>
      <c r="C500" s="62"/>
      <c r="D500" s="62" t="s">
        <v>2</v>
      </c>
      <c r="E500" s="63" t="s">
        <v>264</v>
      </c>
      <c r="F500" s="63" t="s">
        <v>264</v>
      </c>
      <c r="G500" s="63" t="s">
        <v>264</v>
      </c>
      <c r="H500" s="63" t="s">
        <v>264</v>
      </c>
      <c r="I500" s="63" t="s">
        <v>264</v>
      </c>
      <c r="J500" s="63" t="s">
        <v>264</v>
      </c>
      <c r="K500" s="63" t="s">
        <v>264</v>
      </c>
      <c r="L500" s="63" t="s">
        <v>264</v>
      </c>
      <c r="M500" s="63" t="s">
        <v>264</v>
      </c>
      <c r="N500" s="63" t="s">
        <v>264</v>
      </c>
      <c r="O500" s="63" t="s">
        <v>264</v>
      </c>
      <c r="P500" s="63" t="s">
        <v>264</v>
      </c>
      <c r="Q500" s="63" t="s">
        <v>264</v>
      </c>
      <c r="R500" s="62"/>
      <c r="S500" s="62"/>
    </row>
    <row r="501" spans="1:19" s="66" customFormat="1" x14ac:dyDescent="0.2">
      <c r="A501" s="58"/>
      <c r="B501" s="59"/>
      <c r="C501" s="151" t="s">
        <v>171</v>
      </c>
      <c r="D501" s="151" t="s">
        <v>168</v>
      </c>
      <c r="E501" s="70">
        <f>+E499</f>
        <v>10774035.119999999</v>
      </c>
      <c r="F501" s="70">
        <f>+F499</f>
        <v>799938.89645848679</v>
      </c>
      <c r="G501" s="70">
        <f t="shared" ref="G501:Q501" si="59">+G499</f>
        <v>1915284.3229169736</v>
      </c>
      <c r="H501" s="70">
        <f t="shared" si="59"/>
        <v>3794029.4893754595</v>
      </c>
      <c r="I501" s="70">
        <f t="shared" si="59"/>
        <v>4835006.5558339469</v>
      </c>
      <c r="J501" s="70">
        <f t="shared" si="59"/>
        <v>5959423.322292435</v>
      </c>
      <c r="K501" s="70">
        <f t="shared" si="59"/>
        <v>7341185.258750922</v>
      </c>
      <c r="L501" s="70">
        <f t="shared" si="59"/>
        <v>8700407.2252094075</v>
      </c>
      <c r="M501" s="70">
        <f t="shared" si="59"/>
        <v>10027784.141667893</v>
      </c>
      <c r="N501" s="70">
        <f t="shared" si="59"/>
        <v>11071130.028126385</v>
      </c>
      <c r="O501" s="70">
        <f t="shared" si="59"/>
        <v>12357059.154584872</v>
      </c>
      <c r="P501" s="70">
        <f t="shared" si="59"/>
        <v>13683443.001043355</v>
      </c>
      <c r="Q501" s="70">
        <f t="shared" si="59"/>
        <v>14714270.047501847</v>
      </c>
      <c r="R501" s="62"/>
      <c r="S501" s="62"/>
    </row>
    <row r="502" spans="1:19" s="66" customFormat="1" outlineLevel="1" x14ac:dyDescent="0.2">
      <c r="A502" s="58"/>
      <c r="B502" s="59"/>
      <c r="C502" s="62"/>
      <c r="D502" s="62" t="s">
        <v>2</v>
      </c>
      <c r="E502" s="63" t="s">
        <v>264</v>
      </c>
      <c r="F502" s="63" t="s">
        <v>264</v>
      </c>
      <c r="G502" s="63" t="s">
        <v>264</v>
      </c>
      <c r="H502" s="63" t="s">
        <v>264</v>
      </c>
      <c r="I502" s="63" t="s">
        <v>264</v>
      </c>
      <c r="J502" s="63" t="s">
        <v>264</v>
      </c>
      <c r="K502" s="63" t="s">
        <v>264</v>
      </c>
      <c r="L502" s="63" t="s">
        <v>264</v>
      </c>
      <c r="M502" s="63" t="s">
        <v>264</v>
      </c>
      <c r="N502" s="63" t="s">
        <v>264</v>
      </c>
      <c r="O502" s="63" t="s">
        <v>264</v>
      </c>
      <c r="P502" s="63" t="s">
        <v>264</v>
      </c>
      <c r="Q502" s="63" t="s">
        <v>264</v>
      </c>
      <c r="R502" s="62"/>
      <c r="S502" s="62"/>
    </row>
    <row r="503" spans="1:19" s="66" customFormat="1" x14ac:dyDescent="0.2">
      <c r="A503" s="58"/>
      <c r="B503" s="59"/>
      <c r="C503" s="59" t="s">
        <v>368</v>
      </c>
      <c r="D503" s="59" t="s">
        <v>2</v>
      </c>
      <c r="E503" s="72">
        <f>+E501+E459</f>
        <v>31872577.839999996</v>
      </c>
      <c r="F503" s="72">
        <f t="shared" ref="F503:Q503" si="60">+F501+F459</f>
        <v>2723793.6164584868</v>
      </c>
      <c r="G503" s="72">
        <f t="shared" si="60"/>
        <v>5009684.8829169665</v>
      </c>
      <c r="H503" s="72">
        <f t="shared" si="60"/>
        <v>8604636.0893754587</v>
      </c>
      <c r="I503" s="72">
        <f t="shared" si="60"/>
        <v>11025946.645833947</v>
      </c>
      <c r="J503" s="72">
        <f t="shared" si="60"/>
        <v>13644678.312292432</v>
      </c>
      <c r="K503" s="72">
        <f t="shared" si="60"/>
        <v>16927035.71875092</v>
      </c>
      <c r="L503" s="72">
        <f t="shared" si="60"/>
        <v>19774010.175209403</v>
      </c>
      <c r="M503" s="72">
        <f t="shared" si="60"/>
        <v>22998934.331667893</v>
      </c>
      <c r="N503" s="72">
        <f t="shared" si="60"/>
        <v>25876449.308126379</v>
      </c>
      <c r="O503" s="72">
        <f t="shared" si="60"/>
        <v>28727110.004584871</v>
      </c>
      <c r="P503" s="72">
        <f t="shared" si="60"/>
        <v>31702836.351043351</v>
      </c>
      <c r="Q503" s="72">
        <f t="shared" si="60"/>
        <v>34160134.937501848</v>
      </c>
      <c r="R503" s="62"/>
      <c r="S503" s="62"/>
    </row>
    <row r="504" spans="1:19" s="66" customFormat="1" x14ac:dyDescent="0.2">
      <c r="A504" s="58"/>
      <c r="B504" s="59"/>
      <c r="C504" s="62"/>
      <c r="D504" s="62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2"/>
      <c r="S504" s="62"/>
    </row>
    <row r="505" spans="1:19" s="66" customFormat="1" outlineLevel="1" x14ac:dyDescent="0.2">
      <c r="A505" s="58"/>
      <c r="B505" s="59"/>
      <c r="C505" s="62">
        <v>71</v>
      </c>
      <c r="D505" s="62" t="s">
        <v>175</v>
      </c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2"/>
      <c r="S505" s="62"/>
    </row>
    <row r="506" spans="1:19" s="66" customFormat="1" outlineLevel="1" x14ac:dyDescent="0.2">
      <c r="A506" s="58"/>
      <c r="B506" s="59"/>
      <c r="C506" s="62"/>
      <c r="D506" s="62" t="s">
        <v>2</v>
      </c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2"/>
      <c r="S506" s="62"/>
    </row>
    <row r="507" spans="1:19" s="66" customFormat="1" outlineLevel="1" x14ac:dyDescent="0.2">
      <c r="A507" s="58"/>
      <c r="B507" s="59"/>
      <c r="C507" s="62">
        <v>7101</v>
      </c>
      <c r="D507" s="62" t="s">
        <v>176</v>
      </c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2"/>
      <c r="S507" s="498" t="s">
        <v>958</v>
      </c>
    </row>
    <row r="508" spans="1:19" s="66" customFormat="1" outlineLevel="1" x14ac:dyDescent="0.2">
      <c r="A508" s="58"/>
      <c r="B508" s="59"/>
      <c r="C508" s="62">
        <v>71010006</v>
      </c>
      <c r="D508" s="62" t="s">
        <v>298</v>
      </c>
      <c r="E508" s="63">
        <v>-190020.78</v>
      </c>
      <c r="F508" s="63">
        <v>-15583.69</v>
      </c>
      <c r="G508" s="63">
        <v>-25196.3</v>
      </c>
      <c r="H508" s="63">
        <v>-34604.629999999997</v>
      </c>
      <c r="I508" s="63">
        <v>-39586.720000000001</v>
      </c>
      <c r="J508" s="63">
        <v>-43555.33</v>
      </c>
      <c r="K508" s="63">
        <v>-48965.61</v>
      </c>
      <c r="L508" s="63">
        <v>-54343.38</v>
      </c>
      <c r="M508" s="63">
        <v>-60343.38</v>
      </c>
      <c r="N508" s="63">
        <v>-72806.3</v>
      </c>
      <c r="O508" s="63">
        <v>-82306.3</v>
      </c>
      <c r="P508" s="63">
        <v>-90719.62</v>
      </c>
      <c r="Q508" s="63">
        <v>-102793.59</v>
      </c>
      <c r="R508" s="62"/>
      <c r="S508" s="498" t="s">
        <v>958</v>
      </c>
    </row>
    <row r="509" spans="1:19" s="66" customFormat="1" outlineLevel="1" x14ac:dyDescent="0.2">
      <c r="A509" s="58"/>
      <c r="B509" s="59"/>
      <c r="C509" s="62"/>
      <c r="D509" s="62" t="s">
        <v>2</v>
      </c>
      <c r="E509" s="63" t="s">
        <v>264</v>
      </c>
      <c r="F509" s="63" t="s">
        <v>264</v>
      </c>
      <c r="G509" s="63" t="s">
        <v>264</v>
      </c>
      <c r="H509" s="63" t="s">
        <v>264</v>
      </c>
      <c r="I509" s="63" t="s">
        <v>264</v>
      </c>
      <c r="J509" s="63" t="s">
        <v>264</v>
      </c>
      <c r="K509" s="63" t="s">
        <v>264</v>
      </c>
      <c r="L509" s="63" t="s">
        <v>264</v>
      </c>
      <c r="M509" s="63" t="s">
        <v>264</v>
      </c>
      <c r="N509" s="63" t="s">
        <v>264</v>
      </c>
      <c r="O509" s="63" t="s">
        <v>264</v>
      </c>
      <c r="P509" s="63" t="s">
        <v>264</v>
      </c>
      <c r="Q509" s="63" t="s">
        <v>264</v>
      </c>
      <c r="R509" s="62"/>
      <c r="S509" s="62"/>
    </row>
    <row r="510" spans="1:19" s="66" customFormat="1" x14ac:dyDescent="0.2">
      <c r="A510" s="58"/>
      <c r="B510" s="59"/>
      <c r="C510" s="64" t="s">
        <v>177</v>
      </c>
      <c r="D510" s="64" t="s">
        <v>176</v>
      </c>
      <c r="E510" s="65">
        <f>+E508</f>
        <v>-190020.78</v>
      </c>
      <c r="F510" s="65">
        <f t="shared" ref="F510:Q510" si="61">+F508</f>
        <v>-15583.69</v>
      </c>
      <c r="G510" s="65">
        <f t="shared" si="61"/>
        <v>-25196.3</v>
      </c>
      <c r="H510" s="65">
        <f t="shared" si="61"/>
        <v>-34604.629999999997</v>
      </c>
      <c r="I510" s="65">
        <f t="shared" si="61"/>
        <v>-39586.720000000001</v>
      </c>
      <c r="J510" s="65">
        <f t="shared" si="61"/>
        <v>-43555.33</v>
      </c>
      <c r="K510" s="65">
        <f t="shared" si="61"/>
        <v>-48965.61</v>
      </c>
      <c r="L510" s="65">
        <f t="shared" si="61"/>
        <v>-54343.38</v>
      </c>
      <c r="M510" s="65">
        <f t="shared" si="61"/>
        <v>-60343.38</v>
      </c>
      <c r="N510" s="65">
        <f t="shared" si="61"/>
        <v>-72806.3</v>
      </c>
      <c r="O510" s="65">
        <f t="shared" si="61"/>
        <v>-82306.3</v>
      </c>
      <c r="P510" s="65">
        <f t="shared" si="61"/>
        <v>-90719.62</v>
      </c>
      <c r="Q510" s="65">
        <f t="shared" si="61"/>
        <v>-102793.59</v>
      </c>
      <c r="R510" s="62"/>
      <c r="S510" s="62"/>
    </row>
    <row r="511" spans="1:19" s="66" customFormat="1" outlineLevel="1" x14ac:dyDescent="0.2">
      <c r="A511" s="58"/>
      <c r="B511" s="59"/>
      <c r="C511" s="62"/>
      <c r="D511" s="62" t="s">
        <v>2</v>
      </c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2"/>
      <c r="S511" s="62"/>
    </row>
    <row r="512" spans="1:19" s="66" customFormat="1" outlineLevel="1" x14ac:dyDescent="0.2">
      <c r="A512" s="58"/>
      <c r="B512" s="59"/>
      <c r="C512" s="62">
        <v>7105</v>
      </c>
      <c r="D512" s="62" t="s">
        <v>178</v>
      </c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2"/>
      <c r="S512" s="62"/>
    </row>
    <row r="513" spans="1:19" s="66" customFormat="1" outlineLevel="1" x14ac:dyDescent="0.2">
      <c r="A513" s="58"/>
      <c r="B513" s="59"/>
      <c r="C513" s="62">
        <v>71050001</v>
      </c>
      <c r="D513" s="62" t="s">
        <v>179</v>
      </c>
      <c r="E513" s="63">
        <v>-6107712.379999999</v>
      </c>
      <c r="F513" s="63">
        <v>-361611.76</v>
      </c>
      <c r="G513" s="63">
        <v>-630560.42999999993</v>
      </c>
      <c r="H513" s="63">
        <v>-1170524.8</v>
      </c>
      <c r="I513" s="63">
        <v>-1414700.04</v>
      </c>
      <c r="J513" s="63">
        <v>-1898787.7799999998</v>
      </c>
      <c r="K513" s="63">
        <v>-3280669.39</v>
      </c>
      <c r="L513" s="63">
        <v>-6038548.6200000001</v>
      </c>
      <c r="M513" s="63">
        <v>-7729688.8900000006</v>
      </c>
      <c r="N513" s="63">
        <v>-7845826.370000001</v>
      </c>
      <c r="O513" s="63">
        <v>-7734409.9199999999</v>
      </c>
      <c r="P513" s="63">
        <v>-7766876.29</v>
      </c>
      <c r="Q513" s="63">
        <v>-11230309.280000001</v>
      </c>
      <c r="R513" s="62"/>
      <c r="S513" s="498" t="s">
        <v>178</v>
      </c>
    </row>
    <row r="514" spans="1:19" s="66" customFormat="1" outlineLevel="1" x14ac:dyDescent="0.2">
      <c r="A514" s="58"/>
      <c r="B514" s="59"/>
      <c r="C514" s="62"/>
      <c r="D514" s="62" t="s">
        <v>2</v>
      </c>
      <c r="E514" s="63" t="s">
        <v>264</v>
      </c>
      <c r="F514" s="63" t="s">
        <v>264</v>
      </c>
      <c r="G514" s="63" t="s">
        <v>264</v>
      </c>
      <c r="H514" s="63" t="s">
        <v>264</v>
      </c>
      <c r="I514" s="63" t="s">
        <v>264</v>
      </c>
      <c r="J514" s="63" t="s">
        <v>264</v>
      </c>
      <c r="K514" s="63" t="s">
        <v>264</v>
      </c>
      <c r="L514" s="63" t="s">
        <v>264</v>
      </c>
      <c r="M514" s="63" t="s">
        <v>264</v>
      </c>
      <c r="N514" s="63" t="s">
        <v>264</v>
      </c>
      <c r="O514" s="63" t="s">
        <v>264</v>
      </c>
      <c r="P514" s="63" t="s">
        <v>264</v>
      </c>
      <c r="Q514" s="63" t="s">
        <v>264</v>
      </c>
      <c r="R514" s="62"/>
      <c r="S514" s="62"/>
    </row>
    <row r="515" spans="1:19" s="66" customFormat="1" x14ac:dyDescent="0.2">
      <c r="A515" s="58"/>
      <c r="B515" s="59"/>
      <c r="C515" s="64" t="s">
        <v>180</v>
      </c>
      <c r="D515" s="64" t="s">
        <v>178</v>
      </c>
      <c r="E515" s="65">
        <f>+E513</f>
        <v>-6107712.379999999</v>
      </c>
      <c r="F515" s="65">
        <f t="shared" ref="F515:Q515" si="62">+F513</f>
        <v>-361611.76</v>
      </c>
      <c r="G515" s="65">
        <f t="shared" si="62"/>
        <v>-630560.42999999993</v>
      </c>
      <c r="H515" s="65">
        <f t="shared" si="62"/>
        <v>-1170524.8</v>
      </c>
      <c r="I515" s="65">
        <f t="shared" si="62"/>
        <v>-1414700.04</v>
      </c>
      <c r="J515" s="65">
        <f t="shared" si="62"/>
        <v>-1898787.7799999998</v>
      </c>
      <c r="K515" s="65">
        <f t="shared" si="62"/>
        <v>-3280669.39</v>
      </c>
      <c r="L515" s="65">
        <f t="shared" si="62"/>
        <v>-6038548.6200000001</v>
      </c>
      <c r="M515" s="65">
        <f t="shared" si="62"/>
        <v>-7729688.8900000006</v>
      </c>
      <c r="N515" s="65">
        <f t="shared" si="62"/>
        <v>-7845826.370000001</v>
      </c>
      <c r="O515" s="65">
        <f t="shared" si="62"/>
        <v>-7734409.9199999999</v>
      </c>
      <c r="P515" s="65">
        <f t="shared" si="62"/>
        <v>-7766876.29</v>
      </c>
      <c r="Q515" s="65">
        <f t="shared" si="62"/>
        <v>-11230309.280000001</v>
      </c>
      <c r="R515" s="62"/>
      <c r="S515" s="62"/>
    </row>
    <row r="516" spans="1:19" s="66" customFormat="1" outlineLevel="1" x14ac:dyDescent="0.2">
      <c r="A516" s="58"/>
      <c r="B516" s="59"/>
      <c r="C516" s="62"/>
      <c r="D516" s="62" t="s">
        <v>2</v>
      </c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2"/>
      <c r="S516" s="62"/>
    </row>
    <row r="517" spans="1:19" s="66" customFormat="1" outlineLevel="1" x14ac:dyDescent="0.2">
      <c r="A517" s="58"/>
      <c r="B517" s="59"/>
      <c r="C517" s="62"/>
      <c r="D517" s="62" t="s">
        <v>2</v>
      </c>
      <c r="E517" s="63" t="s">
        <v>264</v>
      </c>
      <c r="F517" s="63" t="s">
        <v>264</v>
      </c>
      <c r="G517" s="63" t="s">
        <v>264</v>
      </c>
      <c r="H517" s="63" t="s">
        <v>264</v>
      </c>
      <c r="I517" s="63" t="s">
        <v>264</v>
      </c>
      <c r="J517" s="63" t="s">
        <v>264</v>
      </c>
      <c r="K517" s="63" t="s">
        <v>264</v>
      </c>
      <c r="L517" s="63" t="s">
        <v>264</v>
      </c>
      <c r="M517" s="63" t="s">
        <v>264</v>
      </c>
      <c r="N517" s="63" t="s">
        <v>264</v>
      </c>
      <c r="O517" s="63" t="s">
        <v>264</v>
      </c>
      <c r="P517" s="63" t="s">
        <v>264</v>
      </c>
      <c r="Q517" s="63" t="s">
        <v>264</v>
      </c>
      <c r="R517" s="62"/>
      <c r="S517" s="62"/>
    </row>
    <row r="518" spans="1:19" s="66" customFormat="1" x14ac:dyDescent="0.2">
      <c r="A518" s="58"/>
      <c r="B518" s="59"/>
      <c r="C518" s="151" t="s">
        <v>181</v>
      </c>
      <c r="D518" s="151" t="s">
        <v>175</v>
      </c>
      <c r="E518" s="70">
        <f>+E515+E510</f>
        <v>-6297733.1599999992</v>
      </c>
      <c r="F518" s="70">
        <f>+F515+F510</f>
        <v>-377195.45</v>
      </c>
      <c r="G518" s="70">
        <f t="shared" ref="G518:Q518" si="63">+G515+G510</f>
        <v>-655756.73</v>
      </c>
      <c r="H518" s="70">
        <f t="shared" si="63"/>
        <v>-1205129.43</v>
      </c>
      <c r="I518" s="70">
        <f t="shared" si="63"/>
        <v>-1454286.76</v>
      </c>
      <c r="J518" s="70">
        <f t="shared" si="63"/>
        <v>-1942343.1099999999</v>
      </c>
      <c r="K518" s="70">
        <f t="shared" si="63"/>
        <v>-3329635</v>
      </c>
      <c r="L518" s="70">
        <f t="shared" si="63"/>
        <v>-6092892</v>
      </c>
      <c r="M518" s="70">
        <f t="shared" si="63"/>
        <v>-7790032.2700000005</v>
      </c>
      <c r="N518" s="70">
        <f t="shared" si="63"/>
        <v>-7918632.6700000009</v>
      </c>
      <c r="O518" s="70">
        <f t="shared" si="63"/>
        <v>-7816716.2199999997</v>
      </c>
      <c r="P518" s="70">
        <f t="shared" si="63"/>
        <v>-7857595.9100000001</v>
      </c>
      <c r="Q518" s="70">
        <f t="shared" si="63"/>
        <v>-11333102.870000001</v>
      </c>
      <c r="R518" s="62"/>
      <c r="S518" s="62"/>
    </row>
    <row r="519" spans="1:19" s="66" customFormat="1" outlineLevel="1" x14ac:dyDescent="0.2">
      <c r="A519" s="58"/>
      <c r="B519" s="59"/>
      <c r="C519" s="62"/>
      <c r="D519" s="62" t="s">
        <v>2</v>
      </c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2"/>
      <c r="S519" s="62"/>
    </row>
    <row r="520" spans="1:19" s="66" customFormat="1" outlineLevel="1" x14ac:dyDescent="0.2">
      <c r="A520" s="58"/>
      <c r="B520" s="59"/>
      <c r="C520" s="62">
        <v>72</v>
      </c>
      <c r="D520" s="62" t="s">
        <v>182</v>
      </c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2"/>
      <c r="S520" s="62"/>
    </row>
    <row r="521" spans="1:19" s="66" customFormat="1" outlineLevel="1" x14ac:dyDescent="0.2">
      <c r="A521" s="58"/>
      <c r="B521" s="59"/>
      <c r="C521" s="62"/>
      <c r="D521" s="62" t="s">
        <v>2</v>
      </c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2"/>
      <c r="S521" s="62"/>
    </row>
    <row r="522" spans="1:19" s="66" customFormat="1" outlineLevel="1" x14ac:dyDescent="0.2">
      <c r="A522" s="58"/>
      <c r="B522" s="59"/>
      <c r="C522" s="62">
        <v>7201</v>
      </c>
      <c r="D522" s="62" t="s">
        <v>183</v>
      </c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2"/>
      <c r="S522" s="498" t="s">
        <v>959</v>
      </c>
    </row>
    <row r="523" spans="1:19" s="66" customFormat="1" outlineLevel="1" x14ac:dyDescent="0.2">
      <c r="A523" s="58"/>
      <c r="B523" s="59"/>
      <c r="C523" s="62">
        <v>72010001</v>
      </c>
      <c r="D523" s="62" t="s">
        <v>183</v>
      </c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2"/>
      <c r="S523" s="498" t="s">
        <v>959</v>
      </c>
    </row>
    <row r="524" spans="1:19" s="66" customFormat="1" outlineLevel="1" x14ac:dyDescent="0.2">
      <c r="A524" s="58"/>
      <c r="B524" s="59"/>
      <c r="C524" s="62"/>
      <c r="D524" s="62" t="s">
        <v>2</v>
      </c>
      <c r="E524" s="63" t="s">
        <v>264</v>
      </c>
      <c r="F524" s="63" t="s">
        <v>264</v>
      </c>
      <c r="G524" s="63" t="s">
        <v>264</v>
      </c>
      <c r="H524" s="63" t="s">
        <v>264</v>
      </c>
      <c r="I524" s="63" t="s">
        <v>264</v>
      </c>
      <c r="J524" s="63" t="s">
        <v>264</v>
      </c>
      <c r="K524" s="63" t="s">
        <v>264</v>
      </c>
      <c r="L524" s="63" t="s">
        <v>264</v>
      </c>
      <c r="M524" s="63" t="s">
        <v>264</v>
      </c>
      <c r="N524" s="63" t="s">
        <v>264</v>
      </c>
      <c r="O524" s="63" t="s">
        <v>264</v>
      </c>
      <c r="P524" s="63" t="s">
        <v>264</v>
      </c>
      <c r="Q524" s="63" t="s">
        <v>264</v>
      </c>
      <c r="R524" s="62"/>
      <c r="S524" s="62"/>
    </row>
    <row r="525" spans="1:19" s="66" customFormat="1" x14ac:dyDescent="0.2">
      <c r="A525" s="58"/>
      <c r="B525" s="59"/>
      <c r="C525" s="64" t="s">
        <v>184</v>
      </c>
      <c r="D525" s="64" t="s">
        <v>511</v>
      </c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2"/>
      <c r="S525" s="62"/>
    </row>
    <row r="526" spans="1:19" s="66" customFormat="1" outlineLevel="1" x14ac:dyDescent="0.2">
      <c r="A526" s="58"/>
      <c r="B526" s="59"/>
      <c r="C526" s="62"/>
      <c r="D526" s="62" t="s">
        <v>2</v>
      </c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2"/>
      <c r="S526" s="62"/>
    </row>
    <row r="527" spans="1:19" s="66" customFormat="1" outlineLevel="1" x14ac:dyDescent="0.2">
      <c r="A527" s="58"/>
      <c r="B527" s="59"/>
      <c r="C527" s="62">
        <v>7202</v>
      </c>
      <c r="D527" s="62" t="s">
        <v>512</v>
      </c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2"/>
      <c r="S527" s="62"/>
    </row>
    <row r="528" spans="1:19" s="66" customFormat="1" outlineLevel="1" x14ac:dyDescent="0.2">
      <c r="A528" s="58"/>
      <c r="B528" s="59"/>
      <c r="C528" s="62">
        <v>72020001</v>
      </c>
      <c r="D528" s="62" t="s">
        <v>512</v>
      </c>
      <c r="E528" s="63"/>
      <c r="F528" s="63">
        <v>6393.8997501841995</v>
      </c>
      <c r="G528" s="63">
        <v>12787.799500368399</v>
      </c>
      <c r="H528" s="63">
        <v>19181.6992505526</v>
      </c>
      <c r="I528" s="63">
        <v>25575.599000736798</v>
      </c>
      <c r="J528" s="63">
        <v>31969.498750920997</v>
      </c>
      <c r="K528" s="63">
        <v>38363.398501105199</v>
      </c>
      <c r="L528" s="63">
        <v>44757.298251289401</v>
      </c>
      <c r="M528" s="63">
        <v>51151.198001473604</v>
      </c>
      <c r="N528" s="63">
        <v>57545.097751657806</v>
      </c>
      <c r="O528" s="63">
        <v>63938.997501842008</v>
      </c>
      <c r="P528" s="63">
        <v>70332.897252026203</v>
      </c>
      <c r="Q528" s="63">
        <v>76726.797002210398</v>
      </c>
      <c r="R528" s="62"/>
      <c r="S528" s="439" t="s">
        <v>959</v>
      </c>
    </row>
    <row r="529" spans="1:19" s="66" customFormat="1" outlineLevel="1" x14ac:dyDescent="0.2">
      <c r="A529" s="58"/>
      <c r="B529" s="59"/>
      <c r="C529" s="62"/>
      <c r="D529" s="62" t="s">
        <v>2</v>
      </c>
      <c r="E529" s="63" t="s">
        <v>264</v>
      </c>
      <c r="F529" s="63" t="s">
        <v>264</v>
      </c>
      <c r="G529" s="63" t="s">
        <v>264</v>
      </c>
      <c r="H529" s="63" t="s">
        <v>264</v>
      </c>
      <c r="I529" s="63" t="s">
        <v>264</v>
      </c>
      <c r="J529" s="63" t="s">
        <v>264</v>
      </c>
      <c r="K529" s="63" t="s">
        <v>264</v>
      </c>
      <c r="L529" s="63" t="s">
        <v>264</v>
      </c>
      <c r="M529" s="63" t="s">
        <v>264</v>
      </c>
      <c r="N529" s="63" t="s">
        <v>264</v>
      </c>
      <c r="O529" s="63" t="s">
        <v>264</v>
      </c>
      <c r="P529" s="63" t="s">
        <v>264</v>
      </c>
      <c r="Q529" s="63" t="s">
        <v>264</v>
      </c>
      <c r="R529" s="62"/>
      <c r="S529" s="62"/>
    </row>
    <row r="530" spans="1:19" s="66" customFormat="1" x14ac:dyDescent="0.2">
      <c r="A530" s="58"/>
      <c r="B530" s="59"/>
      <c r="C530" s="64" t="s">
        <v>186</v>
      </c>
      <c r="D530" s="64" t="s">
        <v>185</v>
      </c>
      <c r="E530" s="65"/>
      <c r="F530" s="65">
        <f>SUM(F528:F529)</f>
        <v>6393.8997501841995</v>
      </c>
      <c r="G530" s="65">
        <f t="shared" ref="G530:Q530" si="64">SUM(G528:G529)</f>
        <v>12787.799500368399</v>
      </c>
      <c r="H530" s="65">
        <f t="shared" si="64"/>
        <v>19181.6992505526</v>
      </c>
      <c r="I530" s="65">
        <f t="shared" si="64"/>
        <v>25575.599000736798</v>
      </c>
      <c r="J530" s="65">
        <f t="shared" si="64"/>
        <v>31969.498750920997</v>
      </c>
      <c r="K530" s="65">
        <f t="shared" si="64"/>
        <v>38363.398501105199</v>
      </c>
      <c r="L530" s="65">
        <f t="shared" si="64"/>
        <v>44757.298251289401</v>
      </c>
      <c r="M530" s="65">
        <f t="shared" si="64"/>
        <v>51151.198001473604</v>
      </c>
      <c r="N530" s="65">
        <f t="shared" si="64"/>
        <v>57545.097751657806</v>
      </c>
      <c r="O530" s="65">
        <f t="shared" si="64"/>
        <v>63938.997501842008</v>
      </c>
      <c r="P530" s="65">
        <f t="shared" si="64"/>
        <v>70332.897252026203</v>
      </c>
      <c r="Q530" s="65">
        <f t="shared" si="64"/>
        <v>76726.797002210398</v>
      </c>
      <c r="R530" s="62"/>
      <c r="S530" s="62"/>
    </row>
    <row r="531" spans="1:19" s="66" customFormat="1" outlineLevel="1" x14ac:dyDescent="0.2">
      <c r="A531" s="58"/>
      <c r="B531" s="59"/>
      <c r="C531" s="62"/>
      <c r="D531" s="62" t="s">
        <v>2</v>
      </c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2"/>
      <c r="S531" s="62"/>
    </row>
    <row r="532" spans="1:19" s="66" customFormat="1" outlineLevel="1" x14ac:dyDescent="0.2">
      <c r="A532" s="58"/>
      <c r="B532" s="59"/>
      <c r="C532" s="62">
        <v>7203</v>
      </c>
      <c r="D532" s="62" t="s">
        <v>187</v>
      </c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2"/>
      <c r="S532" s="62"/>
    </row>
    <row r="533" spans="1:19" s="66" customFormat="1" outlineLevel="1" x14ac:dyDescent="0.2">
      <c r="A533" s="58"/>
      <c r="B533" s="59"/>
      <c r="C533" s="62">
        <v>72030001</v>
      </c>
      <c r="D533" s="62" t="s">
        <v>187</v>
      </c>
      <c r="E533" s="63">
        <v>381847.56</v>
      </c>
      <c r="F533" s="63">
        <v>10347.200000000001</v>
      </c>
      <c r="G533" s="63">
        <v>36365.94</v>
      </c>
      <c r="H533" s="63">
        <v>52717.11</v>
      </c>
      <c r="I533" s="63">
        <v>74592.34</v>
      </c>
      <c r="J533" s="63">
        <v>138559.48000000001</v>
      </c>
      <c r="K533" s="63">
        <v>186279.54</v>
      </c>
      <c r="L533" s="63">
        <v>216443.02</v>
      </c>
      <c r="M533" s="63">
        <v>232766.29</v>
      </c>
      <c r="N533" s="63">
        <v>407958.52</v>
      </c>
      <c r="O533" s="63">
        <v>452700.63</v>
      </c>
      <c r="P533" s="63">
        <v>462237.11</v>
      </c>
      <c r="Q533" s="63">
        <v>480769.44</v>
      </c>
      <c r="R533" s="62"/>
      <c r="S533" s="498" t="s">
        <v>960</v>
      </c>
    </row>
    <row r="534" spans="1:19" s="66" customFormat="1" outlineLevel="1" x14ac:dyDescent="0.2">
      <c r="A534" s="58"/>
      <c r="B534" s="59"/>
      <c r="C534" s="62"/>
      <c r="D534" s="62" t="s">
        <v>2</v>
      </c>
      <c r="E534" s="63" t="s">
        <v>264</v>
      </c>
      <c r="F534" s="63" t="s">
        <v>264</v>
      </c>
      <c r="G534" s="63" t="s">
        <v>264</v>
      </c>
      <c r="H534" s="63" t="s">
        <v>264</v>
      </c>
      <c r="I534" s="63" t="s">
        <v>264</v>
      </c>
      <c r="J534" s="63" t="s">
        <v>264</v>
      </c>
      <c r="K534" s="63" t="s">
        <v>264</v>
      </c>
      <c r="L534" s="63" t="s">
        <v>264</v>
      </c>
      <c r="M534" s="63" t="s">
        <v>264</v>
      </c>
      <c r="N534" s="63" t="s">
        <v>264</v>
      </c>
      <c r="O534" s="63" t="s">
        <v>264</v>
      </c>
      <c r="P534" s="63" t="s">
        <v>264</v>
      </c>
      <c r="Q534" s="63" t="s">
        <v>264</v>
      </c>
      <c r="R534" s="62"/>
      <c r="S534" s="62"/>
    </row>
    <row r="535" spans="1:19" s="66" customFormat="1" x14ac:dyDescent="0.2">
      <c r="A535" s="58"/>
      <c r="B535" s="59"/>
      <c r="C535" s="64" t="s">
        <v>188</v>
      </c>
      <c r="D535" s="64" t="s">
        <v>187</v>
      </c>
      <c r="E535" s="65">
        <f>+E533</f>
        <v>381847.56</v>
      </c>
      <c r="F535" s="65">
        <f t="shared" ref="F535:Q535" si="65">+F533</f>
        <v>10347.200000000001</v>
      </c>
      <c r="G535" s="65">
        <f t="shared" si="65"/>
        <v>36365.94</v>
      </c>
      <c r="H535" s="65">
        <f t="shared" si="65"/>
        <v>52717.11</v>
      </c>
      <c r="I535" s="65">
        <f t="shared" si="65"/>
        <v>74592.34</v>
      </c>
      <c r="J535" s="65">
        <f t="shared" si="65"/>
        <v>138559.48000000001</v>
      </c>
      <c r="K535" s="65">
        <f t="shared" si="65"/>
        <v>186279.54</v>
      </c>
      <c r="L535" s="65">
        <f t="shared" si="65"/>
        <v>216443.02</v>
      </c>
      <c r="M535" s="65">
        <f t="shared" si="65"/>
        <v>232766.29</v>
      </c>
      <c r="N535" s="65">
        <f t="shared" si="65"/>
        <v>407958.52</v>
      </c>
      <c r="O535" s="65">
        <f t="shared" si="65"/>
        <v>452700.63</v>
      </c>
      <c r="P535" s="65">
        <f t="shared" si="65"/>
        <v>462237.11</v>
      </c>
      <c r="Q535" s="65">
        <f t="shared" si="65"/>
        <v>480769.44</v>
      </c>
      <c r="R535" s="62"/>
      <c r="S535" s="62"/>
    </row>
    <row r="536" spans="1:19" s="66" customFormat="1" outlineLevel="1" x14ac:dyDescent="0.2">
      <c r="A536" s="58"/>
      <c r="B536" s="59"/>
      <c r="C536" s="62"/>
      <c r="D536" s="62" t="s">
        <v>2</v>
      </c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2"/>
      <c r="S536" s="62"/>
    </row>
    <row r="537" spans="1:19" s="66" customFormat="1" outlineLevel="1" x14ac:dyDescent="0.2">
      <c r="A537" s="58"/>
      <c r="B537" s="59"/>
      <c r="C537" s="62">
        <v>7204</v>
      </c>
      <c r="D537" s="62" t="s">
        <v>299</v>
      </c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2"/>
      <c r="S537" s="62"/>
    </row>
    <row r="538" spans="1:19" s="66" customFormat="1" outlineLevel="1" x14ac:dyDescent="0.2">
      <c r="A538" s="58"/>
      <c r="B538" s="59"/>
      <c r="C538" s="62">
        <v>72040001</v>
      </c>
      <c r="D538" s="62" t="s">
        <v>299</v>
      </c>
      <c r="E538" s="63">
        <v>2819602.05</v>
      </c>
      <c r="F538" s="63">
        <v>351902.48</v>
      </c>
      <c r="G538" s="63">
        <v>403792.31</v>
      </c>
      <c r="H538" s="63">
        <v>760310.97</v>
      </c>
      <c r="I538" s="63">
        <v>890579.14</v>
      </c>
      <c r="J538" s="63">
        <v>994681.3</v>
      </c>
      <c r="K538" s="63">
        <v>1294008.71</v>
      </c>
      <c r="L538" s="63">
        <v>1748094.93</v>
      </c>
      <c r="M538" s="63">
        <v>2278635.29</v>
      </c>
      <c r="N538" s="63">
        <v>2571619.41</v>
      </c>
      <c r="O538" s="63">
        <v>3306688.86</v>
      </c>
      <c r="P538" s="63">
        <v>3625077.2</v>
      </c>
      <c r="Q538" s="63">
        <v>3837636.68</v>
      </c>
      <c r="R538" s="62"/>
      <c r="S538" s="498" t="s">
        <v>299</v>
      </c>
    </row>
    <row r="539" spans="1:19" s="66" customFormat="1" outlineLevel="1" x14ac:dyDescent="0.2">
      <c r="A539" s="58"/>
      <c r="B539" s="59"/>
      <c r="C539" s="62"/>
      <c r="D539" s="62" t="s">
        <v>2</v>
      </c>
      <c r="E539" s="63" t="s">
        <v>264</v>
      </c>
      <c r="F539" s="63" t="s">
        <v>264</v>
      </c>
      <c r="G539" s="63" t="s">
        <v>264</v>
      </c>
      <c r="H539" s="63" t="s">
        <v>264</v>
      </c>
      <c r="I539" s="63" t="s">
        <v>264</v>
      </c>
      <c r="J539" s="63" t="s">
        <v>264</v>
      </c>
      <c r="K539" s="63" t="s">
        <v>264</v>
      </c>
      <c r="L539" s="63" t="s">
        <v>264</v>
      </c>
      <c r="M539" s="63" t="s">
        <v>264</v>
      </c>
      <c r="N539" s="63" t="s">
        <v>264</v>
      </c>
      <c r="O539" s="63" t="s">
        <v>264</v>
      </c>
      <c r="P539" s="63" t="s">
        <v>264</v>
      </c>
      <c r="Q539" s="63" t="s">
        <v>264</v>
      </c>
      <c r="R539" s="62"/>
      <c r="S539" s="62"/>
    </row>
    <row r="540" spans="1:19" s="66" customFormat="1" x14ac:dyDescent="0.2">
      <c r="A540" s="58"/>
      <c r="B540" s="59"/>
      <c r="C540" s="64" t="s">
        <v>190</v>
      </c>
      <c r="D540" s="64" t="s">
        <v>189</v>
      </c>
      <c r="E540" s="65">
        <f>+E538</f>
        <v>2819602.05</v>
      </c>
      <c r="F540" s="65">
        <f t="shared" ref="F540:Q540" si="66">+F538</f>
        <v>351902.48</v>
      </c>
      <c r="G540" s="65">
        <f t="shared" si="66"/>
        <v>403792.31</v>
      </c>
      <c r="H540" s="65">
        <f t="shared" si="66"/>
        <v>760310.97</v>
      </c>
      <c r="I540" s="65">
        <f t="shared" si="66"/>
        <v>890579.14</v>
      </c>
      <c r="J540" s="65">
        <f t="shared" si="66"/>
        <v>994681.3</v>
      </c>
      <c r="K540" s="65">
        <f t="shared" si="66"/>
        <v>1294008.71</v>
      </c>
      <c r="L540" s="65">
        <f t="shared" si="66"/>
        <v>1748094.93</v>
      </c>
      <c r="M540" s="65">
        <f t="shared" si="66"/>
        <v>2278635.29</v>
      </c>
      <c r="N540" s="65">
        <f t="shared" si="66"/>
        <v>2571619.41</v>
      </c>
      <c r="O540" s="65">
        <f t="shared" si="66"/>
        <v>3306688.86</v>
      </c>
      <c r="P540" s="65">
        <f t="shared" si="66"/>
        <v>3625077.2</v>
      </c>
      <c r="Q540" s="65">
        <f t="shared" si="66"/>
        <v>3837636.68</v>
      </c>
      <c r="R540" s="62"/>
      <c r="S540" s="62"/>
    </row>
    <row r="541" spans="1:19" s="66" customFormat="1" outlineLevel="1" x14ac:dyDescent="0.2">
      <c r="A541" s="58"/>
      <c r="B541" s="59"/>
      <c r="C541" s="62"/>
      <c r="D541" s="62" t="s">
        <v>2</v>
      </c>
      <c r="E541" s="63" t="s">
        <v>264</v>
      </c>
      <c r="F541" s="63" t="s">
        <v>264</v>
      </c>
      <c r="G541" s="63" t="s">
        <v>264</v>
      </c>
      <c r="H541" s="63" t="s">
        <v>264</v>
      </c>
      <c r="I541" s="63" t="s">
        <v>264</v>
      </c>
      <c r="J541" s="63" t="s">
        <v>264</v>
      </c>
      <c r="K541" s="63" t="s">
        <v>264</v>
      </c>
      <c r="L541" s="63" t="s">
        <v>264</v>
      </c>
      <c r="M541" s="63" t="s">
        <v>264</v>
      </c>
      <c r="N541" s="63" t="s">
        <v>264</v>
      </c>
      <c r="O541" s="63" t="s">
        <v>264</v>
      </c>
      <c r="P541" s="63" t="s">
        <v>264</v>
      </c>
      <c r="Q541" s="63" t="s">
        <v>264</v>
      </c>
      <c r="R541" s="62"/>
      <c r="S541" s="62"/>
    </row>
    <row r="542" spans="1:19" s="66" customFormat="1" x14ac:dyDescent="0.2">
      <c r="A542" s="58"/>
      <c r="B542" s="59"/>
      <c r="C542" s="151" t="s">
        <v>191</v>
      </c>
      <c r="D542" s="151" t="s">
        <v>182</v>
      </c>
      <c r="E542" s="70">
        <f>+E540+E535+E530+E525</f>
        <v>3201449.61</v>
      </c>
      <c r="F542" s="70">
        <f t="shared" ref="F542:P542" si="67">+F540+F535+F530+F525</f>
        <v>368643.5797501842</v>
      </c>
      <c r="G542" s="70">
        <f t="shared" si="67"/>
        <v>452946.04950036842</v>
      </c>
      <c r="H542" s="70">
        <f>+H540+H535+H530+H525</f>
        <v>832209.77925055253</v>
      </c>
      <c r="I542" s="70">
        <f t="shared" si="67"/>
        <v>990747.07900073682</v>
      </c>
      <c r="J542" s="70">
        <f t="shared" si="67"/>
        <v>1165210.2787509211</v>
      </c>
      <c r="K542" s="70">
        <f t="shared" si="67"/>
        <v>1518651.6485011051</v>
      </c>
      <c r="L542" s="70">
        <f t="shared" si="67"/>
        <v>2009295.2482512894</v>
      </c>
      <c r="M542" s="70">
        <f t="shared" si="67"/>
        <v>2562552.7780014738</v>
      </c>
      <c r="N542" s="70">
        <f t="shared" si="67"/>
        <v>3037123.0277516581</v>
      </c>
      <c r="O542" s="70">
        <f t="shared" si="67"/>
        <v>3823328.487501842</v>
      </c>
      <c r="P542" s="70">
        <f t="shared" si="67"/>
        <v>4157647.2072520261</v>
      </c>
      <c r="Q542" s="70">
        <f>+Q540+Q535+Q530+Q525</f>
        <v>4395132.9170022104</v>
      </c>
      <c r="R542" s="62"/>
      <c r="S542" s="62"/>
    </row>
    <row r="543" spans="1:19" s="66" customFormat="1" outlineLevel="1" x14ac:dyDescent="0.2">
      <c r="A543" s="58"/>
      <c r="B543" s="59"/>
      <c r="C543" s="62"/>
      <c r="D543" s="62" t="s">
        <v>2</v>
      </c>
      <c r="E543" s="63" t="s">
        <v>264</v>
      </c>
      <c r="F543" s="63" t="s">
        <v>264</v>
      </c>
      <c r="G543" s="63" t="s">
        <v>264</v>
      </c>
      <c r="H543" s="63" t="s">
        <v>264</v>
      </c>
      <c r="I543" s="63" t="s">
        <v>264</v>
      </c>
      <c r="J543" s="63" t="s">
        <v>264</v>
      </c>
      <c r="K543" s="63" t="s">
        <v>264</v>
      </c>
      <c r="L543" s="63" t="s">
        <v>264</v>
      </c>
      <c r="M543" s="63" t="s">
        <v>264</v>
      </c>
      <c r="N543" s="63" t="s">
        <v>264</v>
      </c>
      <c r="O543" s="63" t="s">
        <v>264</v>
      </c>
      <c r="P543" s="63" t="s">
        <v>264</v>
      </c>
      <c r="Q543" s="63" t="s">
        <v>264</v>
      </c>
      <c r="R543" s="62"/>
      <c r="S543" s="62"/>
    </row>
    <row r="544" spans="1:19" s="66" customFormat="1" x14ac:dyDescent="0.2">
      <c r="A544" s="58"/>
      <c r="B544" s="59"/>
      <c r="C544" s="59" t="s">
        <v>442</v>
      </c>
      <c r="D544" s="59" t="s">
        <v>2</v>
      </c>
      <c r="E544" s="72">
        <f>+E542+E518</f>
        <v>-3096283.5499999993</v>
      </c>
      <c r="F544" s="72">
        <f t="shared" ref="F544:P544" si="68">+F542+F518</f>
        <v>-8551.8702498158091</v>
      </c>
      <c r="G544" s="72">
        <f t="shared" si="68"/>
        <v>-202810.68049963156</v>
      </c>
      <c r="H544" s="72">
        <f>+H542+H518</f>
        <v>-372919.65074944741</v>
      </c>
      <c r="I544" s="72">
        <f t="shared" si="68"/>
        <v>-463539.68099926319</v>
      </c>
      <c r="J544" s="72">
        <f t="shared" si="68"/>
        <v>-777132.83124907874</v>
      </c>
      <c r="K544" s="72">
        <f t="shared" si="68"/>
        <v>-1810983.3514988949</v>
      </c>
      <c r="L544" s="72">
        <f t="shared" si="68"/>
        <v>-4083596.7517487109</v>
      </c>
      <c r="M544" s="72">
        <f t="shared" si="68"/>
        <v>-5227479.4919985272</v>
      </c>
      <c r="N544" s="72">
        <f t="shared" si="68"/>
        <v>-4881509.6422483427</v>
      </c>
      <c r="O544" s="72">
        <f t="shared" si="68"/>
        <v>-3993387.7324981578</v>
      </c>
      <c r="P544" s="72">
        <f t="shared" si="68"/>
        <v>-3699948.7027479741</v>
      </c>
      <c r="Q544" s="72">
        <f>+Q542+Q518</f>
        <v>-6937969.9529977906</v>
      </c>
      <c r="R544" s="62"/>
      <c r="S544" s="62"/>
    </row>
    <row r="545" spans="1:19" s="66" customFormat="1" x14ac:dyDescent="0.2">
      <c r="A545" s="58"/>
      <c r="B545" s="59"/>
      <c r="C545" s="59"/>
      <c r="D545" s="59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62"/>
      <c r="S545" s="62"/>
    </row>
    <row r="546" spans="1:19" s="66" customFormat="1" x14ac:dyDescent="0.2">
      <c r="A546" s="58"/>
      <c r="B546" s="59"/>
      <c r="C546" s="59">
        <v>80</v>
      </c>
      <c r="D546" s="59" t="s">
        <v>443</v>
      </c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62"/>
      <c r="S546" s="62"/>
    </row>
    <row r="547" spans="1:19" s="66" customFormat="1" outlineLevel="1" x14ac:dyDescent="0.2">
      <c r="A547" s="58"/>
      <c r="B547" s="59"/>
      <c r="C547" s="62">
        <v>80</v>
      </c>
      <c r="D547" s="62" t="s">
        <v>529</v>
      </c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2"/>
      <c r="S547" s="62"/>
    </row>
    <row r="548" spans="1:19" s="66" customFormat="1" ht="15" outlineLevel="1" x14ac:dyDescent="0.2">
      <c r="A548" s="58"/>
      <c r="B548" s="59"/>
      <c r="C548" s="62">
        <v>80010001</v>
      </c>
      <c r="D548" s="62" t="s">
        <v>114</v>
      </c>
      <c r="E548" s="63">
        <v>13144713.58</v>
      </c>
      <c r="F548" s="63">
        <v>671496</v>
      </c>
      <c r="G548" s="63">
        <v>1215014.1200000001</v>
      </c>
      <c r="H548" s="63">
        <v>1972746.8000000012</v>
      </c>
      <c r="I548" s="63">
        <v>3166133.45</v>
      </c>
      <c r="J548" s="63">
        <v>3638691.1799999988</v>
      </c>
      <c r="K548" s="63">
        <v>5714629.0999999996</v>
      </c>
      <c r="L548" s="63">
        <v>6661575.0199999986</v>
      </c>
      <c r="M548" s="63">
        <v>5888275.2700000005</v>
      </c>
      <c r="N548" s="63">
        <v>9362392.6099999957</v>
      </c>
      <c r="O548" s="63">
        <v>7138316.8099999968</v>
      </c>
      <c r="P548" s="63">
        <v>7568556.1199999992</v>
      </c>
      <c r="Q548" s="63">
        <v>12239228.419999996</v>
      </c>
      <c r="R548" s="68"/>
      <c r="S548" s="510" t="s">
        <v>961</v>
      </c>
    </row>
    <row r="549" spans="1:19" s="66" customFormat="1" ht="15" outlineLevel="1" x14ac:dyDescent="0.2">
      <c r="A549" s="58"/>
      <c r="B549" s="59"/>
      <c r="C549" s="62">
        <v>80010002</v>
      </c>
      <c r="D549" s="62" t="s">
        <v>174</v>
      </c>
      <c r="E549" s="63">
        <v>4607589</v>
      </c>
      <c r="F549" s="63">
        <v>107332</v>
      </c>
      <c r="G549" s="63">
        <v>505880</v>
      </c>
      <c r="H549" s="63">
        <v>899988</v>
      </c>
      <c r="I549" s="63">
        <v>1212947</v>
      </c>
      <c r="J549" s="63">
        <v>1501424</v>
      </c>
      <c r="K549" s="63">
        <v>2467770</v>
      </c>
      <c r="L549" s="63">
        <v>3084536</v>
      </c>
      <c r="M549" s="63">
        <v>3415565</v>
      </c>
      <c r="N549" s="63">
        <v>4068431</v>
      </c>
      <c r="O549" s="63">
        <v>4257239.2</v>
      </c>
      <c r="P549" s="63">
        <v>4545941.2</v>
      </c>
      <c r="Q549" s="63">
        <v>5437881.3899999997</v>
      </c>
      <c r="R549" s="68"/>
      <c r="S549" s="510" t="s">
        <v>962</v>
      </c>
    </row>
    <row r="550" spans="1:19" s="66" customFormat="1" ht="15" outlineLevel="1" x14ac:dyDescent="0.2">
      <c r="A550" s="58"/>
      <c r="B550" s="59"/>
      <c r="C550" s="62">
        <v>80010003</v>
      </c>
      <c r="D550" s="62" t="s">
        <v>530</v>
      </c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>
        <v>232502</v>
      </c>
      <c r="R550" s="62"/>
      <c r="S550" s="510" t="s">
        <v>961</v>
      </c>
    </row>
    <row r="551" spans="1:19" s="66" customFormat="1" outlineLevel="1" x14ac:dyDescent="0.2">
      <c r="A551" s="58"/>
      <c r="B551" s="59"/>
      <c r="C551" s="62"/>
      <c r="D551" s="62" t="s">
        <v>2</v>
      </c>
      <c r="E551" s="63" t="s">
        <v>264</v>
      </c>
      <c r="F551" s="63" t="s">
        <v>264</v>
      </c>
      <c r="G551" s="63" t="s">
        <v>264</v>
      </c>
      <c r="H551" s="63" t="s">
        <v>264</v>
      </c>
      <c r="I551" s="63" t="s">
        <v>264</v>
      </c>
      <c r="J551" s="63" t="s">
        <v>264</v>
      </c>
      <c r="K551" s="63" t="s">
        <v>264</v>
      </c>
      <c r="L551" s="63" t="s">
        <v>264</v>
      </c>
      <c r="M551" s="63" t="s">
        <v>264</v>
      </c>
      <c r="N551" s="63" t="s">
        <v>264</v>
      </c>
      <c r="O551" s="63" t="s">
        <v>264</v>
      </c>
      <c r="P551" s="63" t="s">
        <v>264</v>
      </c>
      <c r="Q551" s="63" t="s">
        <v>264</v>
      </c>
      <c r="R551" s="62"/>
      <c r="S551" s="62"/>
    </row>
    <row r="552" spans="1:19" s="66" customFormat="1" x14ac:dyDescent="0.2">
      <c r="A552" s="58"/>
      <c r="B552" s="59"/>
      <c r="C552" s="64" t="s">
        <v>444</v>
      </c>
      <c r="D552" s="64" t="s">
        <v>369</v>
      </c>
      <c r="E552" s="65">
        <f t="shared" ref="E552:P552" si="69">+E548+E549+E550</f>
        <v>17752302.579999998</v>
      </c>
      <c r="F552" s="65">
        <f t="shared" si="69"/>
        <v>778828</v>
      </c>
      <c r="G552" s="65">
        <f t="shared" si="69"/>
        <v>1720894.12</v>
      </c>
      <c r="H552" s="65">
        <f t="shared" si="69"/>
        <v>2872734.8000000012</v>
      </c>
      <c r="I552" s="65">
        <f t="shared" si="69"/>
        <v>4379080.45</v>
      </c>
      <c r="J552" s="65">
        <f t="shared" si="69"/>
        <v>5140115.1799999988</v>
      </c>
      <c r="K552" s="65">
        <f t="shared" si="69"/>
        <v>8182399.0999999996</v>
      </c>
      <c r="L552" s="65">
        <f t="shared" si="69"/>
        <v>9746111.0199999996</v>
      </c>
      <c r="M552" s="65">
        <f t="shared" si="69"/>
        <v>9303840.2699999996</v>
      </c>
      <c r="N552" s="65">
        <f t="shared" si="69"/>
        <v>13430823.609999996</v>
      </c>
      <c r="O552" s="65">
        <f t="shared" si="69"/>
        <v>11395556.009999998</v>
      </c>
      <c r="P552" s="65">
        <f t="shared" si="69"/>
        <v>12114497.32</v>
      </c>
      <c r="Q552" s="65">
        <f>+Q548+Q549+Q550</f>
        <v>17909611.809999995</v>
      </c>
      <c r="R552" s="62"/>
      <c r="S552" s="62"/>
    </row>
    <row r="553" spans="1:19" s="66" customFormat="1" outlineLevel="1" x14ac:dyDescent="0.2">
      <c r="A553" s="58"/>
      <c r="B553" s="59"/>
      <c r="C553" s="62"/>
      <c r="D553" s="62" t="s">
        <v>2</v>
      </c>
      <c r="E553" s="63" t="s">
        <v>264</v>
      </c>
      <c r="F553" s="63" t="s">
        <v>264</v>
      </c>
      <c r="G553" s="63" t="s">
        <v>264</v>
      </c>
      <c r="H553" s="63" t="s">
        <v>264</v>
      </c>
      <c r="I553" s="63" t="s">
        <v>264</v>
      </c>
      <c r="J553" s="63" t="s">
        <v>264</v>
      </c>
      <c r="K553" s="63" t="s">
        <v>264</v>
      </c>
      <c r="L553" s="63" t="s">
        <v>264</v>
      </c>
      <c r="M553" s="63" t="s">
        <v>264</v>
      </c>
      <c r="N553" s="63" t="s">
        <v>264</v>
      </c>
      <c r="O553" s="63" t="s">
        <v>264</v>
      </c>
      <c r="P553" s="63" t="s">
        <v>264</v>
      </c>
      <c r="Q553" s="63" t="s">
        <v>264</v>
      </c>
      <c r="R553" s="62"/>
      <c r="S553" s="62"/>
    </row>
    <row r="554" spans="1:19" s="66" customFormat="1" x14ac:dyDescent="0.2">
      <c r="A554" s="58"/>
      <c r="B554" s="59"/>
      <c r="C554" s="151" t="s">
        <v>445</v>
      </c>
      <c r="D554" s="151" t="s">
        <v>114</v>
      </c>
      <c r="E554" s="70">
        <f>+E552</f>
        <v>17752302.579999998</v>
      </c>
      <c r="F554" s="70">
        <f>+F552</f>
        <v>778828</v>
      </c>
      <c r="G554" s="70">
        <f t="shared" ref="G554:Q554" si="70">+G552</f>
        <v>1720894.12</v>
      </c>
      <c r="H554" s="70">
        <f t="shared" si="70"/>
        <v>2872734.8000000012</v>
      </c>
      <c r="I554" s="70">
        <f t="shared" si="70"/>
        <v>4379080.45</v>
      </c>
      <c r="J554" s="70">
        <f t="shared" si="70"/>
        <v>5140115.1799999988</v>
      </c>
      <c r="K554" s="70">
        <f t="shared" si="70"/>
        <v>8182399.0999999996</v>
      </c>
      <c r="L554" s="70">
        <f t="shared" si="70"/>
        <v>9746111.0199999996</v>
      </c>
      <c r="M554" s="70">
        <f t="shared" si="70"/>
        <v>9303840.2699999996</v>
      </c>
      <c r="N554" s="70">
        <f t="shared" si="70"/>
        <v>13430823.609999996</v>
      </c>
      <c r="O554" s="70">
        <f t="shared" si="70"/>
        <v>11395556.009999998</v>
      </c>
      <c r="P554" s="70">
        <f t="shared" si="70"/>
        <v>12114497.32</v>
      </c>
      <c r="Q554" s="70">
        <f t="shared" si="70"/>
        <v>17909611.809999995</v>
      </c>
      <c r="R554" s="68"/>
      <c r="S554" s="62"/>
    </row>
    <row r="555" spans="1:19" s="66" customFormat="1" x14ac:dyDescent="0.2">
      <c r="A555" s="58"/>
      <c r="B555" s="59"/>
      <c r="C555" s="59"/>
      <c r="D555" s="59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62"/>
      <c r="S555" s="62"/>
    </row>
    <row r="556" spans="1:19" s="66" customFormat="1" x14ac:dyDescent="0.2">
      <c r="A556" s="58"/>
      <c r="B556" s="59"/>
      <c r="C556" s="59" t="s">
        <v>446</v>
      </c>
      <c r="D556" s="59" t="s">
        <v>2</v>
      </c>
      <c r="E556" s="72">
        <f>+E554</f>
        <v>17752302.579999998</v>
      </c>
      <c r="F556" s="72">
        <f t="shared" ref="F556:Q556" si="71">+F554</f>
        <v>778828</v>
      </c>
      <c r="G556" s="72">
        <f t="shared" si="71"/>
        <v>1720894.12</v>
      </c>
      <c r="H556" s="72">
        <f t="shared" si="71"/>
        <v>2872734.8000000012</v>
      </c>
      <c r="I556" s="72">
        <f t="shared" si="71"/>
        <v>4379080.45</v>
      </c>
      <c r="J556" s="72">
        <f t="shared" si="71"/>
        <v>5140115.1799999988</v>
      </c>
      <c r="K556" s="72">
        <f t="shared" si="71"/>
        <v>8182399.0999999996</v>
      </c>
      <c r="L556" s="72">
        <f t="shared" si="71"/>
        <v>9746111.0199999996</v>
      </c>
      <c r="M556" s="72">
        <f t="shared" si="71"/>
        <v>9303840.2699999996</v>
      </c>
      <c r="N556" s="72">
        <f t="shared" si="71"/>
        <v>13430823.609999996</v>
      </c>
      <c r="O556" s="72">
        <f t="shared" si="71"/>
        <v>11395556.009999998</v>
      </c>
      <c r="P556" s="72">
        <f t="shared" si="71"/>
        <v>12114497.32</v>
      </c>
      <c r="Q556" s="72">
        <f t="shared" si="71"/>
        <v>17909611.809999995</v>
      </c>
      <c r="R556" s="62"/>
      <c r="S556" s="62"/>
    </row>
    <row r="557" spans="1:19" s="66" customFormat="1" x14ac:dyDescent="0.2">
      <c r="A557" s="58"/>
      <c r="B557" s="59"/>
      <c r="C557" s="59"/>
      <c r="D557" s="59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62"/>
      <c r="S557" s="62"/>
    </row>
    <row r="558" spans="1:19" s="66" customFormat="1" x14ac:dyDescent="0.2">
      <c r="A558" s="58"/>
      <c r="B558" s="59"/>
      <c r="C558" s="62"/>
      <c r="D558" s="62" t="s">
        <v>2</v>
      </c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2"/>
      <c r="S558" s="62"/>
    </row>
    <row r="559" spans="1:19" s="66" customFormat="1" x14ac:dyDescent="0.2">
      <c r="A559" s="58"/>
      <c r="B559" s="59"/>
      <c r="C559" s="650" t="s">
        <v>192</v>
      </c>
      <c r="D559" s="650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2"/>
      <c r="S559" s="62"/>
    </row>
    <row r="560" spans="1:19" s="66" customFormat="1" outlineLevel="1" x14ac:dyDescent="0.2">
      <c r="A560" s="58"/>
      <c r="B560" s="59"/>
      <c r="C560" s="62"/>
      <c r="D560" s="62" t="s">
        <v>2</v>
      </c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2"/>
      <c r="S560" s="62"/>
    </row>
    <row r="561" spans="1:19" s="66" customFormat="1" outlineLevel="1" x14ac:dyDescent="0.2">
      <c r="A561" s="58"/>
      <c r="B561" s="59"/>
      <c r="C561" s="62">
        <v>81</v>
      </c>
      <c r="D561" s="62" t="s">
        <v>193</v>
      </c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2"/>
      <c r="S561" s="62"/>
    </row>
    <row r="562" spans="1:19" s="66" customFormat="1" outlineLevel="1" x14ac:dyDescent="0.2">
      <c r="A562" s="58"/>
      <c r="B562" s="59"/>
      <c r="C562" s="62"/>
      <c r="D562" s="62" t="s">
        <v>2</v>
      </c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2"/>
      <c r="S562" s="62"/>
    </row>
    <row r="563" spans="1:19" s="66" customFormat="1" ht="13.5" outlineLevel="1" thickBot="1" x14ac:dyDescent="0.25">
      <c r="A563" s="58"/>
      <c r="B563" s="59"/>
      <c r="C563" s="62">
        <v>8101</v>
      </c>
      <c r="D563" s="62" t="s">
        <v>194</v>
      </c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2"/>
      <c r="S563" s="62"/>
    </row>
    <row r="564" spans="1:19" s="66" customFormat="1" ht="13.5" outlineLevel="1" thickBot="1" x14ac:dyDescent="0.25">
      <c r="A564" s="58"/>
      <c r="B564" s="59"/>
      <c r="C564" s="62">
        <v>81010001</v>
      </c>
      <c r="D564" s="62" t="s">
        <v>195</v>
      </c>
      <c r="E564" s="63">
        <v>-488988.89</v>
      </c>
      <c r="F564" s="63">
        <v>-33973.61</v>
      </c>
      <c r="G564" s="63">
        <v>-65593.09</v>
      </c>
      <c r="H564" s="63">
        <v>-78535.94</v>
      </c>
      <c r="I564" s="63">
        <v>-128248.73</v>
      </c>
      <c r="J564" s="63">
        <v>-184754.73</v>
      </c>
      <c r="K564" s="63">
        <v>-253528.69</v>
      </c>
      <c r="L564" s="63">
        <v>-339990.25</v>
      </c>
      <c r="M564" s="63">
        <v>-383230.06</v>
      </c>
      <c r="N564" s="63">
        <v>-415255.72</v>
      </c>
      <c r="O564" s="63">
        <v>-463833.18</v>
      </c>
      <c r="P564" s="63">
        <v>-478758.27</v>
      </c>
      <c r="Q564" s="63">
        <v>-525320.44999999995</v>
      </c>
      <c r="R564" s="62"/>
      <c r="S564" s="438" t="s">
        <v>953</v>
      </c>
    </row>
    <row r="565" spans="1:19" s="66" customFormat="1" outlineLevel="1" x14ac:dyDescent="0.2">
      <c r="A565" s="58"/>
      <c r="B565" s="59"/>
      <c r="C565" s="62">
        <v>81010002</v>
      </c>
      <c r="D565" s="62" t="s">
        <v>196</v>
      </c>
      <c r="E565" s="63">
        <v>-3002725.96</v>
      </c>
      <c r="F565" s="63">
        <v>-155027.81</v>
      </c>
      <c r="G565" s="63">
        <v>-309308.78999999998</v>
      </c>
      <c r="H565" s="63">
        <v>-582552.65</v>
      </c>
      <c r="I565" s="63">
        <v>-874295.96</v>
      </c>
      <c r="J565" s="63">
        <v>-1210387.22</v>
      </c>
      <c r="K565" s="63">
        <v>-1596653.69</v>
      </c>
      <c r="L565" s="63">
        <v>-1775645.24</v>
      </c>
      <c r="M565" s="63">
        <v>-1839199.77</v>
      </c>
      <c r="N565" s="63">
        <v>-2078240.71</v>
      </c>
      <c r="O565" s="63">
        <v>-2289241.4900000002</v>
      </c>
      <c r="P565" s="63">
        <v>-2532349.2400000002</v>
      </c>
      <c r="Q565" s="63">
        <v>-2659567.84</v>
      </c>
      <c r="R565" s="62"/>
      <c r="S565" s="438" t="s">
        <v>953</v>
      </c>
    </row>
    <row r="566" spans="1:19" s="66" customFormat="1" outlineLevel="1" x14ac:dyDescent="0.2">
      <c r="A566" s="58"/>
      <c r="B566" s="59"/>
      <c r="C566" s="62"/>
      <c r="D566" s="62" t="s">
        <v>2</v>
      </c>
      <c r="E566" s="63" t="s">
        <v>264</v>
      </c>
      <c r="F566" s="63" t="s">
        <v>264</v>
      </c>
      <c r="G566" s="63" t="s">
        <v>264</v>
      </c>
      <c r="H566" s="63" t="s">
        <v>264</v>
      </c>
      <c r="I566" s="63" t="s">
        <v>264</v>
      </c>
      <c r="J566" s="63" t="s">
        <v>264</v>
      </c>
      <c r="K566" s="63" t="s">
        <v>264</v>
      </c>
      <c r="L566" s="63" t="s">
        <v>264</v>
      </c>
      <c r="M566" s="63" t="s">
        <v>264</v>
      </c>
      <c r="N566" s="63" t="s">
        <v>264</v>
      </c>
      <c r="O566" s="63" t="s">
        <v>264</v>
      </c>
      <c r="P566" s="63" t="s">
        <v>264</v>
      </c>
      <c r="Q566" s="63" t="s">
        <v>264</v>
      </c>
      <c r="R566" s="62"/>
      <c r="S566" s="62"/>
    </row>
    <row r="567" spans="1:19" s="66" customFormat="1" x14ac:dyDescent="0.2">
      <c r="A567" s="58"/>
      <c r="B567" s="59"/>
      <c r="C567" s="64" t="s">
        <v>197</v>
      </c>
      <c r="D567" s="64" t="s">
        <v>194</v>
      </c>
      <c r="E567" s="65">
        <f>SUM(E564:E566)</f>
        <v>-3491714.85</v>
      </c>
      <c r="F567" s="65">
        <f t="shared" ref="F567:Q567" si="72">SUM(F564:F566)</f>
        <v>-189001.41999999998</v>
      </c>
      <c r="G567" s="65">
        <f t="shared" si="72"/>
        <v>-374901.88</v>
      </c>
      <c r="H567" s="65">
        <f t="shared" si="72"/>
        <v>-661088.59000000008</v>
      </c>
      <c r="I567" s="65">
        <f t="shared" si="72"/>
        <v>-1002544.69</v>
      </c>
      <c r="J567" s="65">
        <f t="shared" si="72"/>
        <v>-1395141.95</v>
      </c>
      <c r="K567" s="65">
        <f t="shared" si="72"/>
        <v>-1850182.38</v>
      </c>
      <c r="L567" s="65">
        <f t="shared" si="72"/>
        <v>-2115635.4900000002</v>
      </c>
      <c r="M567" s="65">
        <f t="shared" si="72"/>
        <v>-2222429.83</v>
      </c>
      <c r="N567" s="65">
        <f t="shared" si="72"/>
        <v>-2493496.4299999997</v>
      </c>
      <c r="O567" s="65">
        <f t="shared" si="72"/>
        <v>-2753074.6700000004</v>
      </c>
      <c r="P567" s="65">
        <f t="shared" si="72"/>
        <v>-3011107.5100000002</v>
      </c>
      <c r="Q567" s="65">
        <f t="shared" si="72"/>
        <v>-3184888.29</v>
      </c>
      <c r="R567" s="62"/>
      <c r="S567" s="62"/>
    </row>
    <row r="568" spans="1:19" s="66" customFormat="1" outlineLevel="1" x14ac:dyDescent="0.2">
      <c r="A568" s="58"/>
      <c r="B568" s="59"/>
      <c r="C568" s="62"/>
      <c r="D568" s="62" t="s">
        <v>2</v>
      </c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2"/>
      <c r="S568" s="62"/>
    </row>
    <row r="569" spans="1:19" s="66" customFormat="1" ht="13.5" outlineLevel="1" thickBot="1" x14ac:dyDescent="0.25">
      <c r="A569" s="58"/>
      <c r="B569" s="59"/>
      <c r="C569" s="62">
        <v>8103</v>
      </c>
      <c r="D569" s="62" t="s">
        <v>198</v>
      </c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2"/>
      <c r="S569" s="62"/>
    </row>
    <row r="570" spans="1:19" s="66" customFormat="1" ht="13.5" outlineLevel="1" thickBot="1" x14ac:dyDescent="0.25">
      <c r="A570" s="58"/>
      <c r="B570" s="59"/>
      <c r="C570" s="62">
        <v>81030001</v>
      </c>
      <c r="D570" s="62" t="s">
        <v>199</v>
      </c>
      <c r="E570" s="63">
        <v>-213476.7</v>
      </c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>
        <v>-19465.75</v>
      </c>
      <c r="Q570" s="63">
        <v>-21722.43</v>
      </c>
      <c r="R570" s="62"/>
      <c r="S570" s="438" t="s">
        <v>953</v>
      </c>
    </row>
    <row r="571" spans="1:19" s="66" customFormat="1" ht="13.5" outlineLevel="1" thickBot="1" x14ac:dyDescent="0.25">
      <c r="A571" s="58"/>
      <c r="B571" s="77"/>
      <c r="C571" s="62">
        <v>81030002</v>
      </c>
      <c r="D571" s="62" t="s">
        <v>200</v>
      </c>
      <c r="E571" s="63">
        <v>-1403301.21</v>
      </c>
      <c r="F571" s="63">
        <v>-141114.26</v>
      </c>
      <c r="G571" s="63">
        <v>-307672.40999999997</v>
      </c>
      <c r="H571" s="63">
        <v>-390905.83</v>
      </c>
      <c r="I571" s="63">
        <v>-434940.22</v>
      </c>
      <c r="J571" s="63">
        <v>-537175.32999999996</v>
      </c>
      <c r="K571" s="63">
        <v>-580845.4</v>
      </c>
      <c r="L571" s="63">
        <v>-725348.3</v>
      </c>
      <c r="M571" s="63">
        <v>-811981.6</v>
      </c>
      <c r="N571" s="63">
        <v>-807548.03</v>
      </c>
      <c r="O571" s="63">
        <v>-816573.72</v>
      </c>
      <c r="P571" s="63">
        <v>-866199.14</v>
      </c>
      <c r="Q571" s="63">
        <v>-888471.98</v>
      </c>
      <c r="R571" s="62"/>
      <c r="S571" s="438" t="s">
        <v>953</v>
      </c>
    </row>
    <row r="572" spans="1:19" s="66" customFormat="1" outlineLevel="1" x14ac:dyDescent="0.2">
      <c r="A572" s="58"/>
      <c r="B572" s="59"/>
      <c r="C572" s="62">
        <v>81030003</v>
      </c>
      <c r="D572" s="62" t="s">
        <v>201</v>
      </c>
      <c r="E572" s="63"/>
      <c r="F572" s="63"/>
      <c r="G572" s="63"/>
      <c r="H572" s="63"/>
      <c r="I572" s="63">
        <v>-384363.11</v>
      </c>
      <c r="J572" s="63">
        <v>-384363.11</v>
      </c>
      <c r="K572" s="63">
        <v>-384363.11</v>
      </c>
      <c r="L572" s="63">
        <v>-860987.28</v>
      </c>
      <c r="M572" s="63">
        <v>-860987.28</v>
      </c>
      <c r="N572" s="63">
        <v>-860987.28</v>
      </c>
      <c r="O572" s="63">
        <v>-1531992.8</v>
      </c>
      <c r="P572" s="63">
        <v>-1531992.8</v>
      </c>
      <c r="Q572" s="63">
        <v>-1531992.8</v>
      </c>
      <c r="R572" s="62"/>
      <c r="S572" s="438" t="s">
        <v>953</v>
      </c>
    </row>
    <row r="573" spans="1:19" s="66" customFormat="1" outlineLevel="1" x14ac:dyDescent="0.2">
      <c r="A573" s="58"/>
      <c r="B573" s="59"/>
      <c r="C573" s="62"/>
      <c r="D573" s="62" t="s">
        <v>2</v>
      </c>
      <c r="E573" s="63" t="s">
        <v>264</v>
      </c>
      <c r="F573" s="63" t="s">
        <v>264</v>
      </c>
      <c r="G573" s="63" t="s">
        <v>264</v>
      </c>
      <c r="H573" s="63" t="s">
        <v>264</v>
      </c>
      <c r="I573" s="63" t="s">
        <v>264</v>
      </c>
      <c r="J573" s="63" t="s">
        <v>264</v>
      </c>
      <c r="K573" s="63" t="s">
        <v>264</v>
      </c>
      <c r="L573" s="63" t="s">
        <v>264</v>
      </c>
      <c r="M573" s="63" t="s">
        <v>264</v>
      </c>
      <c r="N573" s="63" t="s">
        <v>264</v>
      </c>
      <c r="O573" s="63" t="s">
        <v>264</v>
      </c>
      <c r="P573" s="63" t="s">
        <v>264</v>
      </c>
      <c r="Q573" s="63" t="s">
        <v>264</v>
      </c>
      <c r="R573" s="62"/>
      <c r="S573" s="62"/>
    </row>
    <row r="574" spans="1:19" s="66" customFormat="1" x14ac:dyDescent="0.2">
      <c r="A574" s="58"/>
      <c r="B574" s="59"/>
      <c r="C574" s="64" t="s">
        <v>202</v>
      </c>
      <c r="D574" s="64" t="s">
        <v>198</v>
      </c>
      <c r="E574" s="65">
        <f>SUM(E570:E573)</f>
        <v>-1616777.91</v>
      </c>
      <c r="F574" s="65">
        <f t="shared" ref="F574:Q574" si="73">SUM(F570:F573)</f>
        <v>-141114.26</v>
      </c>
      <c r="G574" s="65">
        <f t="shared" si="73"/>
        <v>-307672.40999999997</v>
      </c>
      <c r="H574" s="65">
        <f t="shared" si="73"/>
        <v>-390905.83</v>
      </c>
      <c r="I574" s="65">
        <f t="shared" si="73"/>
        <v>-819303.33</v>
      </c>
      <c r="J574" s="65">
        <f t="shared" si="73"/>
        <v>-921538.44</v>
      </c>
      <c r="K574" s="65">
        <f t="shared" si="73"/>
        <v>-965208.51</v>
      </c>
      <c r="L574" s="65">
        <f t="shared" si="73"/>
        <v>-1586335.58</v>
      </c>
      <c r="M574" s="65">
        <f t="shared" si="73"/>
        <v>-1672968.88</v>
      </c>
      <c r="N574" s="65">
        <f t="shared" si="73"/>
        <v>-1668535.31</v>
      </c>
      <c r="O574" s="65">
        <f t="shared" si="73"/>
        <v>-2348566.52</v>
      </c>
      <c r="P574" s="65">
        <f t="shared" si="73"/>
        <v>-2417657.69</v>
      </c>
      <c r="Q574" s="65">
        <f t="shared" si="73"/>
        <v>-2442187.21</v>
      </c>
      <c r="R574" s="62"/>
      <c r="S574" s="62"/>
    </row>
    <row r="575" spans="1:19" s="66" customFormat="1" ht="13.5" outlineLevel="1" thickBot="1" x14ac:dyDescent="0.25">
      <c r="A575" s="58"/>
      <c r="B575" s="59"/>
      <c r="C575" s="62"/>
      <c r="D575" s="62" t="s">
        <v>2</v>
      </c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2"/>
      <c r="S575" s="62"/>
    </row>
    <row r="576" spans="1:19" s="66" customFormat="1" ht="13.5" outlineLevel="1" thickBot="1" x14ac:dyDescent="0.25">
      <c r="A576" s="58"/>
      <c r="B576" s="59"/>
      <c r="C576" s="62">
        <v>8104</v>
      </c>
      <c r="D576" s="62" t="s">
        <v>203</v>
      </c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2"/>
      <c r="S576" s="438" t="s">
        <v>953</v>
      </c>
    </row>
    <row r="577" spans="1:19" s="66" customFormat="1" ht="13.5" outlineLevel="1" thickBot="1" x14ac:dyDescent="0.25">
      <c r="A577" s="58"/>
      <c r="B577" s="59"/>
      <c r="C577" s="62">
        <v>81040001</v>
      </c>
      <c r="D577" s="62" t="s">
        <v>203</v>
      </c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2"/>
      <c r="S577" s="438" t="s">
        <v>953</v>
      </c>
    </row>
    <row r="578" spans="1:19" s="66" customFormat="1" outlineLevel="1" x14ac:dyDescent="0.2">
      <c r="A578" s="58"/>
      <c r="B578" s="59"/>
      <c r="C578" s="62">
        <v>81040002</v>
      </c>
      <c r="D578" s="62" t="s">
        <v>205</v>
      </c>
      <c r="E578" s="63">
        <v>-301.74</v>
      </c>
      <c r="F578" s="63">
        <v>-48226.34</v>
      </c>
      <c r="G578" s="63">
        <v>-123488.74</v>
      </c>
      <c r="H578" s="63">
        <v>-123488.74</v>
      </c>
      <c r="I578" s="63">
        <v>-123488.74</v>
      </c>
      <c r="J578" s="63">
        <v>-123488.74</v>
      </c>
      <c r="K578" s="63">
        <v>-123488.74</v>
      </c>
      <c r="L578" s="63">
        <v>-123488.74</v>
      </c>
      <c r="M578" s="63">
        <v>-123488.74</v>
      </c>
      <c r="N578" s="63">
        <v>-123488.74</v>
      </c>
      <c r="O578" s="63">
        <v>-123488.74</v>
      </c>
      <c r="P578" s="63">
        <v>-164868.04999999999</v>
      </c>
      <c r="Q578" s="63">
        <v>-164868.04999999999</v>
      </c>
      <c r="R578" s="62"/>
      <c r="S578" s="438" t="s">
        <v>953</v>
      </c>
    </row>
    <row r="579" spans="1:19" s="66" customFormat="1" outlineLevel="1" x14ac:dyDescent="0.2">
      <c r="A579" s="58"/>
      <c r="B579" s="59"/>
      <c r="C579" s="62"/>
      <c r="D579" s="62" t="s">
        <v>2</v>
      </c>
      <c r="E579" s="63" t="s">
        <v>264</v>
      </c>
      <c r="F579" s="63" t="s">
        <v>264</v>
      </c>
      <c r="G579" s="63" t="s">
        <v>264</v>
      </c>
      <c r="H579" s="63" t="s">
        <v>264</v>
      </c>
      <c r="I579" s="63" t="s">
        <v>264</v>
      </c>
      <c r="J579" s="63" t="s">
        <v>264</v>
      </c>
      <c r="K579" s="63" t="s">
        <v>264</v>
      </c>
      <c r="L579" s="63" t="s">
        <v>264</v>
      </c>
      <c r="M579" s="63" t="s">
        <v>264</v>
      </c>
      <c r="N579" s="63" t="s">
        <v>264</v>
      </c>
      <c r="O579" s="63" t="s">
        <v>264</v>
      </c>
      <c r="P579" s="63" t="s">
        <v>264</v>
      </c>
      <c r="Q579" s="63" t="s">
        <v>264</v>
      </c>
      <c r="R579" s="62"/>
      <c r="S579" s="62"/>
    </row>
    <row r="580" spans="1:19" s="66" customFormat="1" x14ac:dyDescent="0.2">
      <c r="A580" s="58"/>
      <c r="B580" s="59"/>
      <c r="C580" s="64" t="s">
        <v>378</v>
      </c>
      <c r="D580" s="64" t="s">
        <v>204</v>
      </c>
      <c r="E580" s="65">
        <f>SUM(E577:E579)</f>
        <v>-301.74</v>
      </c>
      <c r="F580" s="65">
        <f t="shared" ref="F580:Q580" si="74">SUM(F577:F579)</f>
        <v>-48226.34</v>
      </c>
      <c r="G580" s="65">
        <f t="shared" si="74"/>
        <v>-123488.74</v>
      </c>
      <c r="H580" s="65">
        <f t="shared" si="74"/>
        <v>-123488.74</v>
      </c>
      <c r="I580" s="65">
        <f t="shared" si="74"/>
        <v>-123488.74</v>
      </c>
      <c r="J580" s="65">
        <f t="shared" si="74"/>
        <v>-123488.74</v>
      </c>
      <c r="K580" s="65">
        <f t="shared" si="74"/>
        <v>-123488.74</v>
      </c>
      <c r="L580" s="65">
        <f t="shared" si="74"/>
        <v>-123488.74</v>
      </c>
      <c r="M580" s="65">
        <f t="shared" si="74"/>
        <v>-123488.74</v>
      </c>
      <c r="N580" s="65">
        <f t="shared" si="74"/>
        <v>-123488.74</v>
      </c>
      <c r="O580" s="65">
        <f t="shared" si="74"/>
        <v>-123488.74</v>
      </c>
      <c r="P580" s="65">
        <f t="shared" si="74"/>
        <v>-164868.04999999999</v>
      </c>
      <c r="Q580" s="65">
        <f t="shared" si="74"/>
        <v>-164868.04999999999</v>
      </c>
      <c r="R580" s="62"/>
      <c r="S580" s="62"/>
    </row>
    <row r="581" spans="1:19" s="66" customFormat="1" ht="13.5" outlineLevel="1" thickBot="1" x14ac:dyDescent="0.25">
      <c r="A581" s="58"/>
      <c r="B581" s="59"/>
      <c r="C581" s="62"/>
      <c r="D581" s="62" t="s">
        <v>2</v>
      </c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2"/>
      <c r="S581" s="62"/>
    </row>
    <row r="582" spans="1:19" s="66" customFormat="1" ht="13.5" outlineLevel="1" thickBot="1" x14ac:dyDescent="0.25">
      <c r="A582" s="58"/>
      <c r="B582" s="59"/>
      <c r="C582" s="62">
        <v>8106</v>
      </c>
      <c r="D582" s="62" t="s">
        <v>193</v>
      </c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2"/>
      <c r="S582" s="438" t="s">
        <v>953</v>
      </c>
    </row>
    <row r="583" spans="1:19" s="66" customFormat="1" ht="13.5" outlineLevel="1" thickBot="1" x14ac:dyDescent="0.25">
      <c r="A583" s="58"/>
      <c r="B583" s="59"/>
      <c r="C583" s="62">
        <v>81060001</v>
      </c>
      <c r="D583" s="62" t="s">
        <v>206</v>
      </c>
      <c r="E583" s="63">
        <v>-12516.91</v>
      </c>
      <c r="F583" s="63">
        <v>-2383</v>
      </c>
      <c r="G583" s="63">
        <v>-2383</v>
      </c>
      <c r="H583" s="63">
        <v>-2383</v>
      </c>
      <c r="I583" s="63">
        <v>-2383</v>
      </c>
      <c r="J583" s="63">
        <v>-6831.09</v>
      </c>
      <c r="K583" s="63">
        <v>-6831.09</v>
      </c>
      <c r="L583" s="63">
        <v>-11061.82</v>
      </c>
      <c r="M583" s="63">
        <v>-11061.82</v>
      </c>
      <c r="N583" s="63">
        <v>-12670.82</v>
      </c>
      <c r="O583" s="63">
        <v>-12670.82</v>
      </c>
      <c r="P583" s="63">
        <v>-12670.65</v>
      </c>
      <c r="Q583" s="63">
        <v>-12670.65</v>
      </c>
      <c r="R583" s="62"/>
      <c r="S583" s="438" t="s">
        <v>953</v>
      </c>
    </row>
    <row r="584" spans="1:19" s="66" customFormat="1" ht="13.5" outlineLevel="1" thickBot="1" x14ac:dyDescent="0.25">
      <c r="A584" s="58"/>
      <c r="B584" s="59"/>
      <c r="C584" s="62">
        <v>81060002</v>
      </c>
      <c r="D584" s="62" t="s">
        <v>207</v>
      </c>
      <c r="E584" s="63">
        <v>248.76</v>
      </c>
      <c r="F584" s="63">
        <v>57.15</v>
      </c>
      <c r="G584" s="63">
        <v>69.099999999999994</v>
      </c>
      <c r="H584" s="63">
        <v>72.36</v>
      </c>
      <c r="I584" s="63">
        <v>75.2</v>
      </c>
      <c r="J584" s="63">
        <v>107.96</v>
      </c>
      <c r="K584" s="63">
        <v>102.02</v>
      </c>
      <c r="L584" s="63">
        <v>113.49</v>
      </c>
      <c r="M584" s="63">
        <v>119.62</v>
      </c>
      <c r="N584" s="63">
        <v>144.21</v>
      </c>
      <c r="O584" s="63">
        <v>147.77000000000001</v>
      </c>
      <c r="P584" s="63">
        <v>157.16</v>
      </c>
      <c r="Q584" s="63">
        <v>148.97999999999999</v>
      </c>
      <c r="R584" s="62"/>
      <c r="S584" s="438" t="s">
        <v>953</v>
      </c>
    </row>
    <row r="585" spans="1:19" s="66" customFormat="1" outlineLevel="1" x14ac:dyDescent="0.2">
      <c r="A585" s="58"/>
      <c r="B585" s="59"/>
      <c r="C585" s="62">
        <v>81060003</v>
      </c>
      <c r="D585" s="62" t="s">
        <v>208</v>
      </c>
      <c r="E585" s="63">
        <v>-87142.07</v>
      </c>
      <c r="F585" s="63"/>
      <c r="G585" s="63"/>
      <c r="H585" s="63">
        <v>-23400</v>
      </c>
      <c r="I585" s="63">
        <v>-23400</v>
      </c>
      <c r="J585" s="63">
        <v>-62596.75</v>
      </c>
      <c r="K585" s="63">
        <v>-89713.75</v>
      </c>
      <c r="L585" s="63">
        <v>-103272.25</v>
      </c>
      <c r="M585" s="63">
        <v>-117072.25</v>
      </c>
      <c r="N585" s="63">
        <v>-117072.25</v>
      </c>
      <c r="O585" s="63">
        <v>-151762</v>
      </c>
      <c r="P585" s="63">
        <v>-167045.5</v>
      </c>
      <c r="Q585" s="63">
        <v>-167045.5</v>
      </c>
      <c r="R585" s="62"/>
      <c r="S585" s="438" t="s">
        <v>953</v>
      </c>
    </row>
    <row r="586" spans="1:19" s="66" customFormat="1" outlineLevel="1" x14ac:dyDescent="0.2">
      <c r="A586" s="58"/>
      <c r="B586" s="59"/>
      <c r="C586" s="62"/>
      <c r="D586" s="62" t="s">
        <v>2</v>
      </c>
      <c r="E586" s="63" t="s">
        <v>264</v>
      </c>
      <c r="F586" s="63" t="s">
        <v>264</v>
      </c>
      <c r="G586" s="63" t="s">
        <v>264</v>
      </c>
      <c r="H586" s="63" t="s">
        <v>264</v>
      </c>
      <c r="I586" s="63" t="s">
        <v>264</v>
      </c>
      <c r="J586" s="63" t="s">
        <v>264</v>
      </c>
      <c r="K586" s="63" t="s">
        <v>264</v>
      </c>
      <c r="L586" s="63" t="s">
        <v>264</v>
      </c>
      <c r="M586" s="63" t="s">
        <v>264</v>
      </c>
      <c r="N586" s="63" t="s">
        <v>264</v>
      </c>
      <c r="O586" s="63" t="s">
        <v>264</v>
      </c>
      <c r="P586" s="63" t="s">
        <v>264</v>
      </c>
      <c r="Q586" s="63" t="s">
        <v>264</v>
      </c>
      <c r="R586" s="62"/>
      <c r="S586" s="62"/>
    </row>
    <row r="587" spans="1:19" s="66" customFormat="1" x14ac:dyDescent="0.2">
      <c r="A587" s="58"/>
      <c r="B587" s="59"/>
      <c r="C587" s="64" t="s">
        <v>209</v>
      </c>
      <c r="D587" s="64" t="s">
        <v>193</v>
      </c>
      <c r="E587" s="65">
        <f>SUM(E583:E586)</f>
        <v>-99410.22</v>
      </c>
      <c r="F587" s="65">
        <f t="shared" ref="F587:Q587" si="75">SUM(F583:F586)</f>
        <v>-2325.85</v>
      </c>
      <c r="G587" s="65">
        <f t="shared" si="75"/>
        <v>-2313.9</v>
      </c>
      <c r="H587" s="65">
        <f t="shared" si="75"/>
        <v>-25710.639999999999</v>
      </c>
      <c r="I587" s="65">
        <f t="shared" si="75"/>
        <v>-25707.8</v>
      </c>
      <c r="J587" s="65">
        <f t="shared" si="75"/>
        <v>-69319.88</v>
      </c>
      <c r="K587" s="65">
        <f t="shared" si="75"/>
        <v>-96442.82</v>
      </c>
      <c r="L587" s="65">
        <f t="shared" si="75"/>
        <v>-114220.58</v>
      </c>
      <c r="M587" s="65">
        <f t="shared" si="75"/>
        <v>-128014.45</v>
      </c>
      <c r="N587" s="65">
        <f t="shared" si="75"/>
        <v>-129598.86</v>
      </c>
      <c r="O587" s="65">
        <f t="shared" si="75"/>
        <v>-164285.04999999999</v>
      </c>
      <c r="P587" s="65">
        <f t="shared" si="75"/>
        <v>-179558.99</v>
      </c>
      <c r="Q587" s="65">
        <f t="shared" si="75"/>
        <v>-179567.17</v>
      </c>
      <c r="R587" s="62"/>
      <c r="S587" s="62"/>
    </row>
    <row r="588" spans="1:19" s="66" customFormat="1" outlineLevel="1" x14ac:dyDescent="0.2">
      <c r="A588" s="58"/>
      <c r="B588" s="59"/>
      <c r="C588" s="62"/>
      <c r="D588" s="62" t="s">
        <v>2</v>
      </c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2"/>
      <c r="S588" s="62"/>
    </row>
    <row r="589" spans="1:19" s="66" customFormat="1" outlineLevel="1" x14ac:dyDescent="0.2">
      <c r="A589" s="58"/>
      <c r="B589" s="59"/>
      <c r="C589" s="62"/>
      <c r="D589" s="62" t="s">
        <v>2</v>
      </c>
      <c r="E589" s="63" t="s">
        <v>264</v>
      </c>
      <c r="F589" s="63" t="s">
        <v>264</v>
      </c>
      <c r="G589" s="63" t="s">
        <v>264</v>
      </c>
      <c r="H589" s="63" t="s">
        <v>264</v>
      </c>
      <c r="I589" s="63" t="s">
        <v>264</v>
      </c>
      <c r="J589" s="63" t="s">
        <v>264</v>
      </c>
      <c r="K589" s="63" t="s">
        <v>264</v>
      </c>
      <c r="L589" s="63" t="s">
        <v>264</v>
      </c>
      <c r="M589" s="63" t="s">
        <v>264</v>
      </c>
      <c r="N589" s="63" t="s">
        <v>264</v>
      </c>
      <c r="O589" s="63" t="s">
        <v>264</v>
      </c>
      <c r="P589" s="63" t="s">
        <v>264</v>
      </c>
      <c r="Q589" s="63" t="s">
        <v>264</v>
      </c>
      <c r="R589" s="62"/>
      <c r="S589" s="62"/>
    </row>
    <row r="590" spans="1:19" s="66" customFormat="1" x14ac:dyDescent="0.2">
      <c r="A590" s="58"/>
      <c r="B590" s="60"/>
      <c r="C590" s="60" t="s">
        <v>210</v>
      </c>
      <c r="D590" s="60" t="s">
        <v>193</v>
      </c>
      <c r="E590" s="61">
        <f>+E587+E580+E574+E567</f>
        <v>-5208204.72</v>
      </c>
      <c r="F590" s="61">
        <f t="shared" ref="F590:Q590" si="76">+F587+F580+F574+F567</f>
        <v>-380667.87</v>
      </c>
      <c r="G590" s="61">
        <f t="shared" si="76"/>
        <v>-808376.92999999993</v>
      </c>
      <c r="H590" s="61">
        <f t="shared" si="76"/>
        <v>-1201193.8</v>
      </c>
      <c r="I590" s="61">
        <f t="shared" si="76"/>
        <v>-1971044.56</v>
      </c>
      <c r="J590" s="61">
        <f t="shared" si="76"/>
        <v>-2509489.0099999998</v>
      </c>
      <c r="K590" s="61">
        <f t="shared" si="76"/>
        <v>-3035322.45</v>
      </c>
      <c r="L590" s="61">
        <f t="shared" si="76"/>
        <v>-3939680.3900000006</v>
      </c>
      <c r="M590" s="61">
        <f t="shared" si="76"/>
        <v>-4146901.9</v>
      </c>
      <c r="N590" s="61">
        <f t="shared" si="76"/>
        <v>-4415119.34</v>
      </c>
      <c r="O590" s="61">
        <f t="shared" si="76"/>
        <v>-5389414.9800000004</v>
      </c>
      <c r="P590" s="61">
        <f t="shared" si="76"/>
        <v>-5773192.2400000002</v>
      </c>
      <c r="Q590" s="61">
        <f t="shared" si="76"/>
        <v>-5971510.7199999997</v>
      </c>
      <c r="R590" s="62"/>
      <c r="S590" s="62"/>
    </row>
    <row r="591" spans="1:19" s="66" customFormat="1" outlineLevel="1" x14ac:dyDescent="0.2">
      <c r="A591" s="58"/>
      <c r="B591" s="59"/>
      <c r="C591" s="62"/>
      <c r="D591" s="62" t="s">
        <v>2</v>
      </c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2"/>
      <c r="S591" s="62"/>
    </row>
    <row r="592" spans="1:19" s="66" customFormat="1" outlineLevel="1" x14ac:dyDescent="0.2">
      <c r="A592" s="58"/>
      <c r="B592" s="59"/>
      <c r="C592" s="62">
        <v>82</v>
      </c>
      <c r="D592" s="62" t="s">
        <v>211</v>
      </c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2"/>
      <c r="S592" s="62"/>
    </row>
    <row r="593" spans="1:19" s="66" customFormat="1" outlineLevel="1" x14ac:dyDescent="0.2">
      <c r="A593" s="58"/>
      <c r="B593" s="59"/>
      <c r="C593" s="62">
        <v>82010001</v>
      </c>
      <c r="D593" s="62" t="s">
        <v>211</v>
      </c>
      <c r="E593" s="63">
        <v>5814852.0599999996</v>
      </c>
      <c r="F593" s="63">
        <v>821400.35</v>
      </c>
      <c r="G593" s="63">
        <v>1134946.6299999999</v>
      </c>
      <c r="H593" s="63">
        <v>1561269.82</v>
      </c>
      <c r="I593" s="63">
        <v>2067861.07</v>
      </c>
      <c r="J593" s="63">
        <v>2554105.9300000002</v>
      </c>
      <c r="K593" s="63">
        <v>3539170.2</v>
      </c>
      <c r="L593" s="63">
        <v>4418811.7300000004</v>
      </c>
      <c r="M593" s="63">
        <v>4610798.16</v>
      </c>
      <c r="N593" s="63">
        <v>5008873.83</v>
      </c>
      <c r="O593" s="63">
        <v>5515939.8499999996</v>
      </c>
      <c r="P593" s="63">
        <v>5861741.21</v>
      </c>
      <c r="Q593" s="63">
        <v>6300296.6399999997</v>
      </c>
      <c r="R593" s="62"/>
      <c r="S593" s="498" t="s">
        <v>960</v>
      </c>
    </row>
    <row r="594" spans="1:19" s="66" customFormat="1" outlineLevel="1" x14ac:dyDescent="0.2">
      <c r="A594" s="58"/>
      <c r="B594" s="59"/>
      <c r="C594" s="62"/>
      <c r="D594" s="62"/>
      <c r="E594" s="63" t="s">
        <v>264</v>
      </c>
      <c r="F594" s="63" t="s">
        <v>264</v>
      </c>
      <c r="G594" s="63" t="s">
        <v>264</v>
      </c>
      <c r="H594" s="63" t="s">
        <v>264</v>
      </c>
      <c r="I594" s="63" t="s">
        <v>264</v>
      </c>
      <c r="J594" s="63" t="s">
        <v>264</v>
      </c>
      <c r="K594" s="63" t="s">
        <v>264</v>
      </c>
      <c r="L594" s="63" t="s">
        <v>264</v>
      </c>
      <c r="M594" s="63" t="s">
        <v>264</v>
      </c>
      <c r="N594" s="63" t="s">
        <v>264</v>
      </c>
      <c r="O594" s="63" t="s">
        <v>264</v>
      </c>
      <c r="P594" s="63" t="s">
        <v>264</v>
      </c>
      <c r="Q594" s="63" t="s">
        <v>264</v>
      </c>
      <c r="R594" s="62"/>
      <c r="S594" s="62"/>
    </row>
    <row r="595" spans="1:19" s="66" customFormat="1" x14ac:dyDescent="0.2">
      <c r="A595" s="58"/>
      <c r="B595" s="59"/>
      <c r="C595" s="64" t="s">
        <v>212</v>
      </c>
      <c r="D595" s="64" t="s">
        <v>211</v>
      </c>
      <c r="E595" s="65">
        <f>+E593</f>
        <v>5814852.0599999996</v>
      </c>
      <c r="F595" s="65">
        <f t="shared" ref="F595:Q595" si="77">+F593</f>
        <v>821400.35</v>
      </c>
      <c r="G595" s="65">
        <f t="shared" si="77"/>
        <v>1134946.6299999999</v>
      </c>
      <c r="H595" s="65">
        <f t="shared" si="77"/>
        <v>1561269.82</v>
      </c>
      <c r="I595" s="65">
        <f t="shared" si="77"/>
        <v>2067861.07</v>
      </c>
      <c r="J595" s="65">
        <f t="shared" si="77"/>
        <v>2554105.9300000002</v>
      </c>
      <c r="K595" s="65">
        <f t="shared" si="77"/>
        <v>3539170.2</v>
      </c>
      <c r="L595" s="65">
        <f t="shared" si="77"/>
        <v>4418811.7300000004</v>
      </c>
      <c r="M595" s="65">
        <f t="shared" si="77"/>
        <v>4610798.16</v>
      </c>
      <c r="N595" s="65">
        <f t="shared" si="77"/>
        <v>5008873.83</v>
      </c>
      <c r="O595" s="65">
        <f t="shared" si="77"/>
        <v>5515939.8499999996</v>
      </c>
      <c r="P595" s="65">
        <f t="shared" si="77"/>
        <v>5861741.21</v>
      </c>
      <c r="Q595" s="65">
        <f t="shared" si="77"/>
        <v>6300296.6399999997</v>
      </c>
      <c r="R595" s="62"/>
      <c r="S595" s="62"/>
    </row>
    <row r="596" spans="1:19" s="66" customFormat="1" outlineLevel="1" x14ac:dyDescent="0.2">
      <c r="A596" s="58"/>
      <c r="B596" s="59"/>
      <c r="C596" s="62"/>
      <c r="D596" s="62" t="s">
        <v>2</v>
      </c>
      <c r="E596" s="63" t="s">
        <v>264</v>
      </c>
      <c r="F596" s="63" t="s">
        <v>264</v>
      </c>
      <c r="G596" s="63" t="s">
        <v>264</v>
      </c>
      <c r="H596" s="63" t="s">
        <v>264</v>
      </c>
      <c r="I596" s="63" t="s">
        <v>264</v>
      </c>
      <c r="J596" s="63" t="s">
        <v>264</v>
      </c>
      <c r="K596" s="63" t="s">
        <v>264</v>
      </c>
      <c r="L596" s="63" t="s">
        <v>264</v>
      </c>
      <c r="M596" s="63" t="s">
        <v>264</v>
      </c>
      <c r="N596" s="63" t="s">
        <v>264</v>
      </c>
      <c r="O596" s="63" t="s">
        <v>264</v>
      </c>
      <c r="P596" s="63" t="s">
        <v>264</v>
      </c>
      <c r="Q596" s="63" t="s">
        <v>264</v>
      </c>
      <c r="R596" s="62"/>
      <c r="S596" s="62"/>
    </row>
    <row r="597" spans="1:19" s="66" customFormat="1" x14ac:dyDescent="0.2">
      <c r="A597" s="58"/>
      <c r="B597" s="59"/>
      <c r="C597" s="151" t="s">
        <v>213</v>
      </c>
      <c r="D597" s="151" t="s">
        <v>211</v>
      </c>
      <c r="E597" s="70">
        <f>+E595</f>
        <v>5814852.0599999996</v>
      </c>
      <c r="F597" s="70">
        <f t="shared" ref="F597:Q597" si="78">+F595</f>
        <v>821400.35</v>
      </c>
      <c r="G597" s="70">
        <f t="shared" si="78"/>
        <v>1134946.6299999999</v>
      </c>
      <c r="H597" s="70">
        <f t="shared" si="78"/>
        <v>1561269.82</v>
      </c>
      <c r="I597" s="70">
        <f t="shared" si="78"/>
        <v>2067861.07</v>
      </c>
      <c r="J597" s="70">
        <f t="shared" si="78"/>
        <v>2554105.9300000002</v>
      </c>
      <c r="K597" s="70">
        <f t="shared" si="78"/>
        <v>3539170.2</v>
      </c>
      <c r="L597" s="70">
        <f t="shared" si="78"/>
        <v>4418811.7300000004</v>
      </c>
      <c r="M597" s="70">
        <f t="shared" si="78"/>
        <v>4610798.16</v>
      </c>
      <c r="N597" s="70">
        <f t="shared" si="78"/>
        <v>5008873.83</v>
      </c>
      <c r="O597" s="70">
        <f t="shared" si="78"/>
        <v>5515939.8499999996</v>
      </c>
      <c r="P597" s="70">
        <f t="shared" si="78"/>
        <v>5861741.21</v>
      </c>
      <c r="Q597" s="70">
        <f t="shared" si="78"/>
        <v>6300296.6399999997</v>
      </c>
      <c r="R597" s="62"/>
      <c r="S597" s="62"/>
    </row>
    <row r="598" spans="1:19" s="66" customFormat="1" outlineLevel="1" x14ac:dyDescent="0.2">
      <c r="A598" s="58"/>
      <c r="B598" s="59"/>
      <c r="C598" s="62"/>
      <c r="D598" s="62" t="s">
        <v>2</v>
      </c>
      <c r="E598" s="63" t="s">
        <v>264</v>
      </c>
      <c r="F598" s="63" t="s">
        <v>264</v>
      </c>
      <c r="G598" s="63" t="s">
        <v>264</v>
      </c>
      <c r="H598" s="63" t="s">
        <v>264</v>
      </c>
      <c r="I598" s="63" t="s">
        <v>264</v>
      </c>
      <c r="J598" s="63" t="s">
        <v>264</v>
      </c>
      <c r="K598" s="63" t="s">
        <v>264</v>
      </c>
      <c r="L598" s="63" t="s">
        <v>264</v>
      </c>
      <c r="M598" s="63" t="s">
        <v>264</v>
      </c>
      <c r="N598" s="63" t="s">
        <v>264</v>
      </c>
      <c r="O598" s="63" t="s">
        <v>264</v>
      </c>
      <c r="P598" s="63" t="s">
        <v>264</v>
      </c>
      <c r="Q598" s="63" t="s">
        <v>264</v>
      </c>
      <c r="R598" s="62"/>
      <c r="S598" s="62"/>
    </row>
    <row r="599" spans="1:19" s="66" customFormat="1" x14ac:dyDescent="0.2">
      <c r="A599" s="58"/>
      <c r="B599" s="59"/>
      <c r="C599" s="651" t="s">
        <v>214</v>
      </c>
      <c r="D599" s="651"/>
      <c r="E599" s="72">
        <f>+E597+E590</f>
        <v>606647.33999999985</v>
      </c>
      <c r="F599" s="72">
        <f>+F597+F590</f>
        <v>440732.48</v>
      </c>
      <c r="G599" s="72">
        <f t="shared" ref="G599:P599" si="79">+G597+G590</f>
        <v>326569.69999999995</v>
      </c>
      <c r="H599" s="72">
        <f t="shared" si="79"/>
        <v>360076.02</v>
      </c>
      <c r="I599" s="72">
        <f t="shared" si="79"/>
        <v>96816.510000000009</v>
      </c>
      <c r="J599" s="72">
        <f t="shared" si="79"/>
        <v>44616.920000000391</v>
      </c>
      <c r="K599" s="72">
        <f t="shared" si="79"/>
        <v>503847.75</v>
      </c>
      <c r="L599" s="72">
        <f t="shared" si="79"/>
        <v>479131.33999999985</v>
      </c>
      <c r="M599" s="72">
        <f t="shared" si="79"/>
        <v>463896.26000000024</v>
      </c>
      <c r="N599" s="72">
        <f t="shared" si="79"/>
        <v>593754.49000000022</v>
      </c>
      <c r="O599" s="72">
        <f t="shared" si="79"/>
        <v>126524.86999999918</v>
      </c>
      <c r="P599" s="72">
        <f t="shared" si="79"/>
        <v>88548.969999999739</v>
      </c>
      <c r="Q599" s="72">
        <f>+Q597+Q590</f>
        <v>328785.91999999993</v>
      </c>
      <c r="R599" s="62"/>
      <c r="S599" s="62"/>
    </row>
    <row r="600" spans="1:19" s="66" customFormat="1" x14ac:dyDescent="0.2">
      <c r="A600" s="58"/>
      <c r="B600" s="59"/>
      <c r="C600" s="62"/>
      <c r="D600" s="62" t="s">
        <v>2</v>
      </c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2"/>
      <c r="S600" s="62"/>
    </row>
    <row r="601" spans="1:19" s="66" customFormat="1" x14ac:dyDescent="0.2">
      <c r="A601" s="58"/>
      <c r="B601" s="59"/>
      <c r="C601" s="62"/>
      <c r="D601" s="62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2"/>
      <c r="S601" s="62"/>
    </row>
    <row r="602" spans="1:19" s="66" customFormat="1" x14ac:dyDescent="0.2">
      <c r="A602" s="58"/>
      <c r="B602" s="59"/>
      <c r="C602" s="650" t="s">
        <v>673</v>
      </c>
      <c r="D602" s="650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2"/>
      <c r="S602" s="62"/>
    </row>
    <row r="603" spans="1:19" s="66" customFormat="1" x14ac:dyDescent="0.2">
      <c r="A603" s="58"/>
      <c r="B603" s="59"/>
      <c r="C603" s="62"/>
      <c r="D603" s="64" t="s">
        <v>674</v>
      </c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2"/>
      <c r="S603" s="62"/>
    </row>
    <row r="604" spans="1:19" s="66" customFormat="1" x14ac:dyDescent="0.2">
      <c r="A604" s="58"/>
      <c r="B604" s="59"/>
      <c r="C604" s="62"/>
      <c r="D604" s="64" t="s">
        <v>675</v>
      </c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2"/>
      <c r="S604" s="62"/>
    </row>
    <row r="605" spans="1:19" s="66" customFormat="1" x14ac:dyDescent="0.2">
      <c r="A605" s="58"/>
      <c r="B605" s="59"/>
      <c r="C605" s="62"/>
      <c r="D605" s="64" t="s">
        <v>676</v>
      </c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2"/>
      <c r="S605" s="62"/>
    </row>
    <row r="606" spans="1:19" s="66" customFormat="1" x14ac:dyDescent="0.2">
      <c r="A606" s="58"/>
      <c r="B606" s="59"/>
      <c r="C606" s="62"/>
      <c r="D606" s="64" t="s">
        <v>677</v>
      </c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2"/>
      <c r="S606" s="62"/>
    </row>
    <row r="607" spans="1:19" s="66" customFormat="1" x14ac:dyDescent="0.2">
      <c r="A607" s="58"/>
      <c r="B607" s="59"/>
      <c r="C607" s="62"/>
      <c r="D607" s="64" t="s">
        <v>678</v>
      </c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2"/>
      <c r="S607" s="62"/>
    </row>
    <row r="608" spans="1:19" s="66" customFormat="1" x14ac:dyDescent="0.2">
      <c r="A608" s="58"/>
      <c r="B608" s="59"/>
      <c r="C608" s="62"/>
      <c r="D608" s="64" t="s">
        <v>679</v>
      </c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2"/>
      <c r="S608" s="62"/>
    </row>
    <row r="609" spans="1:19" s="66" customFormat="1" x14ac:dyDescent="0.2">
      <c r="A609" s="58"/>
      <c r="B609" s="59"/>
      <c r="C609" s="62"/>
      <c r="D609" s="64" t="s">
        <v>680</v>
      </c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2"/>
      <c r="S609" s="62"/>
    </row>
    <row r="610" spans="1:19" s="66" customFormat="1" x14ac:dyDescent="0.2">
      <c r="A610" s="58"/>
      <c r="B610" s="59"/>
      <c r="C610" s="62"/>
      <c r="D610" s="64" t="s">
        <v>681</v>
      </c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2"/>
      <c r="S610" s="62"/>
    </row>
    <row r="611" spans="1:19" s="66" customFormat="1" x14ac:dyDescent="0.2">
      <c r="A611" s="58"/>
      <c r="B611" s="59"/>
      <c r="C611" s="62"/>
      <c r="D611" s="64" t="s">
        <v>682</v>
      </c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2"/>
      <c r="S611" s="62"/>
    </row>
    <row r="612" spans="1:19" s="66" customFormat="1" x14ac:dyDescent="0.2">
      <c r="A612" s="58"/>
      <c r="B612" s="59"/>
      <c r="C612" s="62"/>
      <c r="D612" s="64" t="s">
        <v>683</v>
      </c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2"/>
      <c r="S612" s="62"/>
    </row>
    <row r="613" spans="1:19" s="66" customFormat="1" x14ac:dyDescent="0.2">
      <c r="A613" s="58"/>
      <c r="B613" s="59"/>
      <c r="C613" s="62"/>
      <c r="D613" s="64" t="s">
        <v>684</v>
      </c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2"/>
      <c r="S613" s="62"/>
    </row>
    <row r="614" spans="1:19" s="66" customFormat="1" x14ac:dyDescent="0.2">
      <c r="A614" s="58"/>
      <c r="B614" s="59"/>
      <c r="C614" s="62"/>
      <c r="D614" s="64" t="s">
        <v>685</v>
      </c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2"/>
      <c r="S614" s="62"/>
    </row>
    <row r="615" spans="1:19" s="66" customFormat="1" x14ac:dyDescent="0.2">
      <c r="A615" s="58"/>
      <c r="B615" s="59"/>
      <c r="C615" s="62"/>
      <c r="D615" s="64" t="s">
        <v>688</v>
      </c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2"/>
      <c r="S615" s="62"/>
    </row>
    <row r="616" spans="1:19" s="66" customFormat="1" x14ac:dyDescent="0.2">
      <c r="A616" s="58"/>
      <c r="B616" s="59"/>
      <c r="C616" s="62"/>
      <c r="D616" s="64" t="s">
        <v>686</v>
      </c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2"/>
      <c r="S616" s="62"/>
    </row>
    <row r="617" spans="1:19" s="66" customFormat="1" x14ac:dyDescent="0.2">
      <c r="A617" s="58"/>
      <c r="B617" s="59"/>
      <c r="C617" s="62"/>
      <c r="D617" s="64" t="s">
        <v>687</v>
      </c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2"/>
      <c r="S617" s="62"/>
    </row>
    <row r="618" spans="1:19" s="66" customFormat="1" x14ac:dyDescent="0.2">
      <c r="A618" s="58"/>
      <c r="B618" s="59"/>
      <c r="C618" s="62"/>
      <c r="D618" s="62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2"/>
      <c r="S618" s="62"/>
    </row>
    <row r="619" spans="1:19" s="66" customFormat="1" x14ac:dyDescent="0.2">
      <c r="A619" s="58"/>
      <c r="B619" s="59"/>
      <c r="C619" s="62"/>
      <c r="D619" s="62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2"/>
      <c r="S619" s="62"/>
    </row>
    <row r="620" spans="1:19" s="66" customFormat="1" ht="13.5" thickBot="1" x14ac:dyDescent="0.25">
      <c r="A620" s="58"/>
      <c r="B620" s="59"/>
      <c r="C620" s="64" t="s">
        <v>215</v>
      </c>
      <c r="D620" s="64" t="s">
        <v>266</v>
      </c>
      <c r="E620" s="78">
        <f>-E348-E410-E503-E544-E599-E556</f>
        <v>23061159.660000041</v>
      </c>
      <c r="F620" s="78">
        <f t="shared" ref="F620:P620" si="80">-F348-F410-F503-F544-F599-F556</f>
        <v>790395.73379132804</v>
      </c>
      <c r="G620" s="78">
        <f t="shared" si="80"/>
        <v>3630797.567582665</v>
      </c>
      <c r="H620" s="78">
        <f t="shared" si="80"/>
        <v>7526468.8113739807</v>
      </c>
      <c r="I620" s="78">
        <f t="shared" si="80"/>
        <v>8827173.0751652978</v>
      </c>
      <c r="J620" s="78">
        <f t="shared" si="80"/>
        <v>11097819.408956643</v>
      </c>
      <c r="K620" s="78">
        <f t="shared" si="80"/>
        <v>14957621.802748</v>
      </c>
      <c r="L620" s="78">
        <f t="shared" si="80"/>
        <v>20327261.426539317</v>
      </c>
      <c r="M620" s="78">
        <f t="shared" si="80"/>
        <v>22690944.230330642</v>
      </c>
      <c r="N620" s="78">
        <f t="shared" si="80"/>
        <v>23816756.974121977</v>
      </c>
      <c r="O620" s="78">
        <f t="shared" si="80"/>
        <v>27470969.907913253</v>
      </c>
      <c r="P620" s="78">
        <f t="shared" si="80"/>
        <v>29333375.28170462</v>
      </c>
      <c r="Q620" s="78">
        <f>-Q348-Q410-Q503-Q544-Q599-Q556</f>
        <v>32661324.995495908</v>
      </c>
      <c r="R620" s="62"/>
      <c r="S620" s="62"/>
    </row>
    <row r="621" spans="1:19" s="66" customFormat="1" ht="13.5" thickTop="1" x14ac:dyDescent="0.2">
      <c r="A621" s="58"/>
      <c r="B621" s="59"/>
      <c r="C621" s="62"/>
      <c r="D621" s="62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2"/>
      <c r="S621" s="62"/>
    </row>
    <row r="622" spans="1:19" s="66" customFormat="1" x14ac:dyDescent="0.2">
      <c r="A622" s="58"/>
      <c r="B622" s="59"/>
      <c r="C622" s="62"/>
      <c r="D622" s="60" t="s">
        <v>267</v>
      </c>
      <c r="E622" s="79">
        <f t="shared" ref="E622:Q622" si="81">-E620/E348</f>
        <v>0.13093678620646376</v>
      </c>
      <c r="F622" s="79">
        <f t="shared" si="81"/>
        <v>7.3306031078540473E-2</v>
      </c>
      <c r="G622" s="79">
        <f t="shared" si="81"/>
        <v>0.15356364767159453</v>
      </c>
      <c r="H622" s="79">
        <f t="shared" si="81"/>
        <v>0.19416305714286566</v>
      </c>
      <c r="I622" s="79">
        <f t="shared" si="81"/>
        <v>0.16732582302337126</v>
      </c>
      <c r="J622" s="79">
        <f t="shared" si="81"/>
        <v>0.17113651916991737</v>
      </c>
      <c r="K622" s="79">
        <f t="shared" si="81"/>
        <v>0.17377748315958952</v>
      </c>
      <c r="L622" s="79">
        <f t="shared" si="81"/>
        <v>0.20163245546164488</v>
      </c>
      <c r="M622" s="79">
        <f t="shared" si="81"/>
        <v>0.20201428510817837</v>
      </c>
      <c r="N622" s="79">
        <f t="shared" si="81"/>
        <v>0.17976535746277086</v>
      </c>
      <c r="O622" s="79">
        <f t="shared" si="81"/>
        <v>0.19124425253201896</v>
      </c>
      <c r="P622" s="79">
        <f t="shared" si="81"/>
        <v>0.18665438395424816</v>
      </c>
      <c r="Q622" s="79">
        <f t="shared" si="81"/>
        <v>0.1885481207167512</v>
      </c>
      <c r="R622" s="62"/>
      <c r="S622" s="62"/>
    </row>
    <row r="624" spans="1:19" s="66" customFormat="1" x14ac:dyDescent="0.2">
      <c r="A624" s="58"/>
      <c r="B624" s="59"/>
      <c r="C624" s="62"/>
      <c r="D624" s="62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2"/>
      <c r="S624" s="62"/>
    </row>
    <row r="626" spans="4:17" x14ac:dyDescent="0.2">
      <c r="D626" s="133" t="s">
        <v>441</v>
      </c>
      <c r="E626" s="118">
        <f>+E180+E282+E313+E348+E410+E503+E544+E599+E556</f>
        <v>0</v>
      </c>
      <c r="F626" s="118">
        <f t="shared" ref="F626:Q626" si="82">+F180+F282+F313+F348+F410+F503+F544+F599+F556</f>
        <v>0.27975017670542002</v>
      </c>
      <c r="G626" s="118">
        <f t="shared" si="82"/>
        <v>2.0954757928848267E-9</v>
      </c>
      <c r="H626" s="118">
        <f t="shared" si="82"/>
        <v>-1.6298145055770874E-8</v>
      </c>
      <c r="I626" s="118">
        <f t="shared" si="82"/>
        <v>-1.1175870895385742E-8</v>
      </c>
      <c r="J626" s="118">
        <f t="shared" si="82"/>
        <v>-1.0244548320770264E-8</v>
      </c>
      <c r="K626" s="118">
        <f t="shared" si="82"/>
        <v>-2.0489096641540527E-8</v>
      </c>
      <c r="L626" s="118">
        <f t="shared" si="82"/>
        <v>-2.9802322387695313E-8</v>
      </c>
      <c r="M626" s="118">
        <f t="shared" si="82"/>
        <v>1.6763806343078613E-8</v>
      </c>
      <c r="N626" s="118">
        <f t="shared" si="82"/>
        <v>2.4214386940002441E-8</v>
      </c>
      <c r="O626" s="118">
        <f t="shared" si="82"/>
        <v>2.0489096641540527E-8</v>
      </c>
      <c r="P626" s="118">
        <f t="shared" si="82"/>
        <v>0</v>
      </c>
      <c r="Q626" s="118">
        <f t="shared" si="82"/>
        <v>-0.12699996680021286</v>
      </c>
    </row>
  </sheetData>
  <autoFilter ref="A8:Z8" xr:uid="{50287824-A27F-4BAA-9AF1-BD9FF6949D19}"/>
  <mergeCells count="6">
    <mergeCell ref="C602:D602"/>
    <mergeCell ref="C599:D599"/>
    <mergeCell ref="C559:D559"/>
    <mergeCell ref="C313:D313"/>
    <mergeCell ref="C410:D410"/>
    <mergeCell ref="C348:D348"/>
  </mergeCells>
  <hyperlinks>
    <hyperlink ref="R1" location="INDICE!A1" display="INDICE!A1" xr:uid="{AB7F0986-65F5-47FA-9AD8-146D4D7D5C08}"/>
  </hyperlinks>
  <pageMargins left="0.7" right="0.7" top="0.75" bottom="0.75" header="0.3" footer="0.3"/>
  <pageSetup scale="35" orientation="portrait" horizontalDpi="300" verticalDpi="300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4513E-6E8E-43B5-B861-4C31E2DE9001}">
  <sheetPr codeName="Sheet5"/>
  <dimension ref="A1:AC53"/>
  <sheetViews>
    <sheetView showGridLines="0" zoomScaleNormal="100" workbookViewId="0">
      <pane ySplit="7" topLeftCell="A8" activePane="bottomLeft" state="frozen"/>
      <selection pane="bottomLeft" activeCell="E8" sqref="E8"/>
    </sheetView>
  </sheetViews>
  <sheetFormatPr baseColWidth="10" defaultColWidth="7.109375" defaultRowHeight="15" x14ac:dyDescent="0.25"/>
  <cols>
    <col min="1" max="1" width="8.109375" style="99" customWidth="1"/>
    <col min="2" max="2" width="45.77734375" style="25" bestFit="1" customWidth="1"/>
    <col min="3" max="3" width="12.77734375" style="40" bestFit="1" customWidth="1"/>
    <col min="4" max="4" width="5.109375" style="533" bestFit="1" customWidth="1"/>
    <col min="5" max="5" width="12.109375" style="40" bestFit="1" customWidth="1"/>
    <col min="6" max="6" width="5.109375" style="53" bestFit="1" customWidth="1"/>
    <col min="7" max="7" width="5.77734375" style="53" bestFit="1" customWidth="1"/>
    <col min="8" max="8" width="11.109375" style="243" bestFit="1" customWidth="1"/>
    <col min="9" max="9" width="7.109375" style="25"/>
    <col min="10" max="10" width="33.109375" style="25" bestFit="1" customWidth="1"/>
    <col min="11" max="11" width="9.77734375" style="25" bestFit="1" customWidth="1"/>
    <col min="12" max="12" width="3.77734375" style="25" bestFit="1" customWidth="1"/>
    <col min="13" max="13" width="9.77734375" style="25" bestFit="1" customWidth="1"/>
    <col min="14" max="14" width="3.77734375" style="25" bestFit="1" customWidth="1"/>
    <col min="15" max="15" width="9" style="25" bestFit="1" customWidth="1"/>
    <col min="16" max="16" width="4.109375" style="25" bestFit="1" customWidth="1"/>
    <col min="17" max="17" width="9.77734375" style="25" bestFit="1" customWidth="1"/>
    <col min="18" max="18" width="3.77734375" style="25" bestFit="1" customWidth="1"/>
    <col min="19" max="19" width="9" style="25" bestFit="1" customWidth="1"/>
    <col min="20" max="16384" width="7.109375" style="25"/>
  </cols>
  <sheetData>
    <row r="1" spans="1:29" s="31" customFormat="1" ht="12.75" x14ac:dyDescent="0.2">
      <c r="A1" s="98"/>
      <c r="C1" s="38"/>
      <c r="D1" s="518"/>
      <c r="E1" s="38"/>
      <c r="F1" s="51"/>
      <c r="G1" s="51"/>
      <c r="H1" s="239"/>
    </row>
    <row r="2" spans="1:29" s="31" customFormat="1" ht="12.75" x14ac:dyDescent="0.2">
      <c r="A2" s="98"/>
      <c r="C2" s="38"/>
      <c r="D2" s="518"/>
      <c r="E2" s="38"/>
      <c r="F2" s="51"/>
      <c r="G2" s="51"/>
      <c r="H2" s="239"/>
    </row>
    <row r="3" spans="1:29" s="31" customFormat="1" ht="12.75" x14ac:dyDescent="0.2">
      <c r="A3" s="98"/>
      <c r="C3" s="38"/>
      <c r="D3" s="518"/>
      <c r="E3" s="38"/>
      <c r="F3" s="51"/>
      <c r="G3" s="51"/>
      <c r="H3" s="239"/>
    </row>
    <row r="4" spans="1:29" s="125" customFormat="1" ht="15.75" x14ac:dyDescent="0.25">
      <c r="A4" s="124" t="s">
        <v>1033</v>
      </c>
      <c r="C4" s="126"/>
      <c r="D4" s="519"/>
      <c r="E4" s="126"/>
      <c r="F4" s="128"/>
      <c r="G4" s="128"/>
      <c r="H4" s="240"/>
    </row>
    <row r="5" spans="1:29" s="125" customFormat="1" ht="15.75" x14ac:dyDescent="0.25">
      <c r="A5" s="124" t="s">
        <v>423</v>
      </c>
      <c r="C5" s="126"/>
      <c r="D5" s="519"/>
      <c r="E5" s="126"/>
      <c r="F5" s="128"/>
      <c r="G5" s="128"/>
      <c r="H5" s="240"/>
    </row>
    <row r="6" spans="1:29" s="34" customFormat="1" ht="13.5" thickBot="1" x14ac:dyDescent="0.25">
      <c r="A6" s="32" t="s">
        <v>670</v>
      </c>
      <c r="B6" s="32"/>
      <c r="C6" s="39"/>
      <c r="D6" s="520"/>
      <c r="E6" s="39"/>
      <c r="F6" s="52"/>
      <c r="G6" s="80"/>
      <c r="H6" s="241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s="36" customFormat="1" ht="15.75" thickTop="1" x14ac:dyDescent="0.25">
      <c r="A7" s="100" t="s">
        <v>405</v>
      </c>
      <c r="B7" s="35"/>
      <c r="C7" s="37">
        <v>2023</v>
      </c>
      <c r="D7" s="521" t="s">
        <v>263</v>
      </c>
      <c r="E7" s="37">
        <v>2024</v>
      </c>
      <c r="F7" s="54" t="s">
        <v>263</v>
      </c>
      <c r="G7" s="54" t="s">
        <v>379</v>
      </c>
      <c r="H7" s="54" t="s">
        <v>656</v>
      </c>
    </row>
    <row r="8" spans="1:29" x14ac:dyDescent="0.25">
      <c r="B8" s="27" t="s">
        <v>380</v>
      </c>
      <c r="C8" s="41"/>
      <c r="D8" s="522"/>
      <c r="E8" s="41"/>
      <c r="F8" s="48"/>
      <c r="G8" s="81"/>
      <c r="H8" s="242"/>
    </row>
    <row r="9" spans="1:29" x14ac:dyDescent="0.25">
      <c r="A9" s="99" t="s">
        <v>399</v>
      </c>
      <c r="B9" s="28" t="s">
        <v>381</v>
      </c>
      <c r="C9" s="42">
        <f>+SUMIF('I. Balanza'!$A:$A,'II. Balance general '!B9,'I. Balanza'!E:E)</f>
        <v>21093052.970000029</v>
      </c>
      <c r="D9" s="523">
        <f t="shared" ref="D9:D16" si="0">C9/$C$23</f>
        <v>0.19372570451175158</v>
      </c>
      <c r="E9" s="42">
        <f>+SUMIF('I. Balanza'!$A:$A,'II. Balance general '!B9,'I. Balanza'!Q:Q)</f>
        <v>54262994.97299774</v>
      </c>
      <c r="F9" s="49">
        <f t="shared" ref="F9:F16" si="1">E9/$E$23</f>
        <v>0.4031074770073102</v>
      </c>
      <c r="G9" s="82">
        <f t="shared" ref="G9:G16" si="2">+IFERROR((E9-C9)/C9,0)</f>
        <v>1.5725529182605407</v>
      </c>
      <c r="H9" s="243">
        <f t="shared" ref="H9:H15" si="3">C9-E9</f>
        <v>-33169942.002997711</v>
      </c>
    </row>
    <row r="10" spans="1:29" s="517" customFormat="1" x14ac:dyDescent="0.25">
      <c r="A10" s="511" t="s">
        <v>399</v>
      </c>
      <c r="B10" s="512" t="s">
        <v>410</v>
      </c>
      <c r="C10" s="513">
        <f>+SUMIF('I. Balanza'!$A:$A,'II. Balance general '!B10,'I. Balanza'!E:E)</f>
        <v>11106254.080000004</v>
      </c>
      <c r="D10" s="523">
        <f t="shared" si="0"/>
        <v>0.10200357905489643</v>
      </c>
      <c r="E10" s="513">
        <f>+SUMIF('I. Balanza'!$A:$A,'II. Balance general '!B10,'I. Balanza'!Q:Q)</f>
        <v>7119037.3399999999</v>
      </c>
      <c r="F10" s="514">
        <f t="shared" si="1"/>
        <v>5.2885713040282174E-2</v>
      </c>
      <c r="G10" s="515">
        <f t="shared" si="2"/>
        <v>-0.35900644009037497</v>
      </c>
      <c r="H10" s="516">
        <f t="shared" si="3"/>
        <v>3987216.7400000039</v>
      </c>
    </row>
    <row r="11" spans="1:29" x14ac:dyDescent="0.25">
      <c r="A11" s="99" t="s">
        <v>401</v>
      </c>
      <c r="B11" s="28" t="s">
        <v>422</v>
      </c>
      <c r="C11" s="42">
        <f>+SUMIF('I. Balanza'!$A:$A,'II. Balance general '!B11,'I. Balanza'!E:E)</f>
        <v>32890607.649999999</v>
      </c>
      <c r="D11" s="523">
        <f t="shared" si="0"/>
        <v>0.30207842116919725</v>
      </c>
      <c r="E11" s="42">
        <f>+SUMIF('I. Balanza'!$A:$A,'II. Balance general '!B11,'I. Balanza'!Q:Q)</f>
        <v>31786514.099999998</v>
      </c>
      <c r="F11" s="49">
        <f t="shared" si="1"/>
        <v>0.23613480067004158</v>
      </c>
      <c r="G11" s="82">
        <f t="shared" si="2"/>
        <v>-3.3568657707666302E-2</v>
      </c>
      <c r="H11" s="243">
        <f t="shared" si="3"/>
        <v>1104093.5500000007</v>
      </c>
    </row>
    <row r="12" spans="1:29" x14ac:dyDescent="0.25">
      <c r="A12" s="99" t="s">
        <v>400</v>
      </c>
      <c r="B12" s="28" t="s">
        <v>382</v>
      </c>
      <c r="C12" s="42">
        <f>+SUMIF('I. Balanza'!$A:$A,'II. Balance general '!B12,'I. Balanza'!E:E)</f>
        <v>23623213.169999998</v>
      </c>
      <c r="D12" s="523">
        <f t="shared" si="0"/>
        <v>0.21696354817381996</v>
      </c>
      <c r="E12" s="42">
        <f>+SUMIF('I. Balanza'!$A:$A,'II. Balance general '!B12,'I. Balanza'!Q:Q)</f>
        <v>23699378.689999998</v>
      </c>
      <c r="F12" s="49">
        <f t="shared" si="1"/>
        <v>0.1760573067358456</v>
      </c>
      <c r="G12" s="82">
        <f t="shared" si="2"/>
        <v>3.2241812090458969E-3</v>
      </c>
      <c r="H12" s="243">
        <f t="shared" si="3"/>
        <v>-76165.519999999553</v>
      </c>
    </row>
    <row r="13" spans="1:29" x14ac:dyDescent="0.25">
      <c r="A13" s="99" t="s">
        <v>403</v>
      </c>
      <c r="B13" s="28" t="s">
        <v>383</v>
      </c>
      <c r="C13" s="42">
        <f>+SUMIF('I. Balanza'!$A:$A,'II. Balance general '!B13,'I. Balanza'!E:E)</f>
        <v>1083617.43</v>
      </c>
      <c r="D13" s="523">
        <f t="shared" si="0"/>
        <v>9.9523075368242123E-3</v>
      </c>
      <c r="E13" s="42">
        <f>+SUMIF('I. Balanza'!$A:$A,'II. Balance general '!B13,'I. Balanza'!Q:Q)</f>
        <v>1434865.3899999997</v>
      </c>
      <c r="F13" s="49">
        <f t="shared" si="1"/>
        <v>1.0659289401475812E-2</v>
      </c>
      <c r="G13" s="82">
        <f t="shared" si="2"/>
        <v>0.32414388166495234</v>
      </c>
      <c r="H13" s="243">
        <f t="shared" si="3"/>
        <v>-351247.95999999973</v>
      </c>
    </row>
    <row r="14" spans="1:29" x14ac:dyDescent="0.25">
      <c r="A14" s="99" t="s">
        <v>407</v>
      </c>
      <c r="B14" s="28" t="s">
        <v>414</v>
      </c>
      <c r="C14" s="42">
        <f>+SUMIF('I. Balanza'!$A:$A,'II. Balance general '!B14,'I. Balanza'!E:E)</f>
        <v>1042120.82</v>
      </c>
      <c r="D14" s="523">
        <f t="shared" si="0"/>
        <v>9.5711886907978473E-3</v>
      </c>
      <c r="E14" s="42">
        <f>+SUMIF('I. Balanza'!$A:$A,'II. Balance general '!B14,'I. Balanza'!Q:Q)</f>
        <v>377833.9</v>
      </c>
      <c r="F14" s="49">
        <f t="shared" si="1"/>
        <v>2.8068423099871917E-3</v>
      </c>
      <c r="G14" s="82">
        <f t="shared" si="2"/>
        <v>-0.63743752859673219</v>
      </c>
      <c r="H14" s="243">
        <f t="shared" si="3"/>
        <v>664286.91999999993</v>
      </c>
    </row>
    <row r="15" spans="1:29" x14ac:dyDescent="0.25">
      <c r="A15" s="99" t="s">
        <v>426</v>
      </c>
      <c r="B15" s="28" t="s">
        <v>411</v>
      </c>
      <c r="C15" s="42"/>
      <c r="D15" s="523">
        <f t="shared" si="0"/>
        <v>0</v>
      </c>
      <c r="E15" s="42"/>
      <c r="F15" s="49">
        <f t="shared" si="1"/>
        <v>0</v>
      </c>
      <c r="G15" s="82">
        <f t="shared" si="2"/>
        <v>0</v>
      </c>
      <c r="H15" s="243">
        <f t="shared" si="3"/>
        <v>0</v>
      </c>
    </row>
    <row r="16" spans="1:29" x14ac:dyDescent="0.25">
      <c r="B16" s="29" t="s">
        <v>384</v>
      </c>
      <c r="C16" s="129">
        <f>SUM(C9:C15)</f>
        <v>90838866.120000035</v>
      </c>
      <c r="D16" s="524">
        <f t="shared" si="0"/>
        <v>0.83429474913728729</v>
      </c>
      <c r="E16" s="129">
        <f>SUM(E9:E15)</f>
        <v>118680624.39299774</v>
      </c>
      <c r="F16" s="130">
        <f t="shared" si="1"/>
        <v>0.88165142916494255</v>
      </c>
      <c r="G16" s="131">
        <f t="shared" si="2"/>
        <v>0.30649610086742129</v>
      </c>
    </row>
    <row r="17" spans="1:8" x14ac:dyDescent="0.25">
      <c r="B17" s="28"/>
      <c r="C17" s="213">
        <f>+C16-'I. Balanza'!E116</f>
        <v>0</v>
      </c>
      <c r="D17" s="525"/>
      <c r="E17" s="213">
        <f>+E16-'I. Balanza'!Q116</f>
        <v>0</v>
      </c>
      <c r="F17" s="214"/>
      <c r="G17" s="83"/>
      <c r="H17" s="243">
        <f t="shared" ref="H17:H21" si="4">C17-E17</f>
        <v>0</v>
      </c>
    </row>
    <row r="18" spans="1:8" x14ac:dyDescent="0.25">
      <c r="A18" s="99" t="s">
        <v>404</v>
      </c>
      <c r="B18" s="28" t="s">
        <v>385</v>
      </c>
      <c r="C18" s="42">
        <f>+SUMIF('I. Balanza'!$A:$A,'II. Balance general '!B18,'I. Balanza'!E:E)</f>
        <v>18042157.299999993</v>
      </c>
      <c r="D18" s="523">
        <f>C18/$C$23</f>
        <v>0.16570525086271262</v>
      </c>
      <c r="E18" s="42">
        <f>+SUMIF('I. Balanza'!$A:$A,'II. Balance general '!B18,'I. Balanza'!Q:Q)</f>
        <v>15216154.92</v>
      </c>
      <c r="F18" s="49">
        <f>E18/$E$23</f>
        <v>0.11303736225038508</v>
      </c>
      <c r="G18" s="82">
        <f>+IFERROR((E18-C18)/C18,0)</f>
        <v>-0.15663328575458071</v>
      </c>
      <c r="H18" s="243">
        <f t="shared" si="4"/>
        <v>2826002.3799999934</v>
      </c>
    </row>
    <row r="19" spans="1:8" x14ac:dyDescent="0.25">
      <c r="A19" s="99" t="s">
        <v>426</v>
      </c>
      <c r="B19" s="28" t="s">
        <v>412</v>
      </c>
      <c r="C19" s="42">
        <f>+SUMIF('I. Balanza'!$A:$A,'II. Balance general '!B19,'I. Balanza'!E:E)</f>
        <v>0</v>
      </c>
      <c r="D19" s="523">
        <f>C19/$C$23</f>
        <v>0</v>
      </c>
      <c r="E19" s="42">
        <f>+SUMIF('I. Balanza'!$A:$A,'II. Balance general '!B19,'I. Balanza'!Q:Q)</f>
        <v>714950.97751657828</v>
      </c>
      <c r="F19" s="49">
        <f>E19/$E$23</f>
        <v>5.3112085846723474E-3</v>
      </c>
      <c r="G19" s="82">
        <f>+IFERROR((E19-C19)/C19,0)</f>
        <v>0</v>
      </c>
      <c r="H19" s="243">
        <f t="shared" si="4"/>
        <v>-714950.97751657828</v>
      </c>
    </row>
    <row r="20" spans="1:8" x14ac:dyDescent="0.25">
      <c r="A20" s="99" t="s">
        <v>425</v>
      </c>
      <c r="B20" s="28" t="s">
        <v>415</v>
      </c>
      <c r="C20" s="42">
        <f>+SUMIF('I. Balanza'!$A:$A,'II. Balance general '!B20,'I. Balanza'!E:E)</f>
        <v>0</v>
      </c>
      <c r="D20" s="523">
        <f>C20/$C$23</f>
        <v>0</v>
      </c>
      <c r="E20" s="42">
        <f>+SUMIF('I. Balanza'!$A:$A,'II. Balance general '!B20,'I. Balanza'!Q:Q)</f>
        <v>0</v>
      </c>
      <c r="F20" s="49">
        <f>E20/$E$23</f>
        <v>0</v>
      </c>
      <c r="G20" s="82">
        <f>+IFERROR((E20-C20)/C20,0)</f>
        <v>0</v>
      </c>
      <c r="H20" s="243">
        <f t="shared" si="4"/>
        <v>0</v>
      </c>
    </row>
    <row r="21" spans="1:8" x14ac:dyDescent="0.25">
      <c r="A21" s="99" t="s">
        <v>438</v>
      </c>
      <c r="B21" s="28" t="s">
        <v>386</v>
      </c>
      <c r="C21" s="42">
        <f>+SUMIF('I. Balanza'!$A:$A,'II. Balance general '!B21,'I. Balanza'!E:E)</f>
        <v>0</v>
      </c>
      <c r="D21" s="523">
        <f>C21/$C$23</f>
        <v>0</v>
      </c>
      <c r="E21" s="42">
        <f>+SUMIF('I. Balanza'!$A:$A,'II. Balance general '!B21,'I. Balanza'!Q:Q)</f>
        <v>0</v>
      </c>
      <c r="F21" s="49">
        <f>E21/$E$23</f>
        <v>0</v>
      </c>
      <c r="G21" s="82">
        <f>+IFERROR((E21-C21)/C21,0)</f>
        <v>0</v>
      </c>
      <c r="H21" s="243">
        <f t="shared" si="4"/>
        <v>0</v>
      </c>
    </row>
    <row r="22" spans="1:8" x14ac:dyDescent="0.25">
      <c r="B22" s="55"/>
      <c r="C22" s="56"/>
      <c r="D22" s="526"/>
      <c r="E22" s="56"/>
      <c r="F22" s="57"/>
      <c r="G22" s="85"/>
      <c r="H22" s="243">
        <f t="shared" ref="H22:H24" si="5">C22-E22</f>
        <v>0</v>
      </c>
    </row>
    <row r="23" spans="1:8" s="26" customFormat="1" x14ac:dyDescent="0.25">
      <c r="A23" s="101"/>
      <c r="B23" s="27" t="s">
        <v>387</v>
      </c>
      <c r="C23" s="86">
        <f>SUM(C16+C18+C20+C21)</f>
        <v>108881023.42000003</v>
      </c>
      <c r="D23" s="527">
        <f>+C23/C23</f>
        <v>1</v>
      </c>
      <c r="E23" s="86">
        <f>SUM(E16+E18+E20+E21+E19)</f>
        <v>134611730.29051432</v>
      </c>
      <c r="F23" s="87">
        <f>+E23/E23</f>
        <v>1</v>
      </c>
      <c r="G23" s="88">
        <f>(E23-C23)/C23</f>
        <v>0.23631948031256189</v>
      </c>
      <c r="H23" s="243"/>
    </row>
    <row r="24" spans="1:8" x14ac:dyDescent="0.25">
      <c r="B24" s="89"/>
      <c r="C24" s="215">
        <f>+C23-'I. Balanza'!E180</f>
        <v>0</v>
      </c>
      <c r="D24" s="522"/>
      <c r="E24" s="90">
        <f>+E23-'I. Balanza'!Q180</f>
        <v>0</v>
      </c>
      <c r="F24" s="48"/>
      <c r="G24" s="81"/>
      <c r="H24" s="243">
        <f t="shared" si="5"/>
        <v>0</v>
      </c>
    </row>
    <row r="25" spans="1:8" x14ac:dyDescent="0.25">
      <c r="B25" s="29" t="s">
        <v>439</v>
      </c>
      <c r="C25" s="42"/>
      <c r="D25" s="528"/>
      <c r="E25" s="42"/>
      <c r="F25" s="50"/>
      <c r="G25" s="84"/>
    </row>
    <row r="26" spans="1:8" x14ac:dyDescent="0.25">
      <c r="B26" s="28" t="s">
        <v>428</v>
      </c>
      <c r="C26" s="42">
        <f>-SUMIF('I. Balanza'!$A:$A,'II. Balance general '!B26,'I. Balanza'!E:E)</f>
        <v>20379524.34</v>
      </c>
      <c r="D26" s="523">
        <f t="shared" ref="D26:D31" si="6">-C26/$C$23</f>
        <v>-0.18717241719328426</v>
      </c>
      <c r="E26" s="42">
        <f>-SUMIF('I. Balanza'!$A:$A,'II. Balance general '!B26,'I. Balanza'!Q:Q)</f>
        <v>12303168.74</v>
      </c>
      <c r="F26" s="49">
        <f t="shared" ref="F26:F31" si="7">-E26/$E$23</f>
        <v>-9.1397448895781469E-2</v>
      </c>
      <c r="G26" s="82">
        <f t="shared" ref="G26:G31" si="8">+IFERROR((E26-C26)/C26,0)</f>
        <v>-0.39629755166307279</v>
      </c>
      <c r="H26" s="243">
        <f>E26-C26</f>
        <v>-8076355.5999999996</v>
      </c>
    </row>
    <row r="27" spans="1:8" x14ac:dyDescent="0.25">
      <c r="A27" s="99" t="s">
        <v>429</v>
      </c>
      <c r="B27" s="28" t="s">
        <v>430</v>
      </c>
      <c r="C27" s="42">
        <f>-SUMIF('I. Balanza'!$A:$A,'II. Balance general '!B27,'I. Balanza'!E:E)</f>
        <v>0</v>
      </c>
      <c r="D27" s="523">
        <f t="shared" si="6"/>
        <v>0</v>
      </c>
      <c r="E27" s="42">
        <f>-SUMIF('I. Balanza'!$A:$A,'II. Balance general '!B27,'I. Balanza'!Q:Q)</f>
        <v>0</v>
      </c>
      <c r="F27" s="49">
        <f t="shared" si="7"/>
        <v>0</v>
      </c>
      <c r="G27" s="82">
        <f t="shared" si="8"/>
        <v>0</v>
      </c>
      <c r="H27" s="243">
        <f t="shared" ref="H27:H30" si="9">E27-C27</f>
        <v>0</v>
      </c>
    </row>
    <row r="28" spans="1:8" x14ac:dyDescent="0.25">
      <c r="A28" s="99" t="s">
        <v>431</v>
      </c>
      <c r="B28" s="28" t="s">
        <v>390</v>
      </c>
      <c r="C28" s="42">
        <f>-SUMIF('I. Balanza'!$A:$A,'II. Balance general '!B28,'I. Balanza'!E:E)</f>
        <v>787788.26999999641</v>
      </c>
      <c r="D28" s="523">
        <f t="shared" si="6"/>
        <v>-7.2353128695453644E-3</v>
      </c>
      <c r="E28" s="42">
        <f>-SUMIF('I. Balanza'!$A:$A,'II. Balance general '!B28,'I. Balanza'!Q:Q)</f>
        <v>836736.11000000453</v>
      </c>
      <c r="F28" s="49">
        <f t="shared" si="7"/>
        <v>-6.2159227000068264E-3</v>
      </c>
      <c r="G28" s="82">
        <f t="shared" si="8"/>
        <v>6.2133242984194648E-2</v>
      </c>
      <c r="H28" s="243">
        <f t="shared" si="9"/>
        <v>48947.840000008116</v>
      </c>
    </row>
    <row r="29" spans="1:8" x14ac:dyDescent="0.25">
      <c r="A29" s="99" t="s">
        <v>407</v>
      </c>
      <c r="B29" s="28" t="s">
        <v>432</v>
      </c>
      <c r="C29" s="42">
        <f>-SUMIF('I. Balanza'!$A:$A,'II. Balance general '!B29,'I. Balanza'!E:E)</f>
        <v>4060053.5799999982</v>
      </c>
      <c r="D29" s="523">
        <f t="shared" si="6"/>
        <v>-3.7288899869526937E-2</v>
      </c>
      <c r="E29" s="42">
        <f>-SUMIF('I. Balanza'!$A:$A,'II. Balance general '!B29,'I. Balanza'!Q:Q)</f>
        <v>4981493</v>
      </c>
      <c r="F29" s="49">
        <f t="shared" si="7"/>
        <v>-3.7006381161947155E-2</v>
      </c>
      <c r="G29" s="82">
        <f t="shared" si="8"/>
        <v>0.22695252706492661</v>
      </c>
      <c r="H29" s="243">
        <f t="shared" si="9"/>
        <v>921439.42000000179</v>
      </c>
    </row>
    <row r="30" spans="1:8" x14ac:dyDescent="0.25">
      <c r="A30" s="99" t="s">
        <v>534</v>
      </c>
      <c r="B30" s="28" t="s">
        <v>389</v>
      </c>
      <c r="C30" s="42">
        <f>-SUMIF('I. Balanza'!$A:$A,'II. Balance general '!B30,'I. Balanza'!E:E)</f>
        <v>13250175.710000001</v>
      </c>
      <c r="D30" s="523">
        <f t="shared" si="6"/>
        <v>-0.12169407757023448</v>
      </c>
      <c r="E30" s="42">
        <f>-SUMIF('I. Balanza'!$A:$A,'II. Balance general '!B30,'I. Balanza'!Q:Q)</f>
        <v>11128668.24</v>
      </c>
      <c r="F30" s="49">
        <f t="shared" si="7"/>
        <v>-8.2672351183529835E-2</v>
      </c>
      <c r="G30" s="82">
        <f t="shared" si="8"/>
        <v>-0.16011164805904302</v>
      </c>
      <c r="H30" s="243">
        <f t="shared" si="9"/>
        <v>-2121507.4700000007</v>
      </c>
    </row>
    <row r="31" spans="1:8" x14ac:dyDescent="0.25">
      <c r="B31" s="29" t="s">
        <v>433</v>
      </c>
      <c r="C31" s="129">
        <f>SUM(C26:C30)</f>
        <v>38477541.899999991</v>
      </c>
      <c r="D31" s="524">
        <f t="shared" si="6"/>
        <v>-0.35339070750259099</v>
      </c>
      <c r="E31" s="129">
        <f>SUM(E26:E30)</f>
        <v>29250066.090000004</v>
      </c>
      <c r="F31" s="130">
        <f t="shared" si="7"/>
        <v>-0.21729210394126527</v>
      </c>
      <c r="G31" s="131">
        <f t="shared" si="8"/>
        <v>-0.23981458675248665</v>
      </c>
    </row>
    <row r="32" spans="1:8" x14ac:dyDescent="0.25">
      <c r="B32" s="28"/>
      <c r="C32" s="213">
        <f>+C31+'I. Balanza'!E254</f>
        <v>0</v>
      </c>
      <c r="D32" s="523"/>
      <c r="E32" s="213">
        <f>+E31+'I. Balanza'!Q254</f>
        <v>0</v>
      </c>
      <c r="F32" s="49"/>
      <c r="G32" s="82"/>
      <c r="H32" s="243">
        <f t="shared" ref="H32:H37" si="10">E32-C32</f>
        <v>0</v>
      </c>
    </row>
    <row r="33" spans="1:8" x14ac:dyDescent="0.25">
      <c r="A33" s="99" t="s">
        <v>429</v>
      </c>
      <c r="B33" s="28" t="s">
        <v>434</v>
      </c>
      <c r="C33" s="42">
        <f>-SUMIF('I. Balanza'!$A:$A,'II. Balance general '!B33,'I. Balanza'!E:E)</f>
        <v>0</v>
      </c>
      <c r="D33" s="523">
        <f>-C33/$C$23</f>
        <v>0</v>
      </c>
      <c r="E33" s="42">
        <f>-SUMIF('I. Balanza'!$A:$A,'II. Balance general '!B33,'I. Balanza'!Q:Q)</f>
        <v>0</v>
      </c>
      <c r="F33" s="49">
        <f>-E33/$E$23</f>
        <v>0</v>
      </c>
      <c r="G33" s="82">
        <f>+IFERROR((E33-C33)/C33,0)</f>
        <v>0</v>
      </c>
      <c r="H33" s="243">
        <f t="shared" si="10"/>
        <v>0</v>
      </c>
    </row>
    <row r="34" spans="1:8" x14ac:dyDescent="0.25">
      <c r="A34" s="99" t="s">
        <v>426</v>
      </c>
      <c r="B34" s="28" t="s">
        <v>416</v>
      </c>
      <c r="C34" s="42">
        <f>-SUMIF('I. Balanza'!$A:$A,'II. Balance general '!B34,'I. Balanza'!E:E)</f>
        <v>0</v>
      </c>
      <c r="D34" s="523">
        <f>-C34/$C$23</f>
        <v>0</v>
      </c>
      <c r="E34" s="42">
        <f>-SUMIF('I. Balanza'!$A:$A,'II. Balance general '!B34,'I. Balanza'!Q:Q)</f>
        <v>639389.97501842002</v>
      </c>
      <c r="F34" s="49">
        <f>-E34/$E$23</f>
        <v>-4.7498830424251362E-3</v>
      </c>
      <c r="G34" s="82">
        <f>+IFERROR((E34-C34)/C34,0)</f>
        <v>0</v>
      </c>
      <c r="H34" s="243">
        <f t="shared" si="10"/>
        <v>639389.97501842002</v>
      </c>
    </row>
    <row r="35" spans="1:8" x14ac:dyDescent="0.25">
      <c r="A35" s="99" t="s">
        <v>402</v>
      </c>
      <c r="B35" s="28" t="s">
        <v>388</v>
      </c>
      <c r="C35" s="42">
        <f>-SUMIF('I. Balanza'!$A:$A,'II. Balance general '!B35,'I. Balanza'!E:E)</f>
        <v>2183246.29</v>
      </c>
      <c r="D35" s="523">
        <f>-C35/$C$23</f>
        <v>-2.005166944085654E-2</v>
      </c>
      <c r="E35" s="42">
        <f>-SUMIF('I. Balanza'!$A:$A,'II. Balance general '!B35,'I. Balanza'!Q:Q)</f>
        <v>3608212</v>
      </c>
      <c r="F35" s="49">
        <f>-E35/$E$23</f>
        <v>-2.6804588219859319E-2</v>
      </c>
      <c r="G35" s="82">
        <f>+IFERROR((E35-C35)/C35,0)</f>
        <v>0.65268207097239583</v>
      </c>
      <c r="H35" s="243">
        <f t="shared" si="10"/>
        <v>1424965.71</v>
      </c>
    </row>
    <row r="36" spans="1:8" x14ac:dyDescent="0.25">
      <c r="A36" s="99" t="s">
        <v>407</v>
      </c>
      <c r="B36" s="28" t="s">
        <v>435</v>
      </c>
      <c r="C36" s="42">
        <f>-SUMIF('I. Balanza'!$A:$A,'II. Balance general '!B36,'I. Balanza'!E:E)</f>
        <v>0</v>
      </c>
      <c r="D36" s="523">
        <f>-C36/$C$23</f>
        <v>0</v>
      </c>
      <c r="E36" s="42">
        <f>-SUMIF('I. Balanza'!$A:$A,'II. Balance general '!B36,'I. Balanza'!Q:Q)</f>
        <v>232502.12699999899</v>
      </c>
      <c r="F36" s="49">
        <f>-E36/$E$23</f>
        <v>-1.7272055451498993E-3</v>
      </c>
      <c r="G36" s="82">
        <f>+IFERROR((E36-C36)/C36,0)</f>
        <v>0</v>
      </c>
      <c r="H36" s="243">
        <f t="shared" si="10"/>
        <v>232502.12699999899</v>
      </c>
    </row>
    <row r="37" spans="1:8" x14ac:dyDescent="0.25">
      <c r="B37" s="55"/>
      <c r="C37" s="56"/>
      <c r="D37" s="526"/>
      <c r="E37" s="56"/>
      <c r="F37" s="57"/>
      <c r="G37" s="85"/>
      <c r="H37" s="243">
        <f t="shared" si="10"/>
        <v>0</v>
      </c>
    </row>
    <row r="38" spans="1:8" s="26" customFormat="1" x14ac:dyDescent="0.25">
      <c r="A38" s="101"/>
      <c r="B38" s="27" t="s">
        <v>391</v>
      </c>
      <c r="C38" s="86">
        <f>+C31+SUM(C33:C36)</f>
        <v>40660788.18999999</v>
      </c>
      <c r="D38" s="527">
        <f>-C38/C23</f>
        <v>-0.37344237694344751</v>
      </c>
      <c r="E38" s="86">
        <f>+E31+SUM(E33:E36)</f>
        <v>33730170.19201842</v>
      </c>
      <c r="F38" s="87">
        <f>-E38/E23</f>
        <v>-0.25057378074869957</v>
      </c>
      <c r="G38" s="132">
        <f>(E38-C38)/C38</f>
        <v>-0.17044967169834815</v>
      </c>
      <c r="H38" s="243"/>
    </row>
    <row r="39" spans="1:8" x14ac:dyDescent="0.25">
      <c r="B39" s="89"/>
      <c r="C39" s="215">
        <f>+C38+'I. Balanza'!E282</f>
        <v>0</v>
      </c>
      <c r="D39" s="529"/>
      <c r="E39" s="215">
        <f>+E38+'I. Balanza'!Q282</f>
        <v>0</v>
      </c>
      <c r="F39" s="48"/>
      <c r="G39" s="81"/>
      <c r="H39" s="243">
        <f t="shared" ref="H39" si="11">E39-C39</f>
        <v>0</v>
      </c>
    </row>
    <row r="40" spans="1:8" x14ac:dyDescent="0.25">
      <c r="A40" s="99" t="s">
        <v>406</v>
      </c>
      <c r="B40" s="29" t="s">
        <v>392</v>
      </c>
      <c r="C40" s="42"/>
      <c r="D40" s="528"/>
      <c r="E40" s="42"/>
      <c r="F40" s="50"/>
      <c r="G40" s="84"/>
    </row>
    <row r="41" spans="1:8" x14ac:dyDescent="0.25">
      <c r="B41" s="28" t="s">
        <v>395</v>
      </c>
      <c r="C41" s="42">
        <f>-SUMIF('I. Balanza'!$A:$A,'II. Balance general '!B41,'I. Balanza'!E:E)</f>
        <v>120000</v>
      </c>
      <c r="D41" s="523">
        <f>-C41/$C$23</f>
        <v>-1.1021204267809771E-3</v>
      </c>
      <c r="E41" s="42">
        <f>-SUMIF('I. Balanza'!$A:$A,'II. Balance general '!B41,'I. Balanza'!Q:Q)</f>
        <v>120000</v>
      </c>
      <c r="F41" s="49">
        <f>-E41/$E$23</f>
        <v>-8.9145277117395492E-4</v>
      </c>
      <c r="G41" s="82">
        <f>+IFERROR((E41-C41)/C41,0)</f>
        <v>0</v>
      </c>
      <c r="H41" s="243">
        <f t="shared" ref="H41:H43" si="12">E41-C41</f>
        <v>0</v>
      </c>
    </row>
    <row r="42" spans="1:8" x14ac:dyDescent="0.25">
      <c r="B42" s="28" t="s">
        <v>437</v>
      </c>
      <c r="C42" s="42">
        <f>-SUMIF('I. Balanza'!$A:$A,'II. Balance general '!B42,'I. Balanza'!E:E)</f>
        <v>45039075.57</v>
      </c>
      <c r="D42" s="523">
        <f>-C42/$C$23</f>
        <v>-0.41365404324190902</v>
      </c>
      <c r="E42" s="42">
        <f>-SUMIF('I. Balanza'!$A:$A,'II. Balance general '!B42,'I. Balanza'!Q:Q)</f>
        <v>68100235.230000004</v>
      </c>
      <c r="F42" s="49">
        <f>-E42/$E$23</f>
        <v>-0.5059011951115141</v>
      </c>
      <c r="G42" s="82">
        <f>+IFERROR((E42-C42)/C42,0)</f>
        <v>0.51202559928562952</v>
      </c>
      <c r="H42" s="243">
        <f t="shared" si="12"/>
        <v>23061159.660000004</v>
      </c>
    </row>
    <row r="43" spans="1:8" x14ac:dyDescent="0.25">
      <c r="B43" s="28" t="s">
        <v>394</v>
      </c>
      <c r="C43" s="42">
        <f>+'I. Balanza'!E620</f>
        <v>23061159.660000041</v>
      </c>
      <c r="D43" s="523">
        <f>-C43/$C$23</f>
        <v>-0.21180145938786249</v>
      </c>
      <c r="E43" s="42">
        <f>+'I. Balanza'!Q620</f>
        <v>32661324.995495908</v>
      </c>
      <c r="F43" s="49">
        <f>-E43/$E$23</f>
        <v>-0.24263357231206656</v>
      </c>
      <c r="G43" s="82">
        <f>+IFERROR((E43-C43)/C43,0)</f>
        <v>0.41629152553622489</v>
      </c>
      <c r="H43" s="243">
        <f t="shared" si="12"/>
        <v>9600165.3354958668</v>
      </c>
    </row>
    <row r="44" spans="1:8" x14ac:dyDescent="0.25">
      <c r="B44" s="28" t="s">
        <v>396</v>
      </c>
      <c r="C44" s="42">
        <f>+SUMIF('I. Balanza'!$A:$A,'II. Balance general '!B44,'I. Balanza'!E:E)</f>
        <v>0</v>
      </c>
      <c r="D44" s="523">
        <f>-C44/$C$23</f>
        <v>0</v>
      </c>
      <c r="E44" s="42">
        <f>+SUMIF('I. Balanza'!$A:$A,'II. Balance general '!B44,'I. Balanza'!Q:Q)</f>
        <v>0</v>
      </c>
      <c r="F44" s="49">
        <f>-E44/$E$23</f>
        <v>0</v>
      </c>
      <c r="G44" s="82">
        <f>+IFERROR((E44-C44)/C44,0)</f>
        <v>0</v>
      </c>
      <c r="H44" s="243">
        <f t="shared" ref="H44" si="13">C44-E44</f>
        <v>0</v>
      </c>
    </row>
    <row r="45" spans="1:8" x14ac:dyDescent="0.25">
      <c r="B45" s="55"/>
      <c r="C45" s="56"/>
      <c r="D45" s="526"/>
      <c r="E45" s="56"/>
      <c r="F45" s="57"/>
      <c r="G45" s="85"/>
      <c r="H45" s="243">
        <f t="shared" ref="H45" si="14">E45-C45</f>
        <v>0</v>
      </c>
    </row>
    <row r="46" spans="1:8" s="26" customFormat="1" ht="15.75" thickBot="1" x14ac:dyDescent="0.3">
      <c r="A46" s="101"/>
      <c r="B46" s="92" t="s">
        <v>397</v>
      </c>
      <c r="C46" s="43">
        <f>SUM(C41:C44)</f>
        <v>68220235.230000049</v>
      </c>
      <c r="D46" s="530">
        <f>-C46/$C$23</f>
        <v>-0.62655762305655249</v>
      </c>
      <c r="E46" s="43">
        <f>SUM(E41:E44)</f>
        <v>100881560.2254959</v>
      </c>
      <c r="F46" s="91">
        <f>-E46/$E$23</f>
        <v>-0.74942622019475458</v>
      </c>
      <c r="G46" s="93">
        <f>(E46-C46)/C46</f>
        <v>0.47876300756484264</v>
      </c>
      <c r="H46" s="243"/>
    </row>
    <row r="47" spans="1:8" s="26" customFormat="1" ht="15.75" thickBot="1" x14ac:dyDescent="0.3">
      <c r="A47" s="101"/>
      <c r="B47" s="94" t="s">
        <v>398</v>
      </c>
      <c r="C47" s="95">
        <f>C46+C38</f>
        <v>108881023.42000005</v>
      </c>
      <c r="D47" s="531">
        <f>-C47/$C$23</f>
        <v>-1.0000000000000002</v>
      </c>
      <c r="E47" s="95">
        <f>E46+E38</f>
        <v>134611730.41751432</v>
      </c>
      <c r="F47" s="96">
        <f>-E47/$E$23</f>
        <v>-1.0000000009434542</v>
      </c>
      <c r="G47" s="97">
        <f>(E47-C47)/C47</f>
        <v>0.23631948147897255</v>
      </c>
      <c r="H47" s="243"/>
    </row>
    <row r="48" spans="1:8" x14ac:dyDescent="0.25">
      <c r="C48" s="216">
        <f>+C47-C23</f>
        <v>0</v>
      </c>
      <c r="D48" s="532"/>
      <c r="E48" s="217">
        <f>+E47-E23</f>
        <v>0.12700000405311584</v>
      </c>
    </row>
    <row r="49" spans="1:29" x14ac:dyDescent="0.25">
      <c r="C49" s="42"/>
      <c r="E49" s="42"/>
      <c r="H49" s="244"/>
    </row>
    <row r="50" spans="1:29" x14ac:dyDescent="0.25">
      <c r="C50" s="44"/>
      <c r="E50" s="44"/>
      <c r="H50" s="244"/>
    </row>
    <row r="53" spans="1:29" s="30" customFormat="1" ht="15.75" x14ac:dyDescent="0.25">
      <c r="A53" s="102"/>
      <c r="B53" s="25"/>
      <c r="C53" s="45"/>
      <c r="D53" s="533"/>
      <c r="E53" s="40"/>
      <c r="F53" s="53"/>
      <c r="G53" s="53"/>
      <c r="H53" s="243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6F96-5E4B-4348-9C79-6CB36CEDB064}">
  <dimension ref="A1:AO272"/>
  <sheetViews>
    <sheetView showGridLines="0" zoomScale="90" zoomScaleNormal="90" workbookViewId="0">
      <pane xSplit="8" ySplit="8" topLeftCell="I9" activePane="bottomRight" state="frozen"/>
      <selection activeCell="A4" sqref="A4"/>
      <selection pane="topRight" activeCell="A4" sqref="A4"/>
      <selection pane="bottomLeft" activeCell="A4" sqref="A4"/>
      <selection pane="bottomRight" activeCell="AJ9" sqref="AJ9"/>
    </sheetView>
  </sheetViews>
  <sheetFormatPr baseColWidth="10" defaultColWidth="8.77734375" defaultRowHeight="12.75" outlineLevelRow="2" outlineLevelCol="1" x14ac:dyDescent="0.2"/>
  <cols>
    <col min="1" max="1" width="15.109375" style="71" customWidth="1"/>
    <col min="2" max="2" width="31.88671875" style="71" customWidth="1"/>
    <col min="3" max="3" width="11.109375" style="115" hidden="1" customWidth="1" outlineLevel="1"/>
    <col min="4" max="4" width="4.88671875" style="139" hidden="1" customWidth="1" outlineLevel="1"/>
    <col min="5" max="5" width="13.33203125" style="115" hidden="1" customWidth="1" outlineLevel="1"/>
    <col min="6" max="6" width="4.88671875" style="139" hidden="1" customWidth="1" outlineLevel="1"/>
    <col min="7" max="7" width="13.33203125" style="115" hidden="1" customWidth="1" outlineLevel="1"/>
    <col min="8" max="8" width="5.77734375" style="139" hidden="1" customWidth="1" outlineLevel="1"/>
    <col min="9" max="9" width="13.88671875" style="279" bestFit="1" customWidth="1" collapsed="1"/>
    <col min="10" max="10" width="4.88671875" style="279" bestFit="1" customWidth="1"/>
    <col min="11" max="11" width="13.5546875" style="283" hidden="1" customWidth="1" outlineLevel="1"/>
    <col min="12" max="12" width="5.77734375" style="279" hidden="1" customWidth="1" outlineLevel="1"/>
    <col min="13" max="13" width="13.33203125" style="283" hidden="1" customWidth="1" outlineLevel="1"/>
    <col min="14" max="14" width="5.77734375" style="279" hidden="1" customWidth="1" outlineLevel="1"/>
    <col min="15" max="15" width="13.88671875" style="283" hidden="1" customWidth="1" outlineLevel="1"/>
    <col min="16" max="16" width="5.77734375" style="279" hidden="1" customWidth="1" outlineLevel="1"/>
    <col min="17" max="17" width="13.88671875" style="279" bestFit="1" customWidth="1" collapsed="1"/>
    <col min="18" max="18" width="5.77734375" style="279" bestFit="1" customWidth="1"/>
    <col min="19" max="19" width="13.33203125" style="283" hidden="1" customWidth="1" outlineLevel="1"/>
    <col min="20" max="20" width="5.77734375" style="279" hidden="1" customWidth="1" outlineLevel="1"/>
    <col min="21" max="21" width="13.33203125" style="283" hidden="1" customWidth="1" outlineLevel="1"/>
    <col min="22" max="22" width="5.77734375" style="279" hidden="1" customWidth="1" outlineLevel="1"/>
    <col min="23" max="23" width="13.5546875" style="283" hidden="1" customWidth="1" outlineLevel="1"/>
    <col min="24" max="24" width="5.77734375" style="279" hidden="1" customWidth="1" outlineLevel="1"/>
    <col min="25" max="25" width="14.109375" style="279" bestFit="1" customWidth="1" collapsed="1"/>
    <col min="26" max="26" width="5.77734375" style="279" bestFit="1" customWidth="1"/>
    <col min="27" max="27" width="13.33203125" style="283" hidden="1" customWidth="1" outlineLevel="1"/>
    <col min="28" max="28" width="5.77734375" style="279" hidden="1" customWidth="1" outlineLevel="1"/>
    <col min="29" max="29" width="13" style="283" hidden="1" customWidth="1" outlineLevel="1"/>
    <col min="30" max="30" width="4.88671875" style="279" hidden="1" customWidth="1" outlineLevel="1"/>
    <col min="31" max="31" width="13.5546875" style="283" hidden="1" customWidth="1" outlineLevel="1"/>
    <col min="32" max="32" width="5.77734375" style="279" hidden="1" customWidth="1" outlineLevel="1"/>
    <col min="33" max="33" width="13.88671875" style="279" bestFit="1" customWidth="1" collapsed="1"/>
    <col min="34" max="34" width="4.88671875" style="279" bestFit="1" customWidth="1"/>
    <col min="35" max="35" width="6.5546875" style="279" bestFit="1" customWidth="1"/>
    <col min="36" max="36" width="14.21875" style="279" customWidth="1" collapsed="1"/>
    <col min="37" max="37" width="4.88671875" style="139" bestFit="1" customWidth="1"/>
    <col min="38" max="38" width="2.5546875" style="71" bestFit="1" customWidth="1"/>
    <col min="39" max="39" width="9.109375" style="71" bestFit="1" customWidth="1"/>
    <col min="40" max="16384" width="8.77734375" style="71"/>
  </cols>
  <sheetData>
    <row r="1" spans="1:37" s="157" customFormat="1" x14ac:dyDescent="0.2">
      <c r="A1" s="156"/>
      <c r="C1" s="140"/>
      <c r="D1" s="158"/>
      <c r="E1" s="38"/>
      <c r="F1" s="158"/>
      <c r="G1" s="159"/>
      <c r="H1" s="158"/>
      <c r="I1" s="158"/>
      <c r="J1" s="158"/>
      <c r="L1" s="158"/>
      <c r="N1" s="158"/>
      <c r="P1" s="158"/>
      <c r="Q1" s="158"/>
      <c r="R1" s="158"/>
      <c r="T1" s="158"/>
      <c r="V1" s="158"/>
      <c r="X1" s="158"/>
      <c r="Y1" s="158"/>
      <c r="Z1" s="158"/>
      <c r="AB1" s="158"/>
      <c r="AD1" s="158"/>
      <c r="AF1" s="158"/>
      <c r="AG1" s="158"/>
      <c r="AH1" s="158"/>
      <c r="AI1" s="158"/>
      <c r="AJ1" s="158"/>
      <c r="AK1" s="158"/>
    </row>
    <row r="2" spans="1:37" s="157" customFormat="1" x14ac:dyDescent="0.2">
      <c r="A2" s="156"/>
      <c r="C2" s="140"/>
      <c r="D2" s="158"/>
      <c r="E2" s="38"/>
      <c r="F2" s="158"/>
      <c r="G2" s="159"/>
      <c r="H2" s="158"/>
      <c r="I2" s="158"/>
      <c r="J2" s="158"/>
      <c r="L2" s="158"/>
      <c r="N2" s="158"/>
      <c r="P2" s="158"/>
      <c r="Q2" s="158"/>
      <c r="R2" s="158"/>
      <c r="T2" s="158"/>
      <c r="V2" s="158"/>
      <c r="X2" s="158"/>
      <c r="Y2" s="158"/>
      <c r="Z2" s="158"/>
      <c r="AB2" s="158"/>
      <c r="AD2" s="158"/>
      <c r="AF2" s="158"/>
      <c r="AG2" s="158"/>
      <c r="AH2" s="158"/>
      <c r="AI2" s="158"/>
      <c r="AJ2" s="158"/>
      <c r="AK2" s="158"/>
    </row>
    <row r="3" spans="1:37" s="157" customFormat="1" x14ac:dyDescent="0.2">
      <c r="A3" s="156"/>
      <c r="C3" s="140"/>
      <c r="D3" s="158"/>
      <c r="E3" s="38"/>
      <c r="F3" s="158"/>
      <c r="G3" s="159"/>
      <c r="H3" s="158"/>
      <c r="I3" s="158"/>
      <c r="J3" s="158"/>
      <c r="L3" s="158"/>
      <c r="N3" s="158"/>
      <c r="P3" s="158"/>
      <c r="Q3" s="158"/>
      <c r="R3" s="158"/>
      <c r="T3" s="158"/>
      <c r="V3" s="158"/>
      <c r="X3" s="158"/>
      <c r="Y3" s="158"/>
      <c r="Z3" s="158"/>
      <c r="AB3" s="158"/>
      <c r="AD3" s="158"/>
      <c r="AF3" s="158"/>
      <c r="AG3" s="158"/>
      <c r="AH3" s="158"/>
      <c r="AI3" s="158"/>
      <c r="AJ3" s="158"/>
      <c r="AK3" s="158"/>
    </row>
    <row r="4" spans="1:37" s="161" customFormat="1" ht="15.75" x14ac:dyDescent="0.25">
      <c r="A4" s="160" t="s">
        <v>1034</v>
      </c>
      <c r="C4" s="141"/>
      <c r="D4" s="158"/>
      <c r="E4" s="126"/>
      <c r="F4" s="158"/>
      <c r="G4" s="162"/>
      <c r="H4" s="158"/>
      <c r="I4" s="158"/>
      <c r="J4" s="158"/>
      <c r="L4" s="158"/>
      <c r="N4" s="158"/>
      <c r="P4" s="158"/>
      <c r="Q4" s="158"/>
      <c r="R4" s="158"/>
      <c r="T4" s="158"/>
      <c r="V4" s="158"/>
      <c r="X4" s="158"/>
      <c r="Y4" s="158"/>
      <c r="Z4" s="158"/>
      <c r="AB4" s="158"/>
      <c r="AD4" s="158"/>
      <c r="AF4" s="158"/>
      <c r="AG4" s="158"/>
      <c r="AH4" s="158"/>
      <c r="AI4" s="158"/>
      <c r="AJ4" s="158"/>
      <c r="AK4" s="158"/>
    </row>
    <row r="5" spans="1:37" s="161" customFormat="1" ht="15.75" x14ac:dyDescent="0.25">
      <c r="A5" s="160" t="s">
        <v>423</v>
      </c>
      <c r="C5" s="141"/>
      <c r="D5" s="158"/>
      <c r="E5" s="126"/>
      <c r="F5" s="158"/>
      <c r="G5" s="162"/>
      <c r="H5" s="158"/>
      <c r="I5" s="158"/>
      <c r="J5" s="158"/>
      <c r="L5" s="158"/>
      <c r="N5" s="158"/>
      <c r="P5" s="158"/>
      <c r="Q5" s="158"/>
      <c r="R5" s="158"/>
      <c r="T5" s="158"/>
      <c r="V5" s="158"/>
      <c r="X5" s="158"/>
      <c r="Y5" s="158"/>
      <c r="Z5" s="158"/>
      <c r="AB5" s="158"/>
      <c r="AD5" s="158"/>
      <c r="AF5" s="158"/>
      <c r="AG5" s="158"/>
      <c r="AH5" s="158"/>
      <c r="AI5" s="158"/>
      <c r="AJ5" s="158"/>
      <c r="AK5" s="158"/>
    </row>
    <row r="6" spans="1:37" s="167" customFormat="1" ht="13.5" thickBot="1" x14ac:dyDescent="0.25">
      <c r="A6" s="269" t="s">
        <v>669</v>
      </c>
      <c r="B6" s="163"/>
      <c r="C6" s="142"/>
      <c r="D6" s="164"/>
      <c r="E6" s="39"/>
      <c r="F6" s="164"/>
      <c r="G6" s="165"/>
      <c r="H6" s="164"/>
      <c r="I6" s="158"/>
      <c r="J6" s="164"/>
      <c r="K6" s="166"/>
      <c r="L6" s="164"/>
      <c r="M6" s="166"/>
      <c r="N6" s="164"/>
      <c r="O6" s="166"/>
      <c r="P6" s="164"/>
      <c r="Q6" s="158"/>
      <c r="R6" s="164"/>
      <c r="S6" s="166"/>
      <c r="T6" s="164"/>
      <c r="U6" s="166"/>
      <c r="V6" s="164"/>
      <c r="W6" s="166"/>
      <c r="X6" s="164"/>
      <c r="Y6" s="158"/>
      <c r="Z6" s="164"/>
      <c r="AA6" s="166"/>
      <c r="AB6" s="164"/>
      <c r="AC6" s="166"/>
      <c r="AD6" s="164"/>
      <c r="AE6" s="166"/>
      <c r="AF6" s="164"/>
      <c r="AG6" s="158"/>
      <c r="AH6" s="164"/>
      <c r="AI6" s="158"/>
      <c r="AJ6" s="158"/>
      <c r="AK6" s="164"/>
    </row>
    <row r="7" spans="1:37" s="167" customFormat="1" ht="13.5" thickTop="1" x14ac:dyDescent="0.2">
      <c r="A7" s="168"/>
      <c r="B7" s="168"/>
      <c r="C7" s="143"/>
      <c r="D7" s="169"/>
      <c r="E7" s="123"/>
      <c r="F7" s="169"/>
      <c r="G7" s="170"/>
      <c r="H7" s="169"/>
      <c r="I7" s="226" t="s">
        <v>228</v>
      </c>
      <c r="J7" s="169"/>
      <c r="K7" s="171"/>
      <c r="L7" s="169"/>
      <c r="M7" s="171"/>
      <c r="N7" s="169"/>
      <c r="O7" s="171"/>
      <c r="P7" s="169"/>
      <c r="Q7" s="226" t="s">
        <v>228</v>
      </c>
      <c r="R7" s="169"/>
      <c r="S7" s="171"/>
      <c r="T7" s="169"/>
      <c r="U7" s="171"/>
      <c r="V7" s="169"/>
      <c r="W7" s="171"/>
      <c r="X7" s="169"/>
      <c r="Y7" s="226" t="s">
        <v>228</v>
      </c>
      <c r="Z7" s="169"/>
      <c r="AA7" s="171"/>
      <c r="AB7" s="169"/>
      <c r="AC7" s="171"/>
      <c r="AD7" s="169"/>
      <c r="AE7" s="171"/>
      <c r="AF7" s="169"/>
      <c r="AG7" s="226" t="s">
        <v>228</v>
      </c>
      <c r="AH7" s="169"/>
      <c r="AI7" s="270" t="s">
        <v>671</v>
      </c>
      <c r="AJ7" s="226" t="s">
        <v>228</v>
      </c>
      <c r="AK7" s="169"/>
    </row>
    <row r="8" spans="1:37" s="116" customFormat="1" x14ac:dyDescent="0.2">
      <c r="A8" s="116" t="s">
        <v>233</v>
      </c>
      <c r="B8" s="116" t="s">
        <v>231</v>
      </c>
      <c r="C8" s="117" t="s">
        <v>217</v>
      </c>
      <c r="D8" s="121" t="s">
        <v>263</v>
      </c>
      <c r="E8" s="117" t="s">
        <v>216</v>
      </c>
      <c r="F8" s="121" t="s">
        <v>263</v>
      </c>
      <c r="G8" s="117" t="s">
        <v>218</v>
      </c>
      <c r="H8" s="121" t="s">
        <v>263</v>
      </c>
      <c r="I8" s="227" t="s">
        <v>417</v>
      </c>
      <c r="J8" s="121" t="s">
        <v>263</v>
      </c>
      <c r="K8" s="117" t="s">
        <v>219</v>
      </c>
      <c r="L8" s="121" t="s">
        <v>263</v>
      </c>
      <c r="M8" s="117" t="s">
        <v>220</v>
      </c>
      <c r="N8" s="121" t="s">
        <v>263</v>
      </c>
      <c r="O8" s="117" t="s">
        <v>221</v>
      </c>
      <c r="P8" s="121" t="s">
        <v>263</v>
      </c>
      <c r="Q8" s="227" t="s">
        <v>418</v>
      </c>
      <c r="R8" s="121" t="s">
        <v>263</v>
      </c>
      <c r="S8" s="117" t="s">
        <v>222</v>
      </c>
      <c r="T8" s="121" t="s">
        <v>263</v>
      </c>
      <c r="U8" s="117" t="s">
        <v>223</v>
      </c>
      <c r="V8" s="121" t="s">
        <v>263</v>
      </c>
      <c r="W8" s="117" t="s">
        <v>224</v>
      </c>
      <c r="X8" s="121" t="s">
        <v>263</v>
      </c>
      <c r="Y8" s="227" t="s">
        <v>419</v>
      </c>
      <c r="Z8" s="121" t="s">
        <v>263</v>
      </c>
      <c r="AA8" s="117" t="s">
        <v>225</v>
      </c>
      <c r="AB8" s="121" t="s">
        <v>263</v>
      </c>
      <c r="AC8" s="117" t="s">
        <v>226</v>
      </c>
      <c r="AD8" s="121" t="s">
        <v>263</v>
      </c>
      <c r="AE8" s="117" t="s">
        <v>227</v>
      </c>
      <c r="AF8" s="121" t="s">
        <v>263</v>
      </c>
      <c r="AG8" s="227" t="s">
        <v>462</v>
      </c>
      <c r="AH8" s="121" t="s">
        <v>263</v>
      </c>
      <c r="AI8" s="271"/>
      <c r="AJ8" s="238">
        <v>2024</v>
      </c>
      <c r="AK8" s="121" t="s">
        <v>263</v>
      </c>
    </row>
    <row r="9" spans="1:37" s="116" customFormat="1" x14ac:dyDescent="0.2">
      <c r="C9" s="117"/>
      <c r="D9" s="121"/>
      <c r="E9" s="117"/>
      <c r="F9" s="121"/>
      <c r="G9" s="117"/>
      <c r="H9" s="121"/>
      <c r="I9" s="227"/>
      <c r="J9" s="121"/>
      <c r="K9" s="117"/>
      <c r="L9" s="121"/>
      <c r="M9" s="117"/>
      <c r="N9" s="121"/>
      <c r="O9" s="117"/>
      <c r="P9" s="121"/>
      <c r="Q9" s="227"/>
      <c r="R9" s="121"/>
      <c r="S9" s="117"/>
      <c r="T9" s="121"/>
      <c r="U9" s="117"/>
      <c r="V9" s="121"/>
      <c r="W9" s="117"/>
      <c r="X9" s="121"/>
      <c r="Y9" s="227"/>
      <c r="Z9" s="121"/>
      <c r="AA9" s="117"/>
      <c r="AB9" s="121"/>
      <c r="AC9" s="117"/>
      <c r="AD9" s="121"/>
      <c r="AE9" s="117"/>
      <c r="AF9" s="121"/>
      <c r="AG9" s="227"/>
      <c r="AH9" s="121"/>
      <c r="AI9" s="271"/>
      <c r="AJ9" s="227"/>
      <c r="AK9" s="121"/>
    </row>
    <row r="10" spans="1:37" s="66" customFormat="1" x14ac:dyDescent="0.2">
      <c r="A10" s="151" t="s">
        <v>142</v>
      </c>
      <c r="B10" s="62" t="s">
        <v>2</v>
      </c>
      <c r="C10" s="107"/>
      <c r="D10" s="119"/>
      <c r="E10" s="63"/>
      <c r="F10" s="119"/>
      <c r="G10" s="63"/>
      <c r="H10" s="119"/>
      <c r="I10" s="228"/>
      <c r="J10" s="119"/>
      <c r="K10" s="63"/>
      <c r="L10" s="119"/>
      <c r="M10" s="63"/>
      <c r="N10" s="119"/>
      <c r="O10" s="63"/>
      <c r="P10" s="119"/>
      <c r="Q10" s="228"/>
      <c r="R10" s="119"/>
      <c r="S10" s="63"/>
      <c r="T10" s="119"/>
      <c r="U10" s="63"/>
      <c r="V10" s="119"/>
      <c r="W10" s="63"/>
      <c r="X10" s="119"/>
      <c r="Y10" s="228"/>
      <c r="Z10" s="119"/>
      <c r="AA10" s="63"/>
      <c r="AB10" s="119"/>
      <c r="AC10" s="63"/>
      <c r="AD10" s="119"/>
      <c r="AE10" s="63"/>
      <c r="AF10" s="119"/>
      <c r="AG10" s="228"/>
      <c r="AH10" s="119"/>
      <c r="AI10" s="272"/>
      <c r="AJ10" s="228"/>
      <c r="AK10" s="119"/>
    </row>
    <row r="11" spans="1:37" s="66" customFormat="1" hidden="1" outlineLevel="1" x14ac:dyDescent="0.2">
      <c r="A11" s="62">
        <v>4101</v>
      </c>
      <c r="B11" s="62" t="s">
        <v>143</v>
      </c>
      <c r="C11" s="107"/>
      <c r="D11" s="119"/>
      <c r="E11" s="107"/>
      <c r="F11" s="119"/>
      <c r="G11" s="107"/>
      <c r="H11" s="119"/>
      <c r="I11" s="228"/>
      <c r="J11" s="119"/>
      <c r="K11" s="107"/>
      <c r="L11" s="119"/>
      <c r="M11" s="107"/>
      <c r="N11" s="119"/>
      <c r="O11" s="107"/>
      <c r="P11" s="119"/>
      <c r="Q11" s="228"/>
      <c r="R11" s="119"/>
      <c r="S11" s="107"/>
      <c r="T11" s="119"/>
      <c r="U11" s="107"/>
      <c r="V11" s="119"/>
      <c r="W11" s="107"/>
      <c r="X11" s="119"/>
      <c r="Y11" s="228"/>
      <c r="Z11" s="119"/>
      <c r="AA11" s="107"/>
      <c r="AB11" s="119"/>
      <c r="AC11" s="107"/>
      <c r="AD11" s="119"/>
      <c r="AE11" s="107"/>
      <c r="AF11" s="119"/>
      <c r="AG11" s="228"/>
      <c r="AH11" s="119"/>
      <c r="AI11" s="272"/>
      <c r="AJ11" s="228"/>
      <c r="AK11" s="119"/>
    </row>
    <row r="12" spans="1:37" s="66" customFormat="1" hidden="1" outlineLevel="1" x14ac:dyDescent="0.2">
      <c r="A12" s="62">
        <v>41010001</v>
      </c>
      <c r="B12" s="62" t="s">
        <v>258</v>
      </c>
      <c r="C12" s="107">
        <v>2298857.7415199964</v>
      </c>
      <c r="D12" s="119">
        <f>+C12/C19</f>
        <v>0.21320982621788687</v>
      </c>
      <c r="E12" s="107">
        <v>6026596.774480002</v>
      </c>
      <c r="F12" s="119">
        <f>+E12/E19</f>
        <v>0.46857786350885894</v>
      </c>
      <c r="G12" s="107">
        <v>4851689.1840000004</v>
      </c>
      <c r="H12" s="119">
        <f>+G12/G19</f>
        <v>0.32083162960239936</v>
      </c>
      <c r="I12" s="229">
        <f>+C12+E12+G12</f>
        <v>13177143.699999999</v>
      </c>
      <c r="J12" s="119">
        <f>+I12/I19</f>
        <v>0.33991646773784168</v>
      </c>
      <c r="K12" s="107">
        <v>4449122.1219999976</v>
      </c>
      <c r="L12" s="119">
        <f>+K12/K19</f>
        <v>0.31776273001261995</v>
      </c>
      <c r="M12" s="107">
        <v>3870928.2320000045</v>
      </c>
      <c r="N12" s="119">
        <f>+M12/M19</f>
        <v>0.31991359399245134</v>
      </c>
      <c r="O12" s="107">
        <v>5800994.4419999979</v>
      </c>
      <c r="P12" s="119">
        <f>+O12/O19</f>
        <v>0.27327183360449764</v>
      </c>
      <c r="Q12" s="229">
        <f>+K12+M12+O12</f>
        <v>14121044.796</v>
      </c>
      <c r="R12" s="119">
        <f>+Q12/Q19</f>
        <v>0.29835772417950351</v>
      </c>
      <c r="S12" s="107">
        <v>4476875.4880000018</v>
      </c>
      <c r="T12" s="119">
        <f>+S12/S19</f>
        <v>0.30372242811829436</v>
      </c>
      <c r="U12" s="107">
        <v>3736868.243999999</v>
      </c>
      <c r="V12" s="119">
        <f>+U12/U19</f>
        <v>0.32423355896142703</v>
      </c>
      <c r="W12" s="107">
        <v>5330083.4600000009</v>
      </c>
      <c r="X12" s="119">
        <f>+W12/W19</f>
        <v>0.26237387506279758</v>
      </c>
      <c r="Y12" s="229">
        <f>+S12+U12+W12</f>
        <v>13543827.192000002</v>
      </c>
      <c r="Z12" s="119">
        <f>+Y12/Y19</f>
        <v>0.29076424092683595</v>
      </c>
      <c r="AA12" s="107">
        <v>4068392.1420000046</v>
      </c>
      <c r="AB12" s="119">
        <f>+AA12/AA19</f>
        <v>0.36470318634270038</v>
      </c>
      <c r="AC12" s="107">
        <v>4697628.049999997</v>
      </c>
      <c r="AD12" s="119">
        <f>+AC12/AC19</f>
        <v>0.34554396821106304</v>
      </c>
      <c r="AE12" s="107">
        <v>5239151.0139999986</v>
      </c>
      <c r="AF12" s="119">
        <f>+AE12/AE19</f>
        <v>0.32516126562602005</v>
      </c>
      <c r="AG12" s="229">
        <f>+AA12+AC12+AE12</f>
        <v>14005171.206</v>
      </c>
      <c r="AH12" s="119">
        <f>+AG12/AG19</f>
        <v>0.34273730413920273</v>
      </c>
      <c r="AI12" s="273">
        <f>+IFERROR(AG12/Y12-1,"0")</f>
        <v>3.4063046394486207E-2</v>
      </c>
      <c r="AJ12" s="229">
        <f>+I12+Q12+Y12+AG12</f>
        <v>54847186.894000001</v>
      </c>
      <c r="AK12" s="119">
        <f>+AJ12/AJ19</f>
        <v>0.31605313197720658</v>
      </c>
    </row>
    <row r="13" spans="1:37" s="66" customFormat="1" hidden="1" outlineLevel="1" x14ac:dyDescent="0.2">
      <c r="A13" s="62">
        <v>41010002</v>
      </c>
      <c r="B13" s="62" t="s">
        <v>259</v>
      </c>
      <c r="C13" s="107">
        <v>3339481.86</v>
      </c>
      <c r="D13" s="119">
        <f>+C13/C19</f>
        <v>0.30972353537527159</v>
      </c>
      <c r="E13" s="107">
        <v>523559.38599999947</v>
      </c>
      <c r="F13" s="119">
        <f>+E13/E19</f>
        <v>4.0707607907459122E-2</v>
      </c>
      <c r="G13" s="107">
        <v>5327574.7939999998</v>
      </c>
      <c r="H13" s="119">
        <f>+G13/G19</f>
        <v>0.35230090761471311</v>
      </c>
      <c r="I13" s="229">
        <f>+C13+E13+G13</f>
        <v>9190616.0399999991</v>
      </c>
      <c r="J13" s="119">
        <f>+I13/I19</f>
        <v>0.23708034243047302</v>
      </c>
      <c r="K13" s="107">
        <v>3338315.7820000015</v>
      </c>
      <c r="L13" s="119">
        <f>+K13/K19</f>
        <v>0.23842733632487495</v>
      </c>
      <c r="M13" s="107">
        <v>2033694.6319999993</v>
      </c>
      <c r="N13" s="119">
        <f>+M13/M19</f>
        <v>0.16807507652244036</v>
      </c>
      <c r="O13" s="107">
        <v>7776881.0320000015</v>
      </c>
      <c r="P13" s="119">
        <f>+O13/O19</f>
        <v>0.36635141794860537</v>
      </c>
      <c r="Q13" s="229">
        <f>+K13+M13+O13</f>
        <v>13148891.446000002</v>
      </c>
      <c r="R13" s="119">
        <f>+Q13/Q19</f>
        <v>0.2778174975001263</v>
      </c>
      <c r="S13" s="107">
        <v>3353377.3779999986</v>
      </c>
      <c r="T13" s="119">
        <f>+S13/S19</f>
        <v>0.2275015068820066</v>
      </c>
      <c r="U13" s="107">
        <v>1087232.4739999995</v>
      </c>
      <c r="V13" s="119">
        <f>+U13/U19</f>
        <v>9.4334943446150871E-2</v>
      </c>
      <c r="W13" s="107">
        <v>7774853.1599999964</v>
      </c>
      <c r="X13" s="119">
        <f>+W13/W19</f>
        <v>0.38271790056237426</v>
      </c>
      <c r="Y13" s="229">
        <f>+S13+U13+W13</f>
        <v>12215463.011999995</v>
      </c>
      <c r="Z13" s="119">
        <f>+Y13/Y19</f>
        <v>0.26224639312822817</v>
      </c>
      <c r="AA13" s="107">
        <v>2804674.2920000106</v>
      </c>
      <c r="AB13" s="119">
        <f>+AA13/AA19</f>
        <v>0.25141963096089864</v>
      </c>
      <c r="AC13" s="107">
        <v>3271607.2399999946</v>
      </c>
      <c r="AD13" s="119">
        <f>+AC13/AC19</f>
        <v>0.24064999103912504</v>
      </c>
      <c r="AE13" s="107">
        <v>4787202.4039999992</v>
      </c>
      <c r="AF13" s="119">
        <f>+AE13/AE19</f>
        <v>0.29711164811493368</v>
      </c>
      <c r="AG13" s="229">
        <f>+AA13+AC13+AE13</f>
        <v>10863483.936000004</v>
      </c>
      <c r="AH13" s="119">
        <f>+AG13/AG19</f>
        <v>0.26585331539460633</v>
      </c>
      <c r="AI13" s="273">
        <f t="shared" ref="AI13:AI16" si="0">+IFERROR(AG13/Y13-1,"0")</f>
        <v>-0.11067767752002999</v>
      </c>
      <c r="AJ13" s="229">
        <f>+I13+Q13+Y13+AG13</f>
        <v>45418454.434</v>
      </c>
      <c r="AK13" s="119">
        <f>+AJ13/AJ19</f>
        <v>0.26172071142266862</v>
      </c>
    </row>
    <row r="14" spans="1:37" s="66" customFormat="1" hidden="1" outlineLevel="1" x14ac:dyDescent="0.2">
      <c r="A14" s="62">
        <v>41010003</v>
      </c>
      <c r="B14" s="62" t="s">
        <v>260</v>
      </c>
      <c r="C14" s="107">
        <v>2224221.87</v>
      </c>
      <c r="D14" s="119">
        <f>+C14/C19</f>
        <v>0.20628764877776512</v>
      </c>
      <c r="E14" s="107">
        <v>2673240.0259999996</v>
      </c>
      <c r="F14" s="119">
        <f>+E14/E19</f>
        <v>0.20784883192015569</v>
      </c>
      <c r="G14" s="107">
        <v>2362479.6840000004</v>
      </c>
      <c r="H14" s="119">
        <f>+G14/G19</f>
        <v>0.1562256315635164</v>
      </c>
      <c r="I14" s="229">
        <f>+C14+E14+G14</f>
        <v>7259941.5800000001</v>
      </c>
      <c r="J14" s="119">
        <f>+I14/I19</f>
        <v>0.18727682979253582</v>
      </c>
      <c r="K14" s="107">
        <v>3161235.5620000008</v>
      </c>
      <c r="L14" s="119">
        <f>+K14/K19</f>
        <v>0.22578001116825711</v>
      </c>
      <c r="M14" s="107">
        <v>3041049.7620000001</v>
      </c>
      <c r="N14" s="119">
        <f>+M14/M19</f>
        <v>0.25132813128096965</v>
      </c>
      <c r="O14" s="107">
        <v>2846983.8219999988</v>
      </c>
      <c r="P14" s="119">
        <f>+O14/O19</f>
        <v>0.13411502063291939</v>
      </c>
      <c r="Q14" s="229">
        <f>+K14+M14+O14</f>
        <v>9049269.1459999997</v>
      </c>
      <c r="R14" s="119">
        <f>+Q14/Q19</f>
        <v>0.19119827087108682</v>
      </c>
      <c r="S14" s="107">
        <v>3743060.8480000012</v>
      </c>
      <c r="T14" s="119">
        <f>+S14/S19</f>
        <v>0.25393860794126288</v>
      </c>
      <c r="U14" s="107">
        <v>2401241.4340000004</v>
      </c>
      <c r="V14" s="119">
        <f>+U14/U19</f>
        <v>0.20834640271878446</v>
      </c>
      <c r="W14" s="107">
        <v>3545438.3200000003</v>
      </c>
      <c r="X14" s="119">
        <f>+W14/W19</f>
        <v>0.1745245450273934</v>
      </c>
      <c r="Y14" s="229">
        <f>+S14+U14+W14</f>
        <v>9689740.6020000018</v>
      </c>
      <c r="Z14" s="119">
        <f>+Y14/Y19</f>
        <v>0.20802318509960446</v>
      </c>
      <c r="AA14" s="107">
        <v>1992025.012000002</v>
      </c>
      <c r="AB14" s="119">
        <f>+AA14/AA19</f>
        <v>0.1785712497206853</v>
      </c>
      <c r="AC14" s="107">
        <v>2706722.1199999973</v>
      </c>
      <c r="AD14" s="119">
        <f>+AC14/AC19</f>
        <v>0.19909867112392196</v>
      </c>
      <c r="AE14" s="107">
        <v>2567011.5540000014</v>
      </c>
      <c r="AF14" s="119">
        <f>+AE14/AE19</f>
        <v>0.15931831770926258</v>
      </c>
      <c r="AG14" s="229">
        <f>+AA14+AC14+AE14</f>
        <v>7265758.6860000007</v>
      </c>
      <c r="AH14" s="119">
        <f>+AG14/AG19</f>
        <v>0.17780907551481998</v>
      </c>
      <c r="AI14" s="273">
        <f t="shared" si="0"/>
        <v>-0.25015962919581991</v>
      </c>
      <c r="AJ14" s="229">
        <f>+I14+Q14+Y14+AG14</f>
        <v>33264710.014000002</v>
      </c>
      <c r="AK14" s="119">
        <f>+AJ14/AJ19</f>
        <v>0.1916855973772533</v>
      </c>
    </row>
    <row r="15" spans="1:37" s="66" customFormat="1" hidden="1" outlineLevel="1" x14ac:dyDescent="0.2">
      <c r="A15" s="62">
        <v>41010004</v>
      </c>
      <c r="B15" s="62" t="s">
        <v>261</v>
      </c>
      <c r="C15" s="107">
        <v>1745341.46</v>
      </c>
      <c r="D15" s="119">
        <f>+C15/C19</f>
        <v>0.1618734133289283</v>
      </c>
      <c r="E15" s="107">
        <v>1570216.3459999994</v>
      </c>
      <c r="F15" s="119">
        <f>+E15/E19</f>
        <v>0.12208691707582377</v>
      </c>
      <c r="G15" s="107">
        <v>1266956.2140000002</v>
      </c>
      <c r="H15" s="119">
        <f>+G15/G19</f>
        <v>8.3781052610089501E-2</v>
      </c>
      <c r="I15" s="229">
        <f>+C15+E15+G15</f>
        <v>4582514.0199999996</v>
      </c>
      <c r="J15" s="119">
        <f>+I15/I19</f>
        <v>0.1182101382894942</v>
      </c>
      <c r="K15" s="107">
        <v>1426484.9620000003</v>
      </c>
      <c r="L15" s="119">
        <f>+K15/K19</f>
        <v>0.10188161696116931</v>
      </c>
      <c r="M15" s="107">
        <v>1782441.6120000007</v>
      </c>
      <c r="N15" s="119">
        <f>+M15/M19</f>
        <v>0.147310223285126</v>
      </c>
      <c r="O15" s="107">
        <v>1693733.5419999994</v>
      </c>
      <c r="P15" s="119">
        <f>+O15/O19</f>
        <v>7.9787987264508461E-2</v>
      </c>
      <c r="Q15" s="229">
        <f>+K15+M15+O15</f>
        <v>4902660.1160000004</v>
      </c>
      <c r="R15" s="119">
        <f>+Q15/Q19</f>
        <v>0.10358628102714651</v>
      </c>
      <c r="S15" s="107">
        <v>1750794.1279999986</v>
      </c>
      <c r="T15" s="119">
        <f>+S15/S19</f>
        <v>0.11877825173310053</v>
      </c>
      <c r="U15" s="107">
        <v>951762.944000002</v>
      </c>
      <c r="V15" s="119">
        <f>+U15/U19</f>
        <v>8.2580777932486846E-2</v>
      </c>
      <c r="W15" s="107">
        <v>1814078.3699999992</v>
      </c>
      <c r="X15" s="119">
        <f>+W15/W19</f>
        <v>8.9298183635665468E-2</v>
      </c>
      <c r="Y15" s="229">
        <f>+S15+U15+W15</f>
        <v>4516635.4419999998</v>
      </c>
      <c r="Z15" s="119">
        <f>+Y15/Y19</f>
        <v>9.6964916726942088E-2</v>
      </c>
      <c r="AA15" s="107">
        <v>1204377.8220000062</v>
      </c>
      <c r="AB15" s="119">
        <f>+AA15/AA19</f>
        <v>0.10796413273671183</v>
      </c>
      <c r="AC15" s="107">
        <v>1760424.1999999955</v>
      </c>
      <c r="AD15" s="119">
        <f>+AC15/AC19</f>
        <v>0.12949172589404664</v>
      </c>
      <c r="AE15" s="107">
        <v>2127269.194000002</v>
      </c>
      <c r="AF15" s="119">
        <f>+AE15/AE19</f>
        <v>0.13202626562966341</v>
      </c>
      <c r="AG15" s="229">
        <f>+AA15+AC15+AE15</f>
        <v>5092071.2160000037</v>
      </c>
      <c r="AH15" s="119">
        <f>+AG15/AG19</f>
        <v>0.12461416825158041</v>
      </c>
      <c r="AI15" s="273">
        <f t="shared" si="0"/>
        <v>0.12740363515927178</v>
      </c>
      <c r="AJ15" s="229">
        <f>+I15+Q15+Y15+AG15</f>
        <v>19093880.794000003</v>
      </c>
      <c r="AK15" s="119">
        <f>+AJ15/AJ19</f>
        <v>0.11002717127873875</v>
      </c>
    </row>
    <row r="16" spans="1:37" s="66" customFormat="1" hidden="1" outlineLevel="1" x14ac:dyDescent="0.2">
      <c r="A16" s="62">
        <v>41010005</v>
      </c>
      <c r="B16" s="62" t="s">
        <v>262</v>
      </c>
      <c r="C16" s="107">
        <v>1174234.93848</v>
      </c>
      <c r="D16" s="119">
        <f>+C16/C19</f>
        <v>0.10890557630014801</v>
      </c>
      <c r="E16" s="107">
        <v>2067850.2975199996</v>
      </c>
      <c r="F16" s="119">
        <f>+E16/E19</f>
        <v>0.16077877958770262</v>
      </c>
      <c r="G16" s="107">
        <v>1313528.534</v>
      </c>
      <c r="H16" s="119">
        <f>+G16/G19</f>
        <v>8.6860778609281694E-2</v>
      </c>
      <c r="I16" s="229">
        <f>+C16+E16+G16</f>
        <v>4555613.7699999996</v>
      </c>
      <c r="J16" s="119">
        <f>+I16/I19</f>
        <v>0.11751622174965523</v>
      </c>
      <c r="K16" s="107">
        <v>1626238.5319999997</v>
      </c>
      <c r="L16" s="119">
        <f>+K16/K19</f>
        <v>0.11614830553307874</v>
      </c>
      <c r="M16" s="107">
        <v>1371803.6920000017</v>
      </c>
      <c r="N16" s="119">
        <f>+M16/M19</f>
        <v>0.1133729749190126</v>
      </c>
      <c r="O16" s="107">
        <v>3109333.8219999988</v>
      </c>
      <c r="P16" s="119">
        <f>+O16/O19</f>
        <v>0.14647374054946916</v>
      </c>
      <c r="Q16" s="229">
        <f>+K16+M16+O16</f>
        <v>6107376.0460000001</v>
      </c>
      <c r="R16" s="119">
        <f>+Q16/Q19</f>
        <v>0.12904022642213667</v>
      </c>
      <c r="S16" s="107">
        <v>1415914.8680000007</v>
      </c>
      <c r="T16" s="119">
        <f>+S16/S19</f>
        <v>9.605920532533567E-2</v>
      </c>
      <c r="U16" s="107">
        <v>3348130.7740000002</v>
      </c>
      <c r="V16" s="119">
        <f>+U16/U19</f>
        <v>0.29050431694115081</v>
      </c>
      <c r="W16" s="107">
        <v>1850387.3299999982</v>
      </c>
      <c r="X16" s="119">
        <f>+W16/W19</f>
        <v>9.108549571176941E-2</v>
      </c>
      <c r="Y16" s="229">
        <f>+S16+U16+W16</f>
        <v>6614432.9719999991</v>
      </c>
      <c r="Z16" s="119">
        <f>+Y16/Y19</f>
        <v>0.14200126411838929</v>
      </c>
      <c r="AA16" s="107">
        <v>1085881.9720000066</v>
      </c>
      <c r="AB16" s="119">
        <f>+AA16/AA19</f>
        <v>9.7341800239003823E-2</v>
      </c>
      <c r="AC16" s="107">
        <v>1158496.2699999958</v>
      </c>
      <c r="AD16" s="119">
        <f>+AC16/AC19</f>
        <v>8.521564373184333E-2</v>
      </c>
      <c r="AE16" s="107">
        <v>1391835.4539999999</v>
      </c>
      <c r="AF16" s="119">
        <f>+AE16/AE19</f>
        <v>8.6382502920120313E-2</v>
      </c>
      <c r="AG16" s="229">
        <f>+AA16+AC16+AE16</f>
        <v>3636213.6960000023</v>
      </c>
      <c r="AH16" s="119">
        <f>+AG16/AG19</f>
        <v>8.8986136699790608E-2</v>
      </c>
      <c r="AI16" s="273">
        <f t="shared" si="0"/>
        <v>-0.45026070845487387</v>
      </c>
      <c r="AJ16" s="229">
        <f>+I16+Q16+Y16+AG16</f>
        <v>20913636.484000001</v>
      </c>
      <c r="AK16" s="119">
        <f>+AJ16/AJ19</f>
        <v>0.12051338794413274</v>
      </c>
    </row>
    <row r="17" spans="1:41" s="66" customFormat="1" hidden="1" outlineLevel="1" x14ac:dyDescent="0.2">
      <c r="A17" s="62">
        <v>41010011</v>
      </c>
      <c r="B17" s="62" t="s">
        <v>144</v>
      </c>
      <c r="C17" s="107"/>
      <c r="D17" s="119"/>
      <c r="E17" s="107"/>
      <c r="F17" s="119"/>
      <c r="G17" s="107"/>
      <c r="H17" s="119"/>
      <c r="I17" s="229"/>
      <c r="J17" s="119"/>
      <c r="K17" s="107"/>
      <c r="L17" s="119"/>
      <c r="M17" s="107"/>
      <c r="N17" s="119"/>
      <c r="O17" s="107"/>
      <c r="P17" s="119"/>
      <c r="Q17" s="229"/>
      <c r="R17" s="119"/>
      <c r="S17" s="107"/>
      <c r="T17" s="119"/>
      <c r="U17" s="107"/>
      <c r="V17" s="119"/>
      <c r="W17" s="107"/>
      <c r="X17" s="119"/>
      <c r="Y17" s="229"/>
      <c r="Z17" s="119"/>
      <c r="AA17" s="107"/>
      <c r="AB17" s="119"/>
      <c r="AC17" s="107"/>
      <c r="AD17" s="119"/>
      <c r="AE17" s="107"/>
      <c r="AF17" s="119"/>
      <c r="AG17" s="229"/>
      <c r="AH17" s="119"/>
      <c r="AI17" s="274"/>
      <c r="AJ17" s="229"/>
      <c r="AK17" s="119"/>
    </row>
    <row r="18" spans="1:41" s="66" customFormat="1" hidden="1" outlineLevel="1" x14ac:dyDescent="0.2">
      <c r="A18" s="62"/>
      <c r="B18" s="62" t="s">
        <v>2</v>
      </c>
      <c r="C18" s="107" t="s">
        <v>264</v>
      </c>
      <c r="D18" s="119"/>
      <c r="E18" s="63" t="s">
        <v>264</v>
      </c>
      <c r="F18" s="119"/>
      <c r="G18" s="63" t="s">
        <v>264</v>
      </c>
      <c r="H18" s="119"/>
      <c r="I18" s="230" t="s">
        <v>264</v>
      </c>
      <c r="J18" s="119"/>
      <c r="K18" s="63" t="s">
        <v>264</v>
      </c>
      <c r="L18" s="119"/>
      <c r="M18" s="63" t="s">
        <v>264</v>
      </c>
      <c r="N18" s="119"/>
      <c r="O18" s="63" t="s">
        <v>264</v>
      </c>
      <c r="P18" s="119"/>
      <c r="Q18" s="230" t="s">
        <v>264</v>
      </c>
      <c r="R18" s="119"/>
      <c r="S18" s="63" t="s">
        <v>264</v>
      </c>
      <c r="T18" s="119"/>
      <c r="U18" s="63" t="s">
        <v>264</v>
      </c>
      <c r="V18" s="119"/>
      <c r="W18" s="63" t="s">
        <v>264</v>
      </c>
      <c r="X18" s="119"/>
      <c r="Y18" s="230" t="s">
        <v>264</v>
      </c>
      <c r="Z18" s="119"/>
      <c r="AA18" s="63" t="s">
        <v>264</v>
      </c>
      <c r="AB18" s="119"/>
      <c r="AC18" s="63" t="s">
        <v>264</v>
      </c>
      <c r="AD18" s="119"/>
      <c r="AE18" s="63" t="s">
        <v>264</v>
      </c>
      <c r="AF18" s="119"/>
      <c r="AG18" s="230" t="s">
        <v>264</v>
      </c>
      <c r="AH18" s="119"/>
      <c r="AI18" s="275"/>
      <c r="AJ18" s="230" t="s">
        <v>264</v>
      </c>
      <c r="AK18" s="119"/>
    </row>
    <row r="19" spans="1:41" s="66" customFormat="1" collapsed="1" x14ac:dyDescent="0.2">
      <c r="A19" s="64" t="s">
        <v>145</v>
      </c>
      <c r="B19" s="64" t="s">
        <v>143</v>
      </c>
      <c r="C19" s="108">
        <f>SUM(C12:C18)</f>
        <v>10782137.869999997</v>
      </c>
      <c r="D19" s="120"/>
      <c r="E19" s="108">
        <f>SUM(E12:E18)</f>
        <v>12861462.829999998</v>
      </c>
      <c r="F19" s="120"/>
      <c r="G19" s="108">
        <f>SUM(G12:G18)</f>
        <v>15122228.41</v>
      </c>
      <c r="H19" s="120"/>
      <c r="I19" s="231">
        <f>SUM(I12:I18)</f>
        <v>38765829.109999999</v>
      </c>
      <c r="J19" s="120"/>
      <c r="K19" s="108">
        <f>SUM(K12:K18)</f>
        <v>14001396.959999999</v>
      </c>
      <c r="L19" s="120"/>
      <c r="M19" s="108">
        <f>SUM(M12:M18)</f>
        <v>12099917.930000007</v>
      </c>
      <c r="N19" s="120"/>
      <c r="O19" s="108">
        <f>SUM(O12:O18)</f>
        <v>21227926.659999996</v>
      </c>
      <c r="P19" s="120"/>
      <c r="Q19" s="231">
        <f>SUM(Q12:Q18)</f>
        <v>47329241.550000012</v>
      </c>
      <c r="R19" s="120"/>
      <c r="S19" s="108">
        <f>SUM(S12:S18)</f>
        <v>14740022.710000001</v>
      </c>
      <c r="T19" s="120"/>
      <c r="U19" s="108">
        <f>SUM(U12:U18)</f>
        <v>11525235.870000001</v>
      </c>
      <c r="V19" s="120"/>
      <c r="W19" s="108">
        <f>SUM(W12:W18)</f>
        <v>20314840.639999993</v>
      </c>
      <c r="X19" s="120"/>
      <c r="Y19" s="231">
        <f>SUM(Y12:Y18)</f>
        <v>46580099.219999999</v>
      </c>
      <c r="Z19" s="120"/>
      <c r="AA19" s="108">
        <f>SUM(AA12:AA18)</f>
        <v>11155351.24000003</v>
      </c>
      <c r="AB19" s="120"/>
      <c r="AC19" s="108">
        <f>SUM(AC12:AC18)</f>
        <v>13594877.87999998</v>
      </c>
      <c r="AD19" s="120"/>
      <c r="AE19" s="108">
        <f>SUM(AE12:AE18)</f>
        <v>16112469.620000001</v>
      </c>
      <c r="AF19" s="120"/>
      <c r="AG19" s="231">
        <f>SUM(AG12:AG18)</f>
        <v>40862698.74000001</v>
      </c>
      <c r="AH19" s="120"/>
      <c r="AI19" s="221"/>
      <c r="AJ19" s="231">
        <f>SUM(AJ12:AJ18)</f>
        <v>173537868.62</v>
      </c>
      <c r="AK19" s="120"/>
    </row>
    <row r="20" spans="1:41" s="66" customFormat="1" hidden="1" outlineLevel="1" x14ac:dyDescent="0.2">
      <c r="A20" s="62"/>
      <c r="B20" s="62" t="s">
        <v>2</v>
      </c>
      <c r="C20" s="107"/>
      <c r="D20" s="119"/>
      <c r="E20" s="63"/>
      <c r="F20" s="119"/>
      <c r="G20" s="63"/>
      <c r="H20" s="119"/>
      <c r="I20" s="230"/>
      <c r="J20" s="119"/>
      <c r="K20" s="63"/>
      <c r="L20" s="119"/>
      <c r="M20" s="63"/>
      <c r="N20" s="119"/>
      <c r="O20" s="63"/>
      <c r="P20" s="119"/>
      <c r="Q20" s="230"/>
      <c r="R20" s="119"/>
      <c r="S20" s="63"/>
      <c r="T20" s="119"/>
      <c r="U20" s="63"/>
      <c r="V20" s="119"/>
      <c r="W20" s="63"/>
      <c r="X20" s="119"/>
      <c r="Y20" s="230"/>
      <c r="Z20" s="119"/>
      <c r="AA20" s="63"/>
      <c r="AB20" s="119"/>
      <c r="AC20" s="63"/>
      <c r="AD20" s="119"/>
      <c r="AE20" s="63"/>
      <c r="AF20" s="119"/>
      <c r="AG20" s="230"/>
      <c r="AH20" s="119"/>
      <c r="AI20" s="275"/>
      <c r="AJ20" s="230"/>
      <c r="AK20" s="119"/>
    </row>
    <row r="21" spans="1:41" s="66" customFormat="1" hidden="1" outlineLevel="1" x14ac:dyDescent="0.2">
      <c r="A21" s="62">
        <v>4201</v>
      </c>
      <c r="B21" s="62" t="s">
        <v>147</v>
      </c>
      <c r="C21" s="107"/>
      <c r="D21" s="119"/>
      <c r="E21" s="107"/>
      <c r="F21" s="119"/>
      <c r="G21" s="107"/>
      <c r="H21" s="119"/>
      <c r="I21" s="229"/>
      <c r="J21" s="119"/>
      <c r="K21" s="107"/>
      <c r="L21" s="119"/>
      <c r="M21" s="107"/>
      <c r="N21" s="119"/>
      <c r="O21" s="107"/>
      <c r="P21" s="119"/>
      <c r="Q21" s="229"/>
      <c r="R21" s="119"/>
      <c r="S21" s="107"/>
      <c r="T21" s="119"/>
      <c r="U21" s="107"/>
      <c r="V21" s="119"/>
      <c r="W21" s="107"/>
      <c r="X21" s="119"/>
      <c r="Y21" s="229"/>
      <c r="Z21" s="119"/>
      <c r="AA21" s="107"/>
      <c r="AB21" s="119"/>
      <c r="AC21" s="107"/>
      <c r="AD21" s="119"/>
      <c r="AE21" s="107"/>
      <c r="AF21" s="119"/>
      <c r="AG21" s="229"/>
      <c r="AH21" s="119"/>
      <c r="AI21" s="274"/>
      <c r="AJ21" s="229"/>
      <c r="AK21" s="119"/>
    </row>
    <row r="22" spans="1:41" s="66" customFormat="1" hidden="1" outlineLevel="1" x14ac:dyDescent="0.2">
      <c r="A22" s="62">
        <v>42010001</v>
      </c>
      <c r="B22" s="62" t="s">
        <v>258</v>
      </c>
      <c r="C22" s="107">
        <v>0</v>
      </c>
      <c r="D22" s="119">
        <f>+IFERROR(C22/C29,0)</f>
        <v>0</v>
      </c>
      <c r="E22" s="107">
        <v>0</v>
      </c>
      <c r="F22" s="119">
        <f>+IFERROR(E22/E29,0)</f>
        <v>0</v>
      </c>
      <c r="G22" s="107">
        <v>-2179</v>
      </c>
      <c r="H22" s="119">
        <f>+IFERROR(G22/G29,0)</f>
        <v>1</v>
      </c>
      <c r="I22" s="229">
        <f t="shared" ref="I22:I27" si="1">+C22+E22+G22</f>
        <v>-2179</v>
      </c>
      <c r="J22" s="119">
        <f>+IFERROR(I22/I29,0)</f>
        <v>1</v>
      </c>
      <c r="K22" s="107">
        <v>2179</v>
      </c>
      <c r="L22" s="119">
        <f>+IFERROR(K22/K29,0)</f>
        <v>-0.20462015212696028</v>
      </c>
      <c r="M22" s="107">
        <v>0</v>
      </c>
      <c r="N22" s="119">
        <f>+IFERROR(M22/M29,0)</f>
        <v>0</v>
      </c>
      <c r="O22" s="107">
        <v>0</v>
      </c>
      <c r="P22" s="119">
        <f>+IFERROR(O22/O29,0)</f>
        <v>0</v>
      </c>
      <c r="Q22" s="229">
        <f t="shared" ref="Q22:Q27" si="2">+K22+M22+O22</f>
        <v>2179</v>
      </c>
      <c r="R22" s="119">
        <f>+IFERROR(Q22/Q29,0)</f>
        <v>-0.11188996476929564</v>
      </c>
      <c r="S22" s="107">
        <v>0</v>
      </c>
      <c r="T22" s="119">
        <f>+IFERROR(S22/S29,0)</f>
        <v>0</v>
      </c>
      <c r="U22" s="107">
        <v>0</v>
      </c>
      <c r="V22" s="119">
        <f>+IFERROR(U22/U29,0)</f>
        <v>0</v>
      </c>
      <c r="W22" s="107">
        <v>0</v>
      </c>
      <c r="X22" s="119">
        <f>+IFERROR(W22/W29,0)</f>
        <v>0</v>
      </c>
      <c r="Y22" s="229">
        <f t="shared" ref="Y22:Y27" si="3">+S22+U22+W22</f>
        <v>0</v>
      </c>
      <c r="Z22" s="119">
        <f>+IFERROR(Y22/Y29,0)</f>
        <v>0</v>
      </c>
      <c r="AA22" s="107">
        <v>0</v>
      </c>
      <c r="AB22" s="119">
        <f>+IFERROR(AA22/AA29,0)</f>
        <v>0</v>
      </c>
      <c r="AC22" s="107">
        <v>-10951.25</v>
      </c>
      <c r="AD22" s="119">
        <f>+IFERROR(AC22/AC29,0)</f>
        <v>0.12909580420511937</v>
      </c>
      <c r="AE22" s="107">
        <v>-17445.47</v>
      </c>
      <c r="AF22" s="119">
        <f>+IFERROR(AE22/AE29,0)</f>
        <v>0.43091215556979412</v>
      </c>
      <c r="AG22" s="229">
        <f t="shared" ref="AG22:AG27" si="4">+AA22+AC22+AE22</f>
        <v>-28396.720000000001</v>
      </c>
      <c r="AH22" s="119">
        <f>+IFERROR(AG22/AG29,0)</f>
        <v>0.22660201592158793</v>
      </c>
      <c r="AI22" s="273" t="str">
        <f t="shared" ref="AI22:AI27" si="5">+IFERROR(AG22/Y22-1,"0")</f>
        <v>0</v>
      </c>
      <c r="AJ22" s="229">
        <f t="shared" ref="AJ22:AJ27" si="6">+I22+Q22+Y22+AG22</f>
        <v>-28396.720000000001</v>
      </c>
      <c r="AK22" s="119">
        <f>+IFERROR(AJ22/AJ29,0)</f>
        <v>9.0880735404804264E-2</v>
      </c>
    </row>
    <row r="23" spans="1:41" s="66" customFormat="1" hidden="1" outlineLevel="1" x14ac:dyDescent="0.2">
      <c r="A23" s="62">
        <v>42010002</v>
      </c>
      <c r="B23" s="62" t="s">
        <v>259</v>
      </c>
      <c r="C23" s="107">
        <v>0</v>
      </c>
      <c r="D23" s="119">
        <f>+IFERROR(C23/C29,0)</f>
        <v>0</v>
      </c>
      <c r="E23" s="107">
        <v>0</v>
      </c>
      <c r="F23" s="119">
        <f>+IFERROR(E23/E29,0)</f>
        <v>0</v>
      </c>
      <c r="G23" s="107">
        <v>0</v>
      </c>
      <c r="H23" s="119">
        <f>+IFERROR(G23/G29,0)</f>
        <v>0</v>
      </c>
      <c r="I23" s="229">
        <f t="shared" si="1"/>
        <v>0</v>
      </c>
      <c r="J23" s="119">
        <f>+IFERROR(I23/I29,0)</f>
        <v>0</v>
      </c>
      <c r="K23" s="107">
        <v>-12828</v>
      </c>
      <c r="L23" s="119">
        <f>+IFERROR(K23/K29,0)</f>
        <v>1.2046201521269604</v>
      </c>
      <c r="M23" s="107">
        <v>-6559</v>
      </c>
      <c r="N23" s="119">
        <f>+IFERROR(M23/M29,0)</f>
        <v>1</v>
      </c>
      <c r="O23" s="107">
        <v>-2266.4899999999998</v>
      </c>
      <c r="P23" s="119">
        <f>+IFERROR(O23/O29,0)</f>
        <v>1</v>
      </c>
      <c r="Q23" s="229">
        <f t="shared" si="2"/>
        <v>-21653.489999999998</v>
      </c>
      <c r="R23" s="119">
        <f>+IFERROR(Q23/Q29,0)</f>
        <v>1.1118899647692957</v>
      </c>
      <c r="S23" s="107">
        <v>0</v>
      </c>
      <c r="T23" s="119">
        <f>+IFERROR(S23/S29,0)</f>
        <v>0</v>
      </c>
      <c r="U23" s="107">
        <v>-15212</v>
      </c>
      <c r="V23" s="119">
        <f>+IFERROR(U23/U29,0)</f>
        <v>1</v>
      </c>
      <c r="W23" s="107">
        <v>-150280.5</v>
      </c>
      <c r="X23" s="119">
        <f>+IFERROR(W23/W29,0)</f>
        <v>1</v>
      </c>
      <c r="Y23" s="229">
        <f t="shared" si="3"/>
        <v>-165492.5</v>
      </c>
      <c r="Z23" s="119">
        <f>+IFERROR(Y23/Y29,0)</f>
        <v>1</v>
      </c>
      <c r="AA23" s="107">
        <v>0</v>
      </c>
      <c r="AB23" s="119">
        <f>+IFERROR(AA23/AA29,0)</f>
        <v>0</v>
      </c>
      <c r="AC23" s="107">
        <v>0</v>
      </c>
      <c r="AD23" s="119">
        <f>+IFERROR(AC23/AC29,0)</f>
        <v>0</v>
      </c>
      <c r="AE23" s="107">
        <v>0</v>
      </c>
      <c r="AF23" s="119">
        <f>+IFERROR(AE23/AE29,0)</f>
        <v>0</v>
      </c>
      <c r="AG23" s="229">
        <f t="shared" si="4"/>
        <v>0</v>
      </c>
      <c r="AH23" s="119">
        <f>+IFERROR(AG23/AG29,0)</f>
        <v>0</v>
      </c>
      <c r="AI23" s="273">
        <f t="shared" si="5"/>
        <v>-1</v>
      </c>
      <c r="AJ23" s="229">
        <f t="shared" si="6"/>
        <v>-187145.99</v>
      </c>
      <c r="AK23" s="119">
        <f>+IFERROR(AJ23/AJ29,0)</f>
        <v>0.59894118754772185</v>
      </c>
    </row>
    <row r="24" spans="1:41" s="66" customFormat="1" hidden="1" outlineLevel="1" x14ac:dyDescent="0.2">
      <c r="A24" s="62">
        <v>42010003</v>
      </c>
      <c r="B24" s="62" t="s">
        <v>260</v>
      </c>
      <c r="C24" s="107">
        <v>0</v>
      </c>
      <c r="D24" s="119">
        <f>+IFERROR(C24/C29,0)</f>
        <v>0</v>
      </c>
      <c r="E24" s="107">
        <v>0</v>
      </c>
      <c r="F24" s="119">
        <f>+IFERROR(E24/E29,0)</f>
        <v>0</v>
      </c>
      <c r="G24" s="107">
        <v>0</v>
      </c>
      <c r="H24" s="119">
        <f>+IFERROR(G24/G29,0)</f>
        <v>0</v>
      </c>
      <c r="I24" s="229">
        <f t="shared" si="1"/>
        <v>0</v>
      </c>
      <c r="J24" s="119">
        <f>+IFERROR(I24/I29,0)</f>
        <v>0</v>
      </c>
      <c r="K24" s="107">
        <v>0</v>
      </c>
      <c r="L24" s="119">
        <f>+IFERROR(K24/K29,0)</f>
        <v>0</v>
      </c>
      <c r="M24" s="107">
        <v>0</v>
      </c>
      <c r="N24" s="119">
        <f>+IFERROR(M24/M29,0)</f>
        <v>0</v>
      </c>
      <c r="O24" s="107">
        <v>0</v>
      </c>
      <c r="P24" s="119">
        <f>+IFERROR(O24/O29,0)</f>
        <v>0</v>
      </c>
      <c r="Q24" s="229">
        <f t="shared" si="2"/>
        <v>0</v>
      </c>
      <c r="R24" s="119">
        <f>+IFERROR(Q24/Q29,0)</f>
        <v>0</v>
      </c>
      <c r="S24" s="107">
        <v>0</v>
      </c>
      <c r="T24" s="119">
        <f>+IFERROR(S24/S29,0)</f>
        <v>0</v>
      </c>
      <c r="U24" s="107">
        <v>0</v>
      </c>
      <c r="V24" s="119">
        <f>+IFERROR(U24/U29,0)</f>
        <v>0</v>
      </c>
      <c r="W24" s="107">
        <v>0</v>
      </c>
      <c r="X24" s="119">
        <f>+IFERROR(W24/W29,0)</f>
        <v>0</v>
      </c>
      <c r="Y24" s="229">
        <f t="shared" si="3"/>
        <v>0</v>
      </c>
      <c r="Z24" s="119">
        <f>+IFERROR(Y24/Y29,0)</f>
        <v>0</v>
      </c>
      <c r="AA24" s="107">
        <v>0</v>
      </c>
      <c r="AB24" s="119">
        <f>+IFERROR(AA24/AA29,0)</f>
        <v>0</v>
      </c>
      <c r="AC24" s="107">
        <v>-73879.16</v>
      </c>
      <c r="AD24" s="119">
        <f>+IFERROR(AC24/AC29,0)</f>
        <v>0.87090419579488065</v>
      </c>
      <c r="AE24" s="107">
        <v>-23039.51</v>
      </c>
      <c r="AF24" s="119">
        <f>+IFERROR(AE24/AE29,0)</f>
        <v>0.56908784443020599</v>
      </c>
      <c r="AG24" s="229">
        <f t="shared" si="4"/>
        <v>-96918.67</v>
      </c>
      <c r="AH24" s="119">
        <f>+IFERROR(AG24/AG29,0)</f>
        <v>0.77339798407841209</v>
      </c>
      <c r="AI24" s="273" t="str">
        <f t="shared" si="5"/>
        <v>0</v>
      </c>
      <c r="AJ24" s="229">
        <f t="shared" si="6"/>
        <v>-96918.67</v>
      </c>
      <c r="AK24" s="119">
        <f>+IFERROR(AJ24/AJ29,0)</f>
        <v>0.3101780770474738</v>
      </c>
    </row>
    <row r="25" spans="1:41" s="66" customFormat="1" hidden="1" outlineLevel="1" x14ac:dyDescent="0.2">
      <c r="A25" s="62">
        <v>42010004</v>
      </c>
      <c r="B25" s="62" t="s">
        <v>261</v>
      </c>
      <c r="C25" s="107">
        <v>0</v>
      </c>
      <c r="D25" s="119">
        <f>+IFERROR(C25/C29,0)</f>
        <v>0</v>
      </c>
      <c r="E25" s="107">
        <v>0</v>
      </c>
      <c r="F25" s="119">
        <f>+IFERROR(E25/E29,0)</f>
        <v>0</v>
      </c>
      <c r="G25" s="107">
        <v>0</v>
      </c>
      <c r="H25" s="119">
        <f>+IFERROR(G25/G29,0)</f>
        <v>0</v>
      </c>
      <c r="I25" s="229">
        <f t="shared" si="1"/>
        <v>0</v>
      </c>
      <c r="J25" s="119">
        <f>+IFERROR(I25/I29,0)</f>
        <v>0</v>
      </c>
      <c r="K25" s="107">
        <v>0</v>
      </c>
      <c r="L25" s="119">
        <f>+IFERROR(K25/K29,0)</f>
        <v>0</v>
      </c>
      <c r="M25" s="107">
        <v>0</v>
      </c>
      <c r="N25" s="119">
        <f>+IFERROR(M25/M29,0)</f>
        <v>0</v>
      </c>
      <c r="O25" s="107">
        <v>0</v>
      </c>
      <c r="P25" s="119">
        <f>+IFERROR(O25/O29,0)</f>
        <v>0</v>
      </c>
      <c r="Q25" s="229">
        <f t="shared" si="2"/>
        <v>0</v>
      </c>
      <c r="R25" s="119">
        <f>+IFERROR(Q25/Q29,0)</f>
        <v>0</v>
      </c>
      <c r="S25" s="107">
        <v>0</v>
      </c>
      <c r="T25" s="119">
        <f>+IFERROR(S25/S29,0)</f>
        <v>0</v>
      </c>
      <c r="U25" s="107">
        <v>0</v>
      </c>
      <c r="V25" s="119">
        <f>+IFERROR(U25/U29,0)</f>
        <v>0</v>
      </c>
      <c r="W25" s="107">
        <v>0</v>
      </c>
      <c r="X25" s="119">
        <f>+IFERROR(W25/W29,0)</f>
        <v>0</v>
      </c>
      <c r="Y25" s="229">
        <f t="shared" si="3"/>
        <v>0</v>
      </c>
      <c r="Z25" s="119">
        <f>+IFERROR(Y25/Y29,0)</f>
        <v>0</v>
      </c>
      <c r="AA25" s="107">
        <v>0</v>
      </c>
      <c r="AB25" s="119">
        <f>+IFERROR(AA25/AA29,0)</f>
        <v>0</v>
      </c>
      <c r="AC25" s="107">
        <v>0</v>
      </c>
      <c r="AD25" s="119">
        <f>+IFERROR(AC25/AC29,0)</f>
        <v>0</v>
      </c>
      <c r="AE25" s="107">
        <v>0</v>
      </c>
      <c r="AF25" s="119">
        <f>+IFERROR(AE25/AE29,0)</f>
        <v>0</v>
      </c>
      <c r="AG25" s="229">
        <f t="shared" si="4"/>
        <v>0</v>
      </c>
      <c r="AH25" s="119">
        <f>+IFERROR(AG25/AG29,0)</f>
        <v>0</v>
      </c>
      <c r="AI25" s="273" t="str">
        <f t="shared" si="5"/>
        <v>0</v>
      </c>
      <c r="AJ25" s="229">
        <f t="shared" si="6"/>
        <v>0</v>
      </c>
      <c r="AK25" s="119">
        <f>+IFERROR(AJ25/AJ29,0)</f>
        <v>0</v>
      </c>
    </row>
    <row r="26" spans="1:41" s="62" customFormat="1" hidden="1" outlineLevel="1" x14ac:dyDescent="0.2">
      <c r="A26" s="62">
        <v>42010005</v>
      </c>
      <c r="B26" s="62" t="s">
        <v>262</v>
      </c>
      <c r="C26" s="107">
        <v>0</v>
      </c>
      <c r="D26" s="119">
        <f>+IFERROR(C26/C29,0)</f>
        <v>0</v>
      </c>
      <c r="E26" s="107">
        <v>0</v>
      </c>
      <c r="F26" s="119">
        <f>+IFERROR(E26/E29,0)</f>
        <v>0</v>
      </c>
      <c r="G26" s="107">
        <v>0</v>
      </c>
      <c r="H26" s="119">
        <f>+IFERROR(G26/G29,0)</f>
        <v>0</v>
      </c>
      <c r="I26" s="229">
        <f t="shared" si="1"/>
        <v>0</v>
      </c>
      <c r="J26" s="119">
        <f>+IFERROR(I26/I29,0)</f>
        <v>0</v>
      </c>
      <c r="K26" s="107">
        <v>0</v>
      </c>
      <c r="L26" s="119">
        <f>+IFERROR(K26/K29,0)</f>
        <v>0</v>
      </c>
      <c r="M26" s="107">
        <v>0</v>
      </c>
      <c r="N26" s="119">
        <f>+IFERROR(M26/M29,0)</f>
        <v>0</v>
      </c>
      <c r="O26" s="107">
        <v>0</v>
      </c>
      <c r="P26" s="119">
        <f>+IFERROR(O26/O29,0)</f>
        <v>0</v>
      </c>
      <c r="Q26" s="229">
        <f t="shared" si="2"/>
        <v>0</v>
      </c>
      <c r="R26" s="119">
        <f>+IFERROR(Q26/Q29,0)</f>
        <v>0</v>
      </c>
      <c r="S26" s="107">
        <v>0</v>
      </c>
      <c r="T26" s="119">
        <f>+IFERROR(S26/S29,0)</f>
        <v>0</v>
      </c>
      <c r="U26" s="107">
        <v>0</v>
      </c>
      <c r="V26" s="119">
        <f>+IFERROR(U26/U29,0)</f>
        <v>0</v>
      </c>
      <c r="W26" s="107">
        <v>0</v>
      </c>
      <c r="X26" s="119">
        <f>+IFERROR(W26/W29,0)</f>
        <v>0</v>
      </c>
      <c r="Y26" s="229">
        <f t="shared" si="3"/>
        <v>0</v>
      </c>
      <c r="Z26" s="119">
        <f>+IFERROR(Y26/Y29,0)</f>
        <v>0</v>
      </c>
      <c r="AA26" s="107">
        <v>0</v>
      </c>
      <c r="AB26" s="119">
        <f>+IFERROR(AA26/AA29,0)</f>
        <v>0</v>
      </c>
      <c r="AC26" s="107">
        <v>0</v>
      </c>
      <c r="AD26" s="119">
        <f>+IFERROR(AC26/AC29,0)</f>
        <v>0</v>
      </c>
      <c r="AE26" s="107">
        <v>0</v>
      </c>
      <c r="AF26" s="119">
        <f>+IFERROR(AE26/AE29,0)</f>
        <v>0</v>
      </c>
      <c r="AG26" s="229">
        <f t="shared" si="4"/>
        <v>0</v>
      </c>
      <c r="AH26" s="119">
        <f>+IFERROR(AG26/AG29,0)</f>
        <v>0</v>
      </c>
      <c r="AI26" s="273" t="str">
        <f t="shared" si="5"/>
        <v>0</v>
      </c>
      <c r="AJ26" s="229">
        <f t="shared" si="6"/>
        <v>0</v>
      </c>
      <c r="AK26" s="119">
        <f>+IFERROR(AJ26/AJ29,0)</f>
        <v>0</v>
      </c>
    </row>
    <row r="27" spans="1:41" s="62" customFormat="1" hidden="1" outlineLevel="1" x14ac:dyDescent="0.2">
      <c r="A27" s="62">
        <v>42010011</v>
      </c>
      <c r="B27" s="62" t="s">
        <v>148</v>
      </c>
      <c r="C27" s="107">
        <v>0</v>
      </c>
      <c r="D27" s="119">
        <f>+IFERROR(C27/C29,0)</f>
        <v>0</v>
      </c>
      <c r="E27" s="107">
        <v>0</v>
      </c>
      <c r="F27" s="119">
        <f>+IFERROR(E27/E29,0)</f>
        <v>0</v>
      </c>
      <c r="G27" s="107">
        <v>0</v>
      </c>
      <c r="H27" s="119">
        <f>+IFERROR(G27/G29,0)</f>
        <v>0</v>
      </c>
      <c r="I27" s="229">
        <f t="shared" si="1"/>
        <v>0</v>
      </c>
      <c r="J27" s="119">
        <f>+IFERROR(I27/I29,0)</f>
        <v>0</v>
      </c>
      <c r="K27" s="107">
        <v>0</v>
      </c>
      <c r="L27" s="119">
        <f>+IFERROR(K27/K29,0)</f>
        <v>0</v>
      </c>
      <c r="M27" s="107">
        <v>0</v>
      </c>
      <c r="N27" s="119">
        <f>+IFERROR(M27/M29,0)</f>
        <v>0</v>
      </c>
      <c r="O27" s="107">
        <v>0</v>
      </c>
      <c r="P27" s="119">
        <f>+IFERROR(O27/O29,0)</f>
        <v>0</v>
      </c>
      <c r="Q27" s="229">
        <f t="shared" si="2"/>
        <v>0</v>
      </c>
      <c r="R27" s="119">
        <f>+IFERROR(Q27/Q29,0)</f>
        <v>0</v>
      </c>
      <c r="S27" s="107">
        <v>0</v>
      </c>
      <c r="T27" s="119">
        <f>+IFERROR(S27/S29,0)</f>
        <v>0</v>
      </c>
      <c r="U27" s="107">
        <v>0</v>
      </c>
      <c r="V27" s="119">
        <f>+IFERROR(U27/U29,0)</f>
        <v>0</v>
      </c>
      <c r="W27" s="107">
        <v>0</v>
      </c>
      <c r="X27" s="119">
        <f>+IFERROR(W27/W29,0)</f>
        <v>0</v>
      </c>
      <c r="Y27" s="229">
        <f t="shared" si="3"/>
        <v>0</v>
      </c>
      <c r="Z27" s="119">
        <f>+IFERROR(Y27/Y29,0)</f>
        <v>0</v>
      </c>
      <c r="AA27" s="107">
        <v>0</v>
      </c>
      <c r="AB27" s="119">
        <f>+IFERROR(AA27/AA29,0)</f>
        <v>0</v>
      </c>
      <c r="AC27" s="107">
        <v>0</v>
      </c>
      <c r="AD27" s="119">
        <f>+IFERROR(AC27/AC29,0)</f>
        <v>0</v>
      </c>
      <c r="AE27" s="107">
        <v>0</v>
      </c>
      <c r="AF27" s="119">
        <f>+IFERROR(AE27/AE29,0)</f>
        <v>0</v>
      </c>
      <c r="AG27" s="229">
        <f t="shared" si="4"/>
        <v>0</v>
      </c>
      <c r="AH27" s="119">
        <f>+IFERROR(AG27/AG29,0)</f>
        <v>0</v>
      </c>
      <c r="AI27" s="273" t="str">
        <f t="shared" si="5"/>
        <v>0</v>
      </c>
      <c r="AJ27" s="229">
        <f t="shared" si="6"/>
        <v>0</v>
      </c>
      <c r="AK27" s="119">
        <f>+IFERROR(AJ27/AJ29,0)</f>
        <v>0</v>
      </c>
    </row>
    <row r="28" spans="1:41" s="62" customFormat="1" hidden="1" outlineLevel="1" x14ac:dyDescent="0.2">
      <c r="B28" s="62" t="s">
        <v>2</v>
      </c>
      <c r="C28" s="107" t="s">
        <v>264</v>
      </c>
      <c r="D28" s="119"/>
      <c r="E28" s="63" t="s">
        <v>264</v>
      </c>
      <c r="F28" s="119"/>
      <c r="G28" s="63" t="s">
        <v>264</v>
      </c>
      <c r="H28" s="119"/>
      <c r="I28" s="230" t="s">
        <v>264</v>
      </c>
      <c r="J28" s="119"/>
      <c r="K28" s="63" t="s">
        <v>264</v>
      </c>
      <c r="L28" s="119"/>
      <c r="M28" s="63" t="s">
        <v>264</v>
      </c>
      <c r="N28" s="119"/>
      <c r="O28" s="63" t="s">
        <v>264</v>
      </c>
      <c r="P28" s="119"/>
      <c r="Q28" s="230" t="s">
        <v>264</v>
      </c>
      <c r="R28" s="119"/>
      <c r="S28" s="63" t="s">
        <v>264</v>
      </c>
      <c r="T28" s="119"/>
      <c r="U28" s="63" t="s">
        <v>264</v>
      </c>
      <c r="V28" s="119"/>
      <c r="W28" s="63" t="s">
        <v>264</v>
      </c>
      <c r="X28" s="119"/>
      <c r="Y28" s="230" t="s">
        <v>264</v>
      </c>
      <c r="Z28" s="119"/>
      <c r="AA28" s="63" t="s">
        <v>264</v>
      </c>
      <c r="AB28" s="119"/>
      <c r="AC28" s="63" t="s">
        <v>264</v>
      </c>
      <c r="AD28" s="119"/>
      <c r="AE28" s="63" t="s">
        <v>264</v>
      </c>
      <c r="AF28" s="119"/>
      <c r="AG28" s="230" t="s">
        <v>264</v>
      </c>
      <c r="AH28" s="119"/>
      <c r="AI28" s="275"/>
      <c r="AJ28" s="230" t="s">
        <v>264</v>
      </c>
      <c r="AK28" s="119"/>
    </row>
    <row r="29" spans="1:41" s="62" customFormat="1" collapsed="1" x14ac:dyDescent="0.2">
      <c r="A29" s="64" t="s">
        <v>149</v>
      </c>
      <c r="B29" s="64" t="s">
        <v>147</v>
      </c>
      <c r="C29" s="108">
        <f>SUM(C22:C28)</f>
        <v>0</v>
      </c>
      <c r="D29" s="122">
        <f>+C29/C19</f>
        <v>0</v>
      </c>
      <c r="E29" s="108">
        <f>SUM(E22:E28)</f>
        <v>0</v>
      </c>
      <c r="F29" s="122">
        <f>+E29/E19</f>
        <v>0</v>
      </c>
      <c r="G29" s="108">
        <f>SUM(G22:G28)</f>
        <v>-2179</v>
      </c>
      <c r="H29" s="122">
        <f>+G29/G19</f>
        <v>-1.4409252002562498E-4</v>
      </c>
      <c r="I29" s="231">
        <f>SUM(I22:I28)</f>
        <v>-2179</v>
      </c>
      <c r="J29" s="122">
        <f>+I29/I19</f>
        <v>-5.6209296951110663E-5</v>
      </c>
      <c r="K29" s="108">
        <f>SUM(K22:K28)</f>
        <v>-10649</v>
      </c>
      <c r="L29" s="122">
        <f>+K29/K19</f>
        <v>-7.605669655979813E-4</v>
      </c>
      <c r="M29" s="108">
        <f>SUM(M22:M28)</f>
        <v>-6559</v>
      </c>
      <c r="N29" s="122">
        <f>+M29/M19</f>
        <v>-5.4206979236924428E-4</v>
      </c>
      <c r="O29" s="108">
        <f>SUM(O22:O28)</f>
        <v>-2266.4899999999998</v>
      </c>
      <c r="P29" s="122">
        <f>+O29/O19</f>
        <v>-1.0676925901910008E-4</v>
      </c>
      <c r="Q29" s="231">
        <f>SUM(Q22:Q28)</f>
        <v>-19474.489999999998</v>
      </c>
      <c r="R29" s="122">
        <f>+Q29/Q19</f>
        <v>-4.1146845717835074E-4</v>
      </c>
      <c r="S29" s="108">
        <f>SUM(S22:S28)</f>
        <v>0</v>
      </c>
      <c r="T29" s="122">
        <f>+S29/S19</f>
        <v>0</v>
      </c>
      <c r="U29" s="108">
        <f>SUM(U22:U28)</f>
        <v>-15212</v>
      </c>
      <c r="V29" s="122">
        <f>+U29/U19</f>
        <v>-1.3198862193871958E-3</v>
      </c>
      <c r="W29" s="108">
        <f>SUM(W22:W28)</f>
        <v>-150280.5</v>
      </c>
      <c r="X29" s="122">
        <f>+W29/W19</f>
        <v>-7.3975721819888249E-3</v>
      </c>
      <c r="Y29" s="231">
        <f>SUM(Y22:Y28)</f>
        <v>-165492.5</v>
      </c>
      <c r="Z29" s="122">
        <f>+Y29/Y19</f>
        <v>-3.5528584689863184E-3</v>
      </c>
      <c r="AA29" s="108">
        <f>SUM(AA22:AA28)</f>
        <v>0</v>
      </c>
      <c r="AB29" s="122">
        <f>+AA29/AA19</f>
        <v>0</v>
      </c>
      <c r="AC29" s="108">
        <f>SUM(AC22:AC28)</f>
        <v>-84830.41</v>
      </c>
      <c r="AD29" s="122">
        <f>+AC29/AC19</f>
        <v>-6.2398802511347108E-3</v>
      </c>
      <c r="AE29" s="108">
        <f>SUM(AE22:AE28)</f>
        <v>-40484.979999999996</v>
      </c>
      <c r="AF29" s="122">
        <f>+AE29/AE19</f>
        <v>-2.5126489579069254E-3</v>
      </c>
      <c r="AG29" s="231">
        <f>SUM(AG22:AG28)</f>
        <v>-125315.39</v>
      </c>
      <c r="AH29" s="122">
        <f>+AG29/AG19</f>
        <v>-3.0667428697588751E-3</v>
      </c>
      <c r="AI29" s="221"/>
      <c r="AJ29" s="231">
        <f>SUM(AJ22:AJ28)</f>
        <v>-312461.38</v>
      </c>
      <c r="AK29" s="122">
        <f>+AJ29/AJ19</f>
        <v>-1.8005371535604376E-3</v>
      </c>
    </row>
    <row r="30" spans="1:41" s="62" customFormat="1" x14ac:dyDescent="0.2">
      <c r="B30" s="62" t="s">
        <v>2</v>
      </c>
      <c r="C30" s="107" t="s">
        <v>264</v>
      </c>
      <c r="D30" s="119"/>
      <c r="E30" s="63" t="s">
        <v>264</v>
      </c>
      <c r="F30" s="119"/>
      <c r="G30" s="63" t="s">
        <v>264</v>
      </c>
      <c r="H30" s="119"/>
      <c r="I30" s="230" t="s">
        <v>264</v>
      </c>
      <c r="J30" s="119"/>
      <c r="K30" s="63" t="s">
        <v>264</v>
      </c>
      <c r="L30" s="119"/>
      <c r="M30" s="63" t="s">
        <v>264</v>
      </c>
      <c r="N30" s="119"/>
      <c r="O30" s="63" t="s">
        <v>264</v>
      </c>
      <c r="P30" s="119"/>
      <c r="Q30" s="230" t="s">
        <v>264</v>
      </c>
      <c r="R30" s="119"/>
      <c r="S30" s="63" t="s">
        <v>264</v>
      </c>
      <c r="T30" s="119"/>
      <c r="U30" s="63" t="s">
        <v>264</v>
      </c>
      <c r="V30" s="119"/>
      <c r="W30" s="63" t="s">
        <v>264</v>
      </c>
      <c r="X30" s="119"/>
      <c r="Y30" s="230" t="s">
        <v>264</v>
      </c>
      <c r="Z30" s="119"/>
      <c r="AA30" s="63" t="s">
        <v>264</v>
      </c>
      <c r="AB30" s="119"/>
      <c r="AC30" s="63" t="s">
        <v>264</v>
      </c>
      <c r="AD30" s="119"/>
      <c r="AE30" s="63" t="s">
        <v>264</v>
      </c>
      <c r="AF30" s="119"/>
      <c r="AG30" s="230" t="s">
        <v>264</v>
      </c>
      <c r="AH30" s="119"/>
      <c r="AI30" s="275"/>
      <c r="AJ30" s="230" t="s">
        <v>264</v>
      </c>
      <c r="AK30" s="119"/>
    </row>
    <row r="31" spans="1:41" s="59" customFormat="1" x14ac:dyDescent="0.2">
      <c r="A31" s="651" t="s">
        <v>371</v>
      </c>
      <c r="B31" s="651"/>
      <c r="C31" s="134">
        <f>+C19+C29</f>
        <v>10782137.869999997</v>
      </c>
      <c r="D31" s="120">
        <f>+C31/C31</f>
        <v>1</v>
      </c>
      <c r="E31" s="134">
        <f>+E19+E29</f>
        <v>12861462.829999998</v>
      </c>
      <c r="F31" s="120">
        <f>+E31/E31</f>
        <v>1</v>
      </c>
      <c r="G31" s="134">
        <f>+G19+G29</f>
        <v>15120049.41</v>
      </c>
      <c r="H31" s="120">
        <f>+G31/G31</f>
        <v>1</v>
      </c>
      <c r="I31" s="232">
        <f>+I19+I29</f>
        <v>38763650.109999999</v>
      </c>
      <c r="J31" s="120">
        <f>+I31/I31</f>
        <v>1</v>
      </c>
      <c r="K31" s="134">
        <f>+K19+K29</f>
        <v>13990747.959999999</v>
      </c>
      <c r="L31" s="120">
        <f>+K31/K31</f>
        <v>1</v>
      </c>
      <c r="M31" s="134">
        <f>+M19+M29</f>
        <v>12093358.930000007</v>
      </c>
      <c r="N31" s="120">
        <f>+M31/M31</f>
        <v>1</v>
      </c>
      <c r="O31" s="134">
        <f>+O19+O29</f>
        <v>21225660.169999998</v>
      </c>
      <c r="P31" s="120">
        <f>+O31/O31</f>
        <v>1</v>
      </c>
      <c r="Q31" s="232">
        <f>+Q19+Q29</f>
        <v>47309767.06000001</v>
      </c>
      <c r="R31" s="120">
        <f>+Q31/Q31</f>
        <v>1</v>
      </c>
      <c r="S31" s="134">
        <f>+S19+S29</f>
        <v>14740022.710000001</v>
      </c>
      <c r="T31" s="120">
        <f>+S31/S31</f>
        <v>1</v>
      </c>
      <c r="U31" s="134">
        <f>+U19+U29</f>
        <v>11510023.870000001</v>
      </c>
      <c r="V31" s="120">
        <f>+U31/U31</f>
        <v>1</v>
      </c>
      <c r="W31" s="134">
        <f>+W19+W29</f>
        <v>20164560.139999993</v>
      </c>
      <c r="X31" s="120">
        <f>+W31/W31</f>
        <v>1</v>
      </c>
      <c r="Y31" s="232">
        <f>+Y19+Y29</f>
        <v>46414606.719999999</v>
      </c>
      <c r="Z31" s="120">
        <f>+Y31/Y31</f>
        <v>1</v>
      </c>
      <c r="AA31" s="134">
        <f>+AA19+AA29</f>
        <v>11155351.24000003</v>
      </c>
      <c r="AB31" s="120">
        <f>+AA31/AA31</f>
        <v>1</v>
      </c>
      <c r="AC31" s="134">
        <f>+AC19+AC29</f>
        <v>13510047.46999998</v>
      </c>
      <c r="AD31" s="120">
        <f>+AC31/AC31</f>
        <v>1</v>
      </c>
      <c r="AE31" s="134">
        <f>+AE19+AE29</f>
        <v>16071984.640000001</v>
      </c>
      <c r="AF31" s="120">
        <f>+AE31/AE31</f>
        <v>1</v>
      </c>
      <c r="AG31" s="232">
        <f>+AG19+AG29</f>
        <v>40737383.350000009</v>
      </c>
      <c r="AH31" s="120">
        <f>+AG31/AG31</f>
        <v>1</v>
      </c>
      <c r="AI31" s="221"/>
      <c r="AJ31" s="232">
        <f>+AJ19+AJ29</f>
        <v>173225407.24000001</v>
      </c>
      <c r="AK31" s="120">
        <f>+AJ31/AJ31</f>
        <v>1</v>
      </c>
      <c r="AM31" s="74"/>
      <c r="AN31" s="74"/>
      <c r="AO31" s="74"/>
    </row>
    <row r="32" spans="1:41" s="62" customFormat="1" x14ac:dyDescent="0.2">
      <c r="B32" s="62" t="s">
        <v>2</v>
      </c>
      <c r="C32" s="107"/>
      <c r="D32" s="119"/>
      <c r="E32" s="63"/>
      <c r="F32" s="119"/>
      <c r="G32" s="63"/>
      <c r="H32" s="119"/>
      <c r="I32" s="230"/>
      <c r="J32" s="119"/>
      <c r="K32" s="63"/>
      <c r="L32" s="119"/>
      <c r="M32" s="63"/>
      <c r="N32" s="119"/>
      <c r="O32" s="63"/>
      <c r="P32" s="119"/>
      <c r="Q32" s="230"/>
      <c r="R32" s="119"/>
      <c r="S32" s="63"/>
      <c r="T32" s="119"/>
      <c r="U32" s="63"/>
      <c r="V32" s="119"/>
      <c r="W32" s="63"/>
      <c r="X32" s="119"/>
      <c r="Y32" s="230"/>
      <c r="Z32" s="119"/>
      <c r="AA32" s="63"/>
      <c r="AB32" s="119"/>
      <c r="AC32" s="63"/>
      <c r="AD32" s="119"/>
      <c r="AE32" s="63"/>
      <c r="AF32" s="119"/>
      <c r="AG32" s="230"/>
      <c r="AH32" s="119"/>
      <c r="AI32" s="275"/>
      <c r="AJ32" s="230"/>
      <c r="AK32" s="119"/>
    </row>
    <row r="33" spans="1:37" s="59" customFormat="1" x14ac:dyDescent="0.2">
      <c r="A33" s="151" t="s">
        <v>151</v>
      </c>
      <c r="B33" s="59" t="s">
        <v>2</v>
      </c>
      <c r="C33" s="134"/>
      <c r="D33" s="137"/>
      <c r="E33" s="72"/>
      <c r="F33" s="137"/>
      <c r="G33" s="72"/>
      <c r="H33" s="137"/>
      <c r="I33" s="233"/>
      <c r="J33" s="137"/>
      <c r="K33" s="72"/>
      <c r="L33" s="137"/>
      <c r="M33" s="72"/>
      <c r="N33" s="137"/>
      <c r="O33" s="72"/>
      <c r="P33" s="137"/>
      <c r="Q33" s="233"/>
      <c r="R33" s="137"/>
      <c r="S33" s="72"/>
      <c r="T33" s="137"/>
      <c r="U33" s="72"/>
      <c r="V33" s="137"/>
      <c r="W33" s="72"/>
      <c r="X33" s="137"/>
      <c r="Y33" s="233"/>
      <c r="Z33" s="137"/>
      <c r="AA33" s="72"/>
      <c r="AB33" s="137"/>
      <c r="AC33" s="72"/>
      <c r="AD33" s="137"/>
      <c r="AE33" s="72"/>
      <c r="AF33" s="137"/>
      <c r="AG33" s="233"/>
      <c r="AH33" s="137"/>
      <c r="AI33" s="276"/>
      <c r="AJ33" s="233"/>
      <c r="AK33" s="137"/>
    </row>
    <row r="34" spans="1:37" s="66" customFormat="1" hidden="1" outlineLevel="1" x14ac:dyDescent="0.2">
      <c r="A34" s="62"/>
      <c r="B34" s="62" t="s">
        <v>2</v>
      </c>
      <c r="C34" s="107"/>
      <c r="D34" s="119"/>
      <c r="E34" s="63"/>
      <c r="F34" s="119"/>
      <c r="G34" s="63"/>
      <c r="H34" s="119"/>
      <c r="I34" s="230"/>
      <c r="J34" s="119"/>
      <c r="K34" s="63"/>
      <c r="L34" s="119"/>
      <c r="M34" s="63"/>
      <c r="N34" s="119"/>
      <c r="O34" s="63"/>
      <c r="P34" s="119"/>
      <c r="Q34" s="230"/>
      <c r="R34" s="119"/>
      <c r="S34" s="63"/>
      <c r="T34" s="119"/>
      <c r="U34" s="63"/>
      <c r="V34" s="119"/>
      <c r="W34" s="63"/>
      <c r="X34" s="119"/>
      <c r="Y34" s="230"/>
      <c r="Z34" s="119"/>
      <c r="AA34" s="63"/>
      <c r="AB34" s="119"/>
      <c r="AC34" s="63"/>
      <c r="AD34" s="119"/>
      <c r="AE34" s="63"/>
      <c r="AF34" s="119"/>
      <c r="AG34" s="230"/>
      <c r="AH34" s="119"/>
      <c r="AI34" s="275"/>
      <c r="AJ34" s="230"/>
      <c r="AK34" s="119"/>
    </row>
    <row r="35" spans="1:37" s="66" customFormat="1" hidden="1" outlineLevel="1" x14ac:dyDescent="0.2">
      <c r="A35" s="62">
        <v>51</v>
      </c>
      <c r="B35" s="62" t="s">
        <v>152</v>
      </c>
      <c r="C35" s="107"/>
      <c r="D35" s="119"/>
      <c r="E35" s="107"/>
      <c r="F35" s="119"/>
      <c r="G35" s="107"/>
      <c r="H35" s="119"/>
      <c r="I35" s="229"/>
      <c r="J35" s="119"/>
      <c r="K35" s="107"/>
      <c r="L35" s="119"/>
      <c r="M35" s="107"/>
      <c r="N35" s="119"/>
      <c r="O35" s="107"/>
      <c r="P35" s="119"/>
      <c r="Q35" s="229"/>
      <c r="R35" s="119"/>
      <c r="S35" s="107"/>
      <c r="T35" s="119"/>
      <c r="U35" s="107"/>
      <c r="V35" s="119"/>
      <c r="W35" s="107"/>
      <c r="X35" s="119"/>
      <c r="Y35" s="229"/>
      <c r="Z35" s="119"/>
      <c r="AA35" s="107"/>
      <c r="AB35" s="119"/>
      <c r="AC35" s="107"/>
      <c r="AD35" s="119"/>
      <c r="AE35" s="107"/>
      <c r="AF35" s="119"/>
      <c r="AG35" s="229"/>
      <c r="AH35" s="119"/>
      <c r="AI35" s="274"/>
      <c r="AJ35" s="229"/>
      <c r="AK35" s="119"/>
    </row>
    <row r="36" spans="1:37" s="66" customFormat="1" hidden="1" outlineLevel="1" x14ac:dyDescent="0.2">
      <c r="A36" s="62">
        <v>5101</v>
      </c>
      <c r="B36" s="62" t="s">
        <v>152</v>
      </c>
      <c r="C36" s="107"/>
      <c r="D36" s="119"/>
      <c r="E36" s="107"/>
      <c r="F36" s="119"/>
      <c r="G36" s="107"/>
      <c r="H36" s="119"/>
      <c r="I36" s="229"/>
      <c r="J36" s="119"/>
      <c r="K36" s="107"/>
      <c r="L36" s="119"/>
      <c r="M36" s="107"/>
      <c r="N36" s="119"/>
      <c r="O36" s="107"/>
      <c r="P36" s="119"/>
      <c r="Q36" s="229"/>
      <c r="R36" s="119"/>
      <c r="S36" s="107"/>
      <c r="T36" s="119"/>
      <c r="U36" s="107"/>
      <c r="V36" s="119"/>
      <c r="W36" s="107"/>
      <c r="X36" s="119"/>
      <c r="Y36" s="229"/>
      <c r="Z36" s="119"/>
      <c r="AA36" s="107"/>
      <c r="AB36" s="119"/>
      <c r="AC36" s="107"/>
      <c r="AD36" s="119"/>
      <c r="AE36" s="107"/>
      <c r="AF36" s="119"/>
      <c r="AG36" s="229"/>
      <c r="AH36" s="119"/>
      <c r="AI36" s="274"/>
      <c r="AJ36" s="229"/>
      <c r="AK36" s="119"/>
    </row>
    <row r="37" spans="1:37" s="66" customFormat="1" hidden="1" outlineLevel="1" x14ac:dyDescent="0.2">
      <c r="A37" s="62">
        <v>51010001</v>
      </c>
      <c r="B37" s="62" t="s">
        <v>258</v>
      </c>
      <c r="C37" s="107">
        <v>1829569.93</v>
      </c>
      <c r="D37" s="119">
        <f>+C37/C44</f>
        <v>0.32142261436363212</v>
      </c>
      <c r="E37" s="107">
        <v>2441320.8460000008</v>
      </c>
      <c r="F37" s="119">
        <f>+E37/E44</f>
        <v>0.33144376151670862</v>
      </c>
      <c r="G37" s="107">
        <v>2402791.5999999996</v>
      </c>
      <c r="H37" s="119">
        <f>+G37/G44</f>
        <v>0.28767285561836148</v>
      </c>
      <c r="I37" s="229">
        <f t="shared" ref="I37:I42" si="7">+C37+E37+G37</f>
        <v>6673682.3760000002</v>
      </c>
      <c r="J37" s="119">
        <f>+I37/I44</f>
        <v>0.31170382952236453</v>
      </c>
      <c r="K37" s="107">
        <v>2385035.9220000003</v>
      </c>
      <c r="L37" s="119">
        <f>+K37/K44</f>
        <v>0.2840856446739195</v>
      </c>
      <c r="M37" s="107">
        <v>2033041.1739999987</v>
      </c>
      <c r="N37" s="119">
        <f>+M37/M44</f>
        <v>0.3170777666133901</v>
      </c>
      <c r="O37" s="107">
        <v>3043091.6560000014</v>
      </c>
      <c r="P37" s="119">
        <f>+O37/O44</f>
        <v>0.26872869402956673</v>
      </c>
      <c r="Q37" s="229">
        <f t="shared" ref="Q37:Q42" si="8">+K37+M37+O37</f>
        <v>7461168.7520000003</v>
      </c>
      <c r="R37" s="119">
        <f>+Q37/Q44</f>
        <v>0.28552592904341129</v>
      </c>
      <c r="S37" s="107">
        <v>2331624.5259999987</v>
      </c>
      <c r="T37" s="119">
        <f>+S37/S44</f>
        <v>0.29882078351789754</v>
      </c>
      <c r="U37" s="107">
        <v>1853699.3000000007</v>
      </c>
      <c r="V37" s="119">
        <f>+U37/U44</f>
        <v>0.28575491010233006</v>
      </c>
      <c r="W37" s="107">
        <v>2887581.9859999977</v>
      </c>
      <c r="X37" s="119">
        <f>+W37/W44</f>
        <v>0.24383543723690568</v>
      </c>
      <c r="Y37" s="229">
        <f t="shared" ref="Y37:Y42" si="9">+S37+U37+W37</f>
        <v>7072905.8119999971</v>
      </c>
      <c r="Z37" s="119">
        <f>+Y37/Y44</f>
        <v>0.27065950647975662</v>
      </c>
      <c r="AA37" s="107">
        <v>1992557.8540000059</v>
      </c>
      <c r="AB37" s="119">
        <f>+AA37/AA44</f>
        <v>0.32930374604452978</v>
      </c>
      <c r="AC37" s="107">
        <v>2436740.0859999992</v>
      </c>
      <c r="AD37" s="119">
        <f>+AC37/AC44</f>
        <v>0.31795762211993611</v>
      </c>
      <c r="AE37" s="107">
        <v>2639418.8940000013</v>
      </c>
      <c r="AF37" s="119">
        <f>+AE37/AE44</f>
        <v>0.29860349358902927</v>
      </c>
      <c r="AG37" s="229">
        <f t="shared" ref="AG37:AG42" si="10">+AA37+AC37+AE37</f>
        <v>7068716.8340000063</v>
      </c>
      <c r="AH37" s="119">
        <f>+AG37/AG44</f>
        <v>0.31341639002335309</v>
      </c>
      <c r="AI37" s="273">
        <f t="shared" ref="AI37:AI42" si="11">+IFERROR(AG37/Y37-1,"0")</f>
        <v>-5.9225700318021879E-4</v>
      </c>
      <c r="AJ37" s="229">
        <f t="shared" ref="AJ37:AJ42" si="12">+I37+Q37+Y37+AG37</f>
        <v>28276473.774000004</v>
      </c>
      <c r="AK37" s="119">
        <f>+AJ37/AJ44</f>
        <v>0.2938501701751185</v>
      </c>
    </row>
    <row r="38" spans="1:37" s="66" customFormat="1" hidden="1" outlineLevel="1" x14ac:dyDescent="0.2">
      <c r="A38" s="62">
        <v>51010002</v>
      </c>
      <c r="B38" s="62" t="s">
        <v>259</v>
      </c>
      <c r="C38" s="107">
        <v>1183678.6299999999</v>
      </c>
      <c r="D38" s="119">
        <f>+C38/C44</f>
        <v>0.20795110019159657</v>
      </c>
      <c r="E38" s="107">
        <v>1337364.2760000001</v>
      </c>
      <c r="F38" s="119">
        <f>+E38/E44</f>
        <v>0.18156607595506091</v>
      </c>
      <c r="G38" s="107">
        <v>3331846.7499999995</v>
      </c>
      <c r="H38" s="119">
        <f>+G38/G44</f>
        <v>0.39890345423850193</v>
      </c>
      <c r="I38" s="229">
        <f t="shared" si="7"/>
        <v>5852889.6559999995</v>
      </c>
      <c r="J38" s="119">
        <f>+I38/I44</f>
        <v>0.27336753785404222</v>
      </c>
      <c r="K38" s="107">
        <v>2035831.5320000006</v>
      </c>
      <c r="L38" s="119">
        <f>+K38/K44</f>
        <v>0.242491321778806</v>
      </c>
      <c r="M38" s="107">
        <v>1161452.3739999989</v>
      </c>
      <c r="N38" s="119">
        <f>+M38/M44</f>
        <v>0.1811427773748274</v>
      </c>
      <c r="O38" s="107">
        <v>4041932.3160000015</v>
      </c>
      <c r="P38" s="119">
        <f>+O38/O44</f>
        <v>0.35693410367478662</v>
      </c>
      <c r="Q38" s="229">
        <f t="shared" si="8"/>
        <v>7239216.222000001</v>
      </c>
      <c r="R38" s="119">
        <f>+Q38/Q44</f>
        <v>0.27703219241336952</v>
      </c>
      <c r="S38" s="107">
        <v>1690020.0259999987</v>
      </c>
      <c r="T38" s="119">
        <f>+S38/S44</f>
        <v>0.21659281016254736</v>
      </c>
      <c r="U38" s="107">
        <v>645374.52000000142</v>
      </c>
      <c r="V38" s="119">
        <f>+U38/U44</f>
        <v>9.9486976094199722E-2</v>
      </c>
      <c r="W38" s="107">
        <v>5304696.9159999955</v>
      </c>
      <c r="X38" s="119">
        <f>+W38/W44</f>
        <v>0.44794333050743901</v>
      </c>
      <c r="Y38" s="229">
        <f t="shared" si="9"/>
        <v>7640091.4619999956</v>
      </c>
      <c r="Z38" s="119">
        <f>+Y38/Y44</f>
        <v>0.29236404944863725</v>
      </c>
      <c r="AA38" s="107">
        <v>1897504.0040000081</v>
      </c>
      <c r="AB38" s="119">
        <f>+AA38/AA44</f>
        <v>0.31359449633912373</v>
      </c>
      <c r="AC38" s="107">
        <v>2039488.7559999973</v>
      </c>
      <c r="AD38" s="119">
        <f>+AC38/AC44</f>
        <v>0.26612234883967262</v>
      </c>
      <c r="AE38" s="107">
        <v>3007044.6240000017</v>
      </c>
      <c r="AF38" s="119">
        <f>+AE38/AE44</f>
        <v>0.34019383287195221</v>
      </c>
      <c r="AG38" s="229">
        <f t="shared" si="10"/>
        <v>6944037.3840000071</v>
      </c>
      <c r="AH38" s="119">
        <f>+AG38/AG44</f>
        <v>0.30788828866538931</v>
      </c>
      <c r="AI38" s="273">
        <f t="shared" si="11"/>
        <v>-9.1105464046078111E-2</v>
      </c>
      <c r="AJ38" s="229">
        <f t="shared" si="12"/>
        <v>27676234.724000003</v>
      </c>
      <c r="AK38" s="119">
        <f>+AJ38/AJ44</f>
        <v>0.28761246357853321</v>
      </c>
    </row>
    <row r="39" spans="1:37" s="66" customFormat="1" hidden="1" outlineLevel="1" x14ac:dyDescent="0.2">
      <c r="A39" s="62">
        <v>51010003</v>
      </c>
      <c r="B39" s="62" t="s">
        <v>260</v>
      </c>
      <c r="C39" s="107">
        <v>1228829.22</v>
      </c>
      <c r="D39" s="119">
        <f>+C39/C44</f>
        <v>0.21588324885664406</v>
      </c>
      <c r="E39" s="107">
        <v>1305758.1459999999</v>
      </c>
      <c r="F39" s="119">
        <f>+E39/E44</f>
        <v>0.17727509772032785</v>
      </c>
      <c r="G39" s="107">
        <v>1102905.73</v>
      </c>
      <c r="H39" s="119">
        <f>+G39/G44</f>
        <v>0.13204476028089726</v>
      </c>
      <c r="I39" s="229">
        <f t="shared" si="7"/>
        <v>3637493.0959999999</v>
      </c>
      <c r="J39" s="119">
        <f>+I39/I44</f>
        <v>0.16989428983941832</v>
      </c>
      <c r="K39" s="107">
        <v>1968232.4819999998</v>
      </c>
      <c r="L39" s="119">
        <f>+K39/K44</f>
        <v>0.23443948510772936</v>
      </c>
      <c r="M39" s="107">
        <v>1460365.6940000001</v>
      </c>
      <c r="N39" s="119">
        <f>+M39/M44</f>
        <v>0.22776198466324507</v>
      </c>
      <c r="O39" s="107">
        <v>1590128.6559999995</v>
      </c>
      <c r="P39" s="119">
        <f>+O39/O44</f>
        <v>0.14042074487744902</v>
      </c>
      <c r="Q39" s="229">
        <f t="shared" si="8"/>
        <v>5018726.8319999995</v>
      </c>
      <c r="R39" s="119">
        <f>+Q39/Q44</f>
        <v>0.19205793206832109</v>
      </c>
      <c r="S39" s="107">
        <v>1912000.3360000011</v>
      </c>
      <c r="T39" s="119">
        <f>+S39/S44</f>
        <v>0.24504178615335256</v>
      </c>
      <c r="U39" s="107">
        <v>1171397.2299999986</v>
      </c>
      <c r="V39" s="119">
        <f>+U39/U44</f>
        <v>0.18057540948133707</v>
      </c>
      <c r="W39" s="107">
        <v>1684597.0859999992</v>
      </c>
      <c r="X39" s="119">
        <f>+W39/W44</f>
        <v>0.1422520534566139</v>
      </c>
      <c r="Y39" s="229">
        <f t="shared" si="9"/>
        <v>4767994.6519999988</v>
      </c>
      <c r="Z39" s="119">
        <f>+Y39/Y44</f>
        <v>0.18245726914939994</v>
      </c>
      <c r="AA39" s="107">
        <v>965718.75400000438</v>
      </c>
      <c r="AB39" s="119">
        <f>+AA39/AA44</f>
        <v>0.15960128970872844</v>
      </c>
      <c r="AC39" s="107">
        <v>1564563.8359999992</v>
      </c>
      <c r="AD39" s="119">
        <f>+AC39/AC44</f>
        <v>0.20415185017373477</v>
      </c>
      <c r="AE39" s="107">
        <v>1042314.7840000018</v>
      </c>
      <c r="AF39" s="119">
        <f>+AE39/AE44</f>
        <v>0.11791945440316864</v>
      </c>
      <c r="AG39" s="229">
        <f t="shared" si="10"/>
        <v>3572597.3740000054</v>
      </c>
      <c r="AH39" s="119">
        <f>+AG39/AG44</f>
        <v>0.15840365348633964</v>
      </c>
      <c r="AI39" s="273">
        <f t="shared" si="11"/>
        <v>-0.25071279756963827</v>
      </c>
      <c r="AJ39" s="229">
        <f t="shared" si="12"/>
        <v>16996811.954000004</v>
      </c>
      <c r="AK39" s="119">
        <f>+AJ39/AJ44</f>
        <v>0.1766315038090007</v>
      </c>
    </row>
    <row r="40" spans="1:37" s="66" customFormat="1" hidden="1" outlineLevel="1" x14ac:dyDescent="0.2">
      <c r="A40" s="62">
        <v>51010004</v>
      </c>
      <c r="B40" s="62" t="s">
        <v>261</v>
      </c>
      <c r="C40" s="107">
        <v>737187.71</v>
      </c>
      <c r="D40" s="119">
        <f>+C40/C44</f>
        <v>0.12951065555878427</v>
      </c>
      <c r="E40" s="107">
        <v>1163702.2859999998</v>
      </c>
      <c r="F40" s="119">
        <f>+E40/E44</f>
        <v>0.15798900975649657</v>
      </c>
      <c r="G40" s="107">
        <v>734909.25</v>
      </c>
      <c r="H40" s="119">
        <f>+G40/G44</f>
        <v>8.7986591333117828E-2</v>
      </c>
      <c r="I40" s="229">
        <f t="shared" si="7"/>
        <v>2635799.2459999998</v>
      </c>
      <c r="J40" s="119">
        <f>+I40/I44</f>
        <v>0.12310875353987043</v>
      </c>
      <c r="K40" s="107">
        <v>939376.24200000055</v>
      </c>
      <c r="L40" s="119">
        <f>+K40/K44</f>
        <v>0.11189068593824472</v>
      </c>
      <c r="M40" s="107">
        <v>1006839.0440000002</v>
      </c>
      <c r="N40" s="119">
        <f>+M40/M44</f>
        <v>0.15702892764467005</v>
      </c>
      <c r="O40" s="107">
        <v>1080802.2959999992</v>
      </c>
      <c r="P40" s="119">
        <f>+O40/O44</f>
        <v>9.5443260453748513E-2</v>
      </c>
      <c r="Q40" s="229">
        <f t="shared" si="8"/>
        <v>3027017.5819999999</v>
      </c>
      <c r="R40" s="119">
        <f>+Q40/Q44</f>
        <v>0.11583868909272599</v>
      </c>
      <c r="S40" s="107">
        <v>994680.60600000061</v>
      </c>
      <c r="T40" s="119">
        <f>+S40/S44</f>
        <v>0.12747817443183709</v>
      </c>
      <c r="U40" s="107">
        <v>559588.54</v>
      </c>
      <c r="V40" s="119">
        <f>+U40/U44</f>
        <v>8.6262735785676822E-2</v>
      </c>
      <c r="W40" s="107">
        <v>937749.49599999841</v>
      </c>
      <c r="X40" s="119">
        <f>+W40/W44</f>
        <v>7.9186170118962548E-2</v>
      </c>
      <c r="Y40" s="229">
        <f t="shared" si="9"/>
        <v>2492018.6419999991</v>
      </c>
      <c r="Z40" s="119">
        <f>+Y40/Y44</f>
        <v>9.5362295739570821E-2</v>
      </c>
      <c r="AA40" s="107">
        <v>636799.21400000341</v>
      </c>
      <c r="AB40" s="119">
        <f>+AA40/AA44</f>
        <v>0.10524179572876416</v>
      </c>
      <c r="AC40" s="107">
        <v>990207.62600000016</v>
      </c>
      <c r="AD40" s="119">
        <f>+AC40/AC44</f>
        <v>0.12920707628067771</v>
      </c>
      <c r="AE40" s="107">
        <v>1107117.3539999984</v>
      </c>
      <c r="AF40" s="119">
        <f>+AE40/AE44</f>
        <v>0.1252507172957448</v>
      </c>
      <c r="AG40" s="229">
        <f t="shared" si="10"/>
        <v>2734124.194000002</v>
      </c>
      <c r="AH40" s="119">
        <f>+AG40/AG44</f>
        <v>0.12122699987602725</v>
      </c>
      <c r="AI40" s="273">
        <f t="shared" si="11"/>
        <v>9.7152383982849422E-2</v>
      </c>
      <c r="AJ40" s="229">
        <f t="shared" si="12"/>
        <v>10888959.664000001</v>
      </c>
      <c r="AK40" s="119">
        <f>+AJ40/AJ44</f>
        <v>0.11315847498773066</v>
      </c>
    </row>
    <row r="41" spans="1:37" s="66" customFormat="1" hidden="1" outlineLevel="1" x14ac:dyDescent="0.2">
      <c r="A41" s="62">
        <v>51010005</v>
      </c>
      <c r="B41" s="62" t="s">
        <v>262</v>
      </c>
      <c r="C41" s="107">
        <v>712835.34</v>
      </c>
      <c r="D41" s="119">
        <f>+C41/C44</f>
        <v>0.12523238102934309</v>
      </c>
      <c r="E41" s="107">
        <v>1117571.1359999999</v>
      </c>
      <c r="F41" s="119">
        <f>+E41/E44</f>
        <v>0.15172605505140596</v>
      </c>
      <c r="G41" s="107">
        <v>780060.83000000007</v>
      </c>
      <c r="H41" s="119">
        <f>+G41/G44</f>
        <v>9.3392338529121405E-2</v>
      </c>
      <c r="I41" s="229">
        <f t="shared" si="7"/>
        <v>2610467.3059999999</v>
      </c>
      <c r="J41" s="119">
        <f>+I41/I44</f>
        <v>0.12192558924430449</v>
      </c>
      <c r="K41" s="107">
        <v>1067005.8420000006</v>
      </c>
      <c r="L41" s="119">
        <f>+K41/K44</f>
        <v>0.12709286250130047</v>
      </c>
      <c r="M41" s="107">
        <v>750107.86399999959</v>
      </c>
      <c r="N41" s="119">
        <f>+M41/M44</f>
        <v>0.11698854370386724</v>
      </c>
      <c r="O41" s="107">
        <v>1568074.5659999996</v>
      </c>
      <c r="P41" s="119">
        <f>+O41/O44</f>
        <v>0.13847319696444904</v>
      </c>
      <c r="Q41" s="229">
        <f t="shared" si="8"/>
        <v>3385188.2719999999</v>
      </c>
      <c r="R41" s="119">
        <f>+Q41/Q44</f>
        <v>0.12954525738217212</v>
      </c>
      <c r="S41" s="107">
        <v>874426.70600000024</v>
      </c>
      <c r="T41" s="119">
        <f>+S41/S44</f>
        <v>0.11206644573436542</v>
      </c>
      <c r="U41" s="107">
        <v>2256965.5999999996</v>
      </c>
      <c r="V41" s="119">
        <f>+U41/U44</f>
        <v>0.34791996853645629</v>
      </c>
      <c r="W41" s="107">
        <v>1027713.8359999992</v>
      </c>
      <c r="X41" s="119">
        <f>+W41/W44</f>
        <v>8.6783008680078946E-2</v>
      </c>
      <c r="Y41" s="229">
        <f t="shared" si="9"/>
        <v>4159106.1419999991</v>
      </c>
      <c r="Z41" s="119">
        <f>+Y41/Y44</f>
        <v>0.15915687918263555</v>
      </c>
      <c r="AA41" s="107">
        <v>558240.66400000453</v>
      </c>
      <c r="AB41" s="119">
        <f>+AA41/AA44</f>
        <v>9.225867217885389E-2</v>
      </c>
      <c r="AC41" s="107">
        <v>632725.66599999927</v>
      </c>
      <c r="AD41" s="119">
        <f>+AC41/AC44</f>
        <v>8.2561102585978777E-2</v>
      </c>
      <c r="AE41" s="107">
        <v>1043314.034</v>
      </c>
      <c r="AF41" s="119">
        <f>+AE41/AE44</f>
        <v>0.11803250184010508</v>
      </c>
      <c r="AG41" s="229">
        <f t="shared" si="10"/>
        <v>2234280.3640000038</v>
      </c>
      <c r="AH41" s="119">
        <f>+AG41/AG44</f>
        <v>9.9064667948890697E-2</v>
      </c>
      <c r="AI41" s="273">
        <f t="shared" si="11"/>
        <v>-0.46279794558799114</v>
      </c>
      <c r="AJ41" s="229">
        <f t="shared" si="12"/>
        <v>12389042.084000003</v>
      </c>
      <c r="AK41" s="119">
        <f>+AJ41/AJ44</f>
        <v>0.12874738744961675</v>
      </c>
    </row>
    <row r="42" spans="1:37" s="66" customFormat="1" hidden="1" outlineLevel="1" x14ac:dyDescent="0.2">
      <c r="A42" s="62">
        <v>51010011</v>
      </c>
      <c r="B42" s="62" t="s">
        <v>153</v>
      </c>
      <c r="C42" s="107">
        <v>0</v>
      </c>
      <c r="D42" s="119">
        <f>+C42/C44</f>
        <v>0</v>
      </c>
      <c r="E42" s="107">
        <v>0</v>
      </c>
      <c r="F42" s="119">
        <f>+E42/E44</f>
        <v>0</v>
      </c>
      <c r="G42" s="107">
        <v>0</v>
      </c>
      <c r="H42" s="119">
        <f>+G42/G44</f>
        <v>0</v>
      </c>
      <c r="I42" s="229">
        <f t="shared" si="7"/>
        <v>0</v>
      </c>
      <c r="J42" s="119">
        <f>+I42/I44</f>
        <v>0</v>
      </c>
      <c r="K42" s="107">
        <v>0</v>
      </c>
      <c r="L42" s="119">
        <f>+K42/K44</f>
        <v>0</v>
      </c>
      <c r="M42" s="107">
        <v>0</v>
      </c>
      <c r="N42" s="119">
        <f>+M42/M44</f>
        <v>0</v>
      </c>
      <c r="O42" s="107">
        <v>0</v>
      </c>
      <c r="P42" s="119">
        <f>+O42/O44</f>
        <v>0</v>
      </c>
      <c r="Q42" s="229">
        <f t="shared" si="8"/>
        <v>0</v>
      </c>
      <c r="R42" s="119">
        <f>+Q42/Q44</f>
        <v>0</v>
      </c>
      <c r="S42" s="107">
        <v>0</v>
      </c>
      <c r="T42" s="119">
        <f>+S42/S44</f>
        <v>0</v>
      </c>
      <c r="U42" s="107">
        <v>0</v>
      </c>
      <c r="V42" s="119">
        <f>+U42/U44</f>
        <v>0</v>
      </c>
      <c r="W42" s="107">
        <v>0</v>
      </c>
      <c r="X42" s="119">
        <f>+W42/W44</f>
        <v>0</v>
      </c>
      <c r="Y42" s="229">
        <f t="shared" si="9"/>
        <v>0</v>
      </c>
      <c r="Z42" s="119">
        <f>+Y42/Y44</f>
        <v>0</v>
      </c>
      <c r="AA42" s="107">
        <v>0</v>
      </c>
      <c r="AB42" s="119">
        <f>+AA42/AA44</f>
        <v>0</v>
      </c>
      <c r="AC42" s="107">
        <v>0</v>
      </c>
      <c r="AD42" s="119">
        <f>+AC42/AC44</f>
        <v>0</v>
      </c>
      <c r="AE42" s="107">
        <v>0</v>
      </c>
      <c r="AF42" s="119">
        <f>+AE42/AE44</f>
        <v>0</v>
      </c>
      <c r="AG42" s="229">
        <f t="shared" si="10"/>
        <v>0</v>
      </c>
      <c r="AH42" s="119">
        <f>+AG42/AG44</f>
        <v>0</v>
      </c>
      <c r="AI42" s="273" t="str">
        <f t="shared" si="11"/>
        <v>0</v>
      </c>
      <c r="AJ42" s="229">
        <f t="shared" si="12"/>
        <v>0</v>
      </c>
      <c r="AK42" s="119">
        <f>+AJ42/AJ44</f>
        <v>0</v>
      </c>
    </row>
    <row r="43" spans="1:37" s="66" customFormat="1" hidden="1" outlineLevel="1" x14ac:dyDescent="0.2">
      <c r="A43" s="62"/>
      <c r="B43" s="62" t="s">
        <v>2</v>
      </c>
      <c r="C43" s="107" t="s">
        <v>264</v>
      </c>
      <c r="D43" s="119"/>
      <c r="E43" s="63" t="s">
        <v>264</v>
      </c>
      <c r="F43" s="119"/>
      <c r="G43" s="63" t="s">
        <v>264</v>
      </c>
      <c r="H43" s="119"/>
      <c r="I43" s="230" t="s">
        <v>264</v>
      </c>
      <c r="J43" s="119"/>
      <c r="K43" s="63" t="s">
        <v>264</v>
      </c>
      <c r="L43" s="119"/>
      <c r="M43" s="63" t="s">
        <v>264</v>
      </c>
      <c r="N43" s="119"/>
      <c r="O43" s="63" t="s">
        <v>264</v>
      </c>
      <c r="P43" s="119"/>
      <c r="Q43" s="230" t="s">
        <v>264</v>
      </c>
      <c r="R43" s="119"/>
      <c r="S43" s="63" t="s">
        <v>264</v>
      </c>
      <c r="T43" s="119"/>
      <c r="U43" s="63" t="s">
        <v>264</v>
      </c>
      <c r="V43" s="119"/>
      <c r="W43" s="63" t="s">
        <v>264</v>
      </c>
      <c r="X43" s="119"/>
      <c r="Y43" s="230" t="s">
        <v>264</v>
      </c>
      <c r="Z43" s="119"/>
      <c r="AA43" s="63" t="s">
        <v>264</v>
      </c>
      <c r="AB43" s="119"/>
      <c r="AC43" s="63" t="s">
        <v>264</v>
      </c>
      <c r="AD43" s="119"/>
      <c r="AE43" s="63" t="s">
        <v>264</v>
      </c>
      <c r="AF43" s="119"/>
      <c r="AG43" s="230" t="s">
        <v>264</v>
      </c>
      <c r="AH43" s="119"/>
      <c r="AI43" s="275"/>
      <c r="AJ43" s="230" t="s">
        <v>264</v>
      </c>
      <c r="AK43" s="119"/>
    </row>
    <row r="44" spans="1:37" s="66" customFormat="1" collapsed="1" x14ac:dyDescent="0.2">
      <c r="A44" s="64" t="s">
        <v>154</v>
      </c>
      <c r="B44" s="64" t="s">
        <v>461</v>
      </c>
      <c r="C44" s="108">
        <f>SUM(C37:C43)</f>
        <v>5692100.8299999991</v>
      </c>
      <c r="D44" s="119">
        <f>C44/C31</f>
        <v>0.52791949969751228</v>
      </c>
      <c r="E44" s="108">
        <f>SUM(E37:E43)</f>
        <v>7365716.6900000013</v>
      </c>
      <c r="F44" s="119">
        <f>E44/E31</f>
        <v>0.57269665102317158</v>
      </c>
      <c r="G44" s="108">
        <f>SUM(G37:G43)</f>
        <v>8352514.1600000001</v>
      </c>
      <c r="H44" s="119">
        <f>G44/G31</f>
        <v>0.55241315246469158</v>
      </c>
      <c r="I44" s="231">
        <f>SUM(I37:I43)</f>
        <v>21410331.68</v>
      </c>
      <c r="J44" s="119">
        <f>I44/I31</f>
        <v>0.55233012420769678</v>
      </c>
      <c r="K44" s="108">
        <f>SUM(K37:K43)</f>
        <v>8395482.0200000014</v>
      </c>
      <c r="L44" s="119">
        <f>K44/K31</f>
        <v>0.60007385194865603</v>
      </c>
      <c r="M44" s="108">
        <f>SUM(M37:M43)</f>
        <v>6411806.1499999985</v>
      </c>
      <c r="N44" s="119">
        <f>M44/M31</f>
        <v>0.53019233011386313</v>
      </c>
      <c r="O44" s="108">
        <f>SUM(O37:O43)</f>
        <v>11324029.490000002</v>
      </c>
      <c r="P44" s="119">
        <f>O44/O31</f>
        <v>0.53350658586370847</v>
      </c>
      <c r="Q44" s="231">
        <f>SUM(Q37:Q43)</f>
        <v>26131317.66</v>
      </c>
      <c r="R44" s="119">
        <f>Q44/Q31</f>
        <v>0.55234509243850827</v>
      </c>
      <c r="S44" s="108">
        <f>SUM(S37:S43)</f>
        <v>7802752.1999999993</v>
      </c>
      <c r="T44" s="119">
        <f>S44/S31</f>
        <v>0.52935822104985064</v>
      </c>
      <c r="U44" s="108">
        <f>SUM(U37:U43)</f>
        <v>6487025.1900000004</v>
      </c>
      <c r="V44" s="119">
        <f>U44/U31</f>
        <v>0.56359789199985388</v>
      </c>
      <c r="W44" s="108">
        <f>SUM(W37:W43)</f>
        <v>11842339.319999989</v>
      </c>
      <c r="X44" s="119">
        <f>W44/W31</f>
        <v>0.58728478269697548</v>
      </c>
      <c r="Y44" s="231">
        <f>SUM(Y37:Y43)</f>
        <v>26132116.709999986</v>
      </c>
      <c r="Z44" s="119">
        <f>Y44/Y31</f>
        <v>0.56301493337311181</v>
      </c>
      <c r="AA44" s="108">
        <f>SUM(AA37:AA43)</f>
        <v>6050820.4900000263</v>
      </c>
      <c r="AB44" s="119">
        <f>AA44/AA31</f>
        <v>0.54241416158224076</v>
      </c>
      <c r="AC44" s="108">
        <f>SUM(AC37:AC43)</f>
        <v>7663725.9699999951</v>
      </c>
      <c r="AD44" s="119">
        <f>AC44/AC31</f>
        <v>0.56726121703257093</v>
      </c>
      <c r="AE44" s="108">
        <f>SUM(AE37:AE43)</f>
        <v>8839209.6900000032</v>
      </c>
      <c r="AF44" s="119">
        <f>AE44/AE31</f>
        <v>0.54997624051985172</v>
      </c>
      <c r="AG44" s="231">
        <f>SUM(AG37:AG43)</f>
        <v>22553756.150000025</v>
      </c>
      <c r="AH44" s="119">
        <f>AG44/AG31</f>
        <v>0.55363782097212244</v>
      </c>
      <c r="AI44" s="221"/>
      <c r="AJ44" s="231">
        <f>SUM(AJ37:AJ43)</f>
        <v>96227522.200000033</v>
      </c>
      <c r="AK44" s="119">
        <f>AJ44/AJ31</f>
        <v>0.55550466720322911</v>
      </c>
    </row>
    <row r="45" spans="1:37" s="66" customFormat="1" hidden="1" outlineLevel="1" x14ac:dyDescent="0.2">
      <c r="A45" s="64"/>
      <c r="B45" s="64"/>
      <c r="C45" s="108"/>
      <c r="D45" s="119"/>
      <c r="E45" s="108"/>
      <c r="F45" s="119"/>
      <c r="G45" s="108"/>
      <c r="H45" s="119"/>
      <c r="I45" s="231"/>
      <c r="J45" s="119"/>
      <c r="K45" s="108"/>
      <c r="L45" s="119"/>
      <c r="M45" s="108"/>
      <c r="N45" s="119"/>
      <c r="O45" s="108"/>
      <c r="P45" s="119"/>
      <c r="Q45" s="231"/>
      <c r="R45" s="119"/>
      <c r="S45" s="108"/>
      <c r="T45" s="119"/>
      <c r="U45" s="108"/>
      <c r="V45" s="119"/>
      <c r="W45" s="108"/>
      <c r="X45" s="119"/>
      <c r="Y45" s="231"/>
      <c r="Z45" s="119"/>
      <c r="AA45" s="108"/>
      <c r="AB45" s="119"/>
      <c r="AC45" s="108"/>
      <c r="AD45" s="119"/>
      <c r="AE45" s="108"/>
      <c r="AF45" s="119"/>
      <c r="AG45" s="231"/>
      <c r="AH45" s="119"/>
      <c r="AI45" s="221"/>
      <c r="AJ45" s="231"/>
      <c r="AK45" s="119"/>
    </row>
    <row r="46" spans="1:37" s="62" customFormat="1" hidden="1" outlineLevel="1" x14ac:dyDescent="0.2">
      <c r="A46" s="62">
        <v>52</v>
      </c>
      <c r="B46" s="62" t="s">
        <v>157</v>
      </c>
      <c r="C46" s="107"/>
      <c r="D46" s="119"/>
      <c r="E46" s="107"/>
      <c r="F46" s="119"/>
      <c r="G46" s="107"/>
      <c r="H46" s="119"/>
      <c r="I46" s="229"/>
      <c r="J46" s="119"/>
      <c r="K46" s="107"/>
      <c r="L46" s="119"/>
      <c r="M46" s="107"/>
      <c r="N46" s="119"/>
      <c r="O46" s="107"/>
      <c r="P46" s="119"/>
      <c r="Q46" s="229"/>
      <c r="R46" s="119"/>
      <c r="S46" s="107"/>
      <c r="T46" s="119"/>
      <c r="U46" s="107"/>
      <c r="V46" s="119"/>
      <c r="W46" s="107"/>
      <c r="X46" s="119"/>
      <c r="Y46" s="229"/>
      <c r="Z46" s="119"/>
      <c r="AA46" s="107"/>
      <c r="AB46" s="119"/>
      <c r="AC46" s="107"/>
      <c r="AD46" s="119"/>
      <c r="AE46" s="107"/>
      <c r="AF46" s="119"/>
      <c r="AG46" s="229"/>
      <c r="AH46" s="119"/>
      <c r="AI46" s="274"/>
      <c r="AJ46" s="229"/>
      <c r="AK46" s="119"/>
    </row>
    <row r="47" spans="1:37" s="62" customFormat="1" hidden="1" outlineLevel="1" x14ac:dyDescent="0.2">
      <c r="A47" s="62">
        <v>5201</v>
      </c>
      <c r="B47" s="62" t="s">
        <v>322</v>
      </c>
      <c r="C47" s="107">
        <v>136848.28</v>
      </c>
      <c r="D47" s="119">
        <f>C47/C88</f>
        <v>8.3906266748125138E-2</v>
      </c>
      <c r="E47" s="107">
        <v>168283.94999999998</v>
      </c>
      <c r="F47" s="119">
        <f>E47/E88</f>
        <v>5.9325769710262537E-2</v>
      </c>
      <c r="G47" s="107">
        <v>151202.77000000002</v>
      </c>
      <c r="H47" s="119">
        <f>G47/G88</f>
        <v>9.3713826397449337E-2</v>
      </c>
      <c r="I47" s="229">
        <f t="shared" ref="I47:I87" si="13">+C47+E47+G47</f>
        <v>456335</v>
      </c>
      <c r="J47" s="119">
        <f>I47/I88</f>
        <v>7.504243292857779E-2</v>
      </c>
      <c r="K47" s="107">
        <v>139007.45999999996</v>
      </c>
      <c r="L47" s="119">
        <f>K47/K88</f>
        <v>4.3846228929094531E-2</v>
      </c>
      <c r="M47" s="107">
        <v>175430.79000000004</v>
      </c>
      <c r="N47" s="119">
        <f>M47/M88</f>
        <v>7.2074427902304061E-2</v>
      </c>
      <c r="O47" s="107">
        <v>99760.800000000047</v>
      </c>
      <c r="P47" s="119">
        <f>O47/O88</f>
        <v>2.6058791678513434E-2</v>
      </c>
      <c r="Q47" s="229">
        <f t="shared" ref="Q47:Q87" si="14">+K47+M47+O47</f>
        <v>414199.05000000005</v>
      </c>
      <c r="R47" s="119">
        <f>Q47/Q88</f>
        <v>4.3911160656979586E-2</v>
      </c>
      <c r="S47" s="107">
        <v>101314.79999999993</v>
      </c>
      <c r="T47" s="119">
        <f>S47/S88</f>
        <v>5.7523095853879457E-2</v>
      </c>
      <c r="U47" s="107">
        <v>101314.79999999993</v>
      </c>
      <c r="V47" s="119">
        <f>U47/U88</f>
        <v>2.8943567664983946E-2</v>
      </c>
      <c r="W47" s="107">
        <v>102080.10000000009</v>
      </c>
      <c r="X47" s="119">
        <f>W47/W88</f>
        <v>2.6004183897903158E-2</v>
      </c>
      <c r="Y47" s="229">
        <f t="shared" ref="Y47:Y87" si="15">+S47+U47+W47</f>
        <v>304709.69999999995</v>
      </c>
      <c r="Z47" s="119">
        <f>Y47/Y88</f>
        <v>3.3166618456506758E-2</v>
      </c>
      <c r="AA47" s="107">
        <v>101825</v>
      </c>
      <c r="AB47" s="119">
        <f>AA47/AA88</f>
        <v>4.4143053684187146E-2</v>
      </c>
      <c r="AC47" s="107">
        <v>103595.89999999991</v>
      </c>
      <c r="AD47" s="119">
        <f>AC47/AC88</f>
        <v>4.2461345182255458E-2</v>
      </c>
      <c r="AE47" s="107">
        <v>93145.940000000177</v>
      </c>
      <c r="AF47" s="119">
        <f>AE47/AE88</f>
        <v>3.3703513425103353E-2</v>
      </c>
      <c r="AG47" s="229">
        <f t="shared" ref="AG47:AG87" si="16">+AA47+AC47+AE47</f>
        <v>298566.84000000008</v>
      </c>
      <c r="AH47" s="119">
        <f>AG47/AG88</f>
        <v>3.9755052332160978E-2</v>
      </c>
      <c r="AI47" s="273">
        <f t="shared" ref="AI47:AI97" si="17">+IFERROR(AG47/Y47-1,"0")</f>
        <v>-2.0159712670780983E-2</v>
      </c>
      <c r="AJ47" s="229">
        <f t="shared" ref="AJ47:AJ87" si="18">+I47+Q47+Y47+AG47</f>
        <v>1473810.59</v>
      </c>
      <c r="AK47" s="119">
        <f>AJ47/AJ88</f>
        <v>4.5754760205144546E-2</v>
      </c>
    </row>
    <row r="48" spans="1:37" s="62" customFormat="1" hidden="1" outlineLevel="1" x14ac:dyDescent="0.2">
      <c r="A48" s="62">
        <v>52010112</v>
      </c>
      <c r="B48" s="62" t="s">
        <v>360</v>
      </c>
      <c r="C48" s="107">
        <v>379604.9</v>
      </c>
      <c r="D48" s="119">
        <f>C48/C88</f>
        <v>0.23274848612123858</v>
      </c>
      <c r="E48" s="107">
        <v>419641.77</v>
      </c>
      <c r="F48" s="119">
        <f>E48/E88</f>
        <v>0.14793788122888107</v>
      </c>
      <c r="G48" s="107">
        <v>394191.00999999989</v>
      </c>
      <c r="H48" s="119">
        <f>G48/G88</f>
        <v>0.24431528521980916</v>
      </c>
      <c r="I48" s="229">
        <f t="shared" si="13"/>
        <v>1193437.68</v>
      </c>
      <c r="J48" s="119">
        <f>I48/I88</f>
        <v>0.19625596777770166</v>
      </c>
      <c r="K48" s="107">
        <v>409344.57000000007</v>
      </c>
      <c r="L48" s="119">
        <f>K48/K88</f>
        <v>0.12911692456722662</v>
      </c>
      <c r="M48" s="107">
        <v>406396.8899999999</v>
      </c>
      <c r="N48" s="119">
        <f>M48/M88</f>
        <v>0.16696512253080306</v>
      </c>
      <c r="O48" s="107">
        <v>463150.98000000021</v>
      </c>
      <c r="P48" s="119">
        <f>O48/O88</f>
        <v>0.12098093543274856</v>
      </c>
      <c r="Q48" s="229">
        <f t="shared" si="14"/>
        <v>1278892.4400000002</v>
      </c>
      <c r="R48" s="119">
        <f>Q48/Q88</f>
        <v>0.13558131385341574</v>
      </c>
      <c r="S48" s="107">
        <v>375904.35000000009</v>
      </c>
      <c r="T48" s="119">
        <f>S48/S88</f>
        <v>0.21342569848571258</v>
      </c>
      <c r="U48" s="107">
        <v>378129.71999999974</v>
      </c>
      <c r="V48" s="119">
        <f>U48/U88</f>
        <v>0.10802393270244262</v>
      </c>
      <c r="W48" s="107">
        <v>471841.73</v>
      </c>
      <c r="X48" s="119">
        <f>W48/W88</f>
        <v>0.12019834539371295</v>
      </c>
      <c r="Y48" s="229">
        <f t="shared" si="15"/>
        <v>1225875.7999999998</v>
      </c>
      <c r="Z48" s="119">
        <f>Y48/Y88</f>
        <v>0.13343242743393133</v>
      </c>
      <c r="AA48" s="107">
        <v>367336.89999999991</v>
      </c>
      <c r="AB48" s="119">
        <f>AA48/AA88</f>
        <v>0.15924745884490923</v>
      </c>
      <c r="AC48" s="107">
        <v>367898.19999999972</v>
      </c>
      <c r="AD48" s="119">
        <f>AC48/AC88</f>
        <v>0.15079218832145344</v>
      </c>
      <c r="AE48" s="107">
        <v>392309.96000000089</v>
      </c>
      <c r="AF48" s="119">
        <f>AE48/AE88</f>
        <v>0.14195169433752847</v>
      </c>
      <c r="AG48" s="229">
        <f t="shared" si="16"/>
        <v>1127545.0600000005</v>
      </c>
      <c r="AH48" s="119">
        <f>AG48/AG88</f>
        <v>0.15013593896485489</v>
      </c>
      <c r="AI48" s="273">
        <f t="shared" si="17"/>
        <v>-8.0212644706747049E-2</v>
      </c>
      <c r="AJ48" s="229">
        <f t="shared" si="18"/>
        <v>4825750.9800000004</v>
      </c>
      <c r="AK48" s="119">
        <f>AJ48/AJ88</f>
        <v>0.14981645565434654</v>
      </c>
    </row>
    <row r="49" spans="1:37" s="62" customFormat="1" hidden="1" outlineLevel="1" x14ac:dyDescent="0.2">
      <c r="A49" s="62">
        <v>52010135</v>
      </c>
      <c r="B49" s="62" t="s">
        <v>323</v>
      </c>
      <c r="C49" s="107">
        <v>27978.83</v>
      </c>
      <c r="D49" s="119">
        <f>C49/C88</f>
        <v>1.7154758344645957E-2</v>
      </c>
      <c r="E49" s="107">
        <v>57994.459999999992</v>
      </c>
      <c r="F49" s="119">
        <f>E49/E88</f>
        <v>2.0445003688296076E-2</v>
      </c>
      <c r="G49" s="107">
        <v>21625.030000000013</v>
      </c>
      <c r="H49" s="119">
        <f>G49/G88</f>
        <v>1.3402957546740943E-2</v>
      </c>
      <c r="I49" s="229">
        <f t="shared" si="13"/>
        <v>107598.32</v>
      </c>
      <c r="J49" s="119">
        <f>I49/I88</f>
        <v>1.7694105671990208E-2</v>
      </c>
      <c r="K49" s="107">
        <v>10915.939999999988</v>
      </c>
      <c r="L49" s="119">
        <f>K49/K88</f>
        <v>3.4431447363778879E-3</v>
      </c>
      <c r="M49" s="107">
        <v>9717.5500000000029</v>
      </c>
      <c r="N49" s="119">
        <f>M49/M88</f>
        <v>3.9923827331680766E-3</v>
      </c>
      <c r="O49" s="107">
        <v>28591.119999999995</v>
      </c>
      <c r="P49" s="119">
        <f>O49/O88</f>
        <v>7.4683647277826422E-3</v>
      </c>
      <c r="Q49" s="229">
        <f t="shared" si="14"/>
        <v>49224.609999999986</v>
      </c>
      <c r="R49" s="119">
        <f>Q49/Q88</f>
        <v>5.2185290091494975E-3</v>
      </c>
      <c r="S49" s="107">
        <v>59651.420000000013</v>
      </c>
      <c r="T49" s="119">
        <f>S49/S88</f>
        <v>3.3868046430334219E-2</v>
      </c>
      <c r="U49" s="107">
        <v>28099.690000000002</v>
      </c>
      <c r="V49" s="119">
        <f>U49/U88</f>
        <v>8.0275071251196609E-3</v>
      </c>
      <c r="W49" s="107">
        <v>48492.41</v>
      </c>
      <c r="X49" s="119">
        <f>W49/W88</f>
        <v>1.2353098667541636E-2</v>
      </c>
      <c r="Y49" s="229">
        <f t="shared" si="15"/>
        <v>136243.52000000002</v>
      </c>
      <c r="Z49" s="119">
        <f>Y49/Y88</f>
        <v>1.482964554463297E-2</v>
      </c>
      <c r="AA49" s="107">
        <v>6682.8300000000163</v>
      </c>
      <c r="AB49" s="119">
        <f>AA49/AA88</f>
        <v>2.8971325652079266E-3</v>
      </c>
      <c r="AC49" s="107">
        <v>8917.4499999999534</v>
      </c>
      <c r="AD49" s="119">
        <f>AC49/AC88</f>
        <v>3.655037724422514E-3</v>
      </c>
      <c r="AE49" s="107">
        <v>61331.320000000007</v>
      </c>
      <c r="AF49" s="119">
        <f>AE49/AE88</f>
        <v>2.2191852559535135E-2</v>
      </c>
      <c r="AG49" s="229">
        <f t="shared" si="16"/>
        <v>76931.599999999977</v>
      </c>
      <c r="AH49" s="119">
        <f>AG49/AG88</f>
        <v>1.0243668667280244E-2</v>
      </c>
      <c r="AI49" s="273">
        <f t="shared" si="17"/>
        <v>-0.43533754853074869</v>
      </c>
      <c r="AJ49" s="229">
        <f t="shared" si="18"/>
        <v>369998.05</v>
      </c>
      <c r="AK49" s="119">
        <f>AJ49/AJ88</f>
        <v>1.1486667397417114E-2</v>
      </c>
    </row>
    <row r="50" spans="1:37" s="62" customFormat="1" hidden="1" outlineLevel="1" x14ac:dyDescent="0.2">
      <c r="A50" s="62">
        <v>52010140</v>
      </c>
      <c r="B50" s="62" t="s">
        <v>324</v>
      </c>
      <c r="C50" s="107">
        <v>6353.25</v>
      </c>
      <c r="D50" s="119">
        <f>C50/C88</f>
        <v>3.8953904953538767E-3</v>
      </c>
      <c r="E50" s="107">
        <v>5523.7900000000009</v>
      </c>
      <c r="F50" s="119">
        <f>E50/E88</f>
        <v>1.9473223291220059E-3</v>
      </c>
      <c r="G50" s="107">
        <v>4694.3299999999981</v>
      </c>
      <c r="H50" s="119">
        <f>G50/G88</f>
        <v>2.9094944932049733E-3</v>
      </c>
      <c r="I50" s="229">
        <f t="shared" si="13"/>
        <v>16571.37</v>
      </c>
      <c r="J50" s="119">
        <f>I50/I88</f>
        <v>2.7250943314881529E-3</v>
      </c>
      <c r="K50" s="107">
        <v>5523.7900000000009</v>
      </c>
      <c r="L50" s="119">
        <f>K50/K88</f>
        <v>1.7423335473955369E-3</v>
      </c>
      <c r="M50" s="107">
        <v>92785.989999999991</v>
      </c>
      <c r="N50" s="119">
        <f>M50/M88</f>
        <v>3.8120429980386589E-2</v>
      </c>
      <c r="O50" s="107">
        <v>5523.7900000000081</v>
      </c>
      <c r="P50" s="119">
        <f>O50/O88</f>
        <v>1.4428843081235904E-3</v>
      </c>
      <c r="Q50" s="229">
        <f t="shared" si="14"/>
        <v>103833.57</v>
      </c>
      <c r="R50" s="119">
        <f>Q50/Q88</f>
        <v>1.1007877912461982E-2</v>
      </c>
      <c r="S50" s="107">
        <v>25920.589999999997</v>
      </c>
      <c r="T50" s="119">
        <f>S50/S88</f>
        <v>1.4716828964367597E-2</v>
      </c>
      <c r="U50" s="107">
        <v>6494.0899999999965</v>
      </c>
      <c r="V50" s="119">
        <f>U50/U88</f>
        <v>1.8552287853057562E-3</v>
      </c>
      <c r="W50" s="107">
        <v>38606.089999999997</v>
      </c>
      <c r="X50" s="119">
        <f>W50/W88</f>
        <v>9.8346285313102074E-3</v>
      </c>
      <c r="Y50" s="229">
        <f t="shared" si="15"/>
        <v>71020.76999999999</v>
      </c>
      <c r="Z50" s="119">
        <f>Y50/Y88</f>
        <v>7.7303701886658732E-3</v>
      </c>
      <c r="AA50" s="107">
        <v>30136.190000000002</v>
      </c>
      <c r="AB50" s="119">
        <f>AA50/AA88</f>
        <v>1.3064605480057589E-2</v>
      </c>
      <c r="AC50" s="107">
        <v>6494.0899999999965</v>
      </c>
      <c r="AD50" s="119">
        <f>AC50/AC88</f>
        <v>2.6617636135661108E-3</v>
      </c>
      <c r="AE50" s="107">
        <v>6494.0899999999965</v>
      </c>
      <c r="AF50" s="119">
        <f>AE50/AE88</f>
        <v>2.349792696265977E-3</v>
      </c>
      <c r="AG50" s="229">
        <f t="shared" si="16"/>
        <v>43124.369999999995</v>
      </c>
      <c r="AH50" s="119">
        <f>AG50/AG88</f>
        <v>5.7421366222098619E-3</v>
      </c>
      <c r="AI50" s="273">
        <f t="shared" si="17"/>
        <v>-0.39279213672282065</v>
      </c>
      <c r="AJ50" s="229">
        <f t="shared" si="18"/>
        <v>234550.08</v>
      </c>
      <c r="AK50" s="119">
        <f>AJ50/AJ88</f>
        <v>7.28165663845411E-3</v>
      </c>
    </row>
    <row r="51" spans="1:37" s="62" customFormat="1" hidden="1" outlineLevel="1" x14ac:dyDescent="0.2">
      <c r="A51" s="62">
        <v>52010212</v>
      </c>
      <c r="B51" s="62" t="s">
        <v>325</v>
      </c>
      <c r="C51" s="107">
        <v>67070</v>
      </c>
      <c r="D51" s="119">
        <f>C51/C88</f>
        <v>4.1122864757940351E-2</v>
      </c>
      <c r="E51" s="107">
        <v>56686</v>
      </c>
      <c r="F51" s="119">
        <f>E51/E88</f>
        <v>1.9983727395250363E-2</v>
      </c>
      <c r="G51" s="107">
        <v>57729</v>
      </c>
      <c r="H51" s="119">
        <f>G51/G88</f>
        <v>3.5779804061118407E-2</v>
      </c>
      <c r="I51" s="229">
        <f t="shared" si="13"/>
        <v>181485</v>
      </c>
      <c r="J51" s="119">
        <f>I51/I88</f>
        <v>2.984446939209778E-2</v>
      </c>
      <c r="K51" s="107">
        <v>75386</v>
      </c>
      <c r="L51" s="119">
        <f>K51/K88</f>
        <v>2.377852105238612E-2</v>
      </c>
      <c r="M51" s="107">
        <v>68544.729999999981</v>
      </c>
      <c r="N51" s="119">
        <f>M51/M88</f>
        <v>2.8161089626672124E-2</v>
      </c>
      <c r="O51" s="107">
        <v>69426</v>
      </c>
      <c r="P51" s="119">
        <f>O51/O88</f>
        <v>1.8134955524338948E-2</v>
      </c>
      <c r="Q51" s="229">
        <f t="shared" si="14"/>
        <v>213356.72999999998</v>
      </c>
      <c r="R51" s="119">
        <f>Q51/Q88</f>
        <v>2.261893562594558E-2</v>
      </c>
      <c r="S51" s="107">
        <v>60362</v>
      </c>
      <c r="T51" s="119">
        <f>S51/S88</f>
        <v>3.4271489574394604E-2</v>
      </c>
      <c r="U51" s="107">
        <v>85925.75</v>
      </c>
      <c r="V51" s="119">
        <f>U51/U88</f>
        <v>2.4547230604901712E-2</v>
      </c>
      <c r="W51" s="107">
        <v>53864.330000000075</v>
      </c>
      <c r="X51" s="119">
        <f>W51/W88</f>
        <v>1.372155731486688E-2</v>
      </c>
      <c r="Y51" s="229">
        <f t="shared" si="15"/>
        <v>200152.08000000007</v>
      </c>
      <c r="Z51" s="119">
        <f>Y51/Y88</f>
        <v>2.1785875771713932E-2</v>
      </c>
      <c r="AA51" s="107">
        <v>77398.769999999902</v>
      </c>
      <c r="AB51" s="119">
        <f>AA51/AA88</f>
        <v>3.3553823316474829E-2</v>
      </c>
      <c r="AC51" s="107">
        <v>67381.220000000088</v>
      </c>
      <c r="AD51" s="119">
        <f>AC51/AC88</f>
        <v>2.7617861722534401E-2</v>
      </c>
      <c r="AE51" s="107">
        <v>77025.399999999907</v>
      </c>
      <c r="AF51" s="119">
        <f>AE51/AE88</f>
        <v>2.7870528795715069E-2</v>
      </c>
      <c r="AG51" s="229">
        <f t="shared" si="16"/>
        <v>221805.3899999999</v>
      </c>
      <c r="AH51" s="119">
        <f>AG51/AG88</f>
        <v>2.9534039637507531E-2</v>
      </c>
      <c r="AI51" s="273">
        <f t="shared" si="17"/>
        <v>0.1081842866684164</v>
      </c>
      <c r="AJ51" s="229">
        <f t="shared" si="18"/>
        <v>816799.2</v>
      </c>
      <c r="AK51" s="119">
        <f>AJ51/AJ88</f>
        <v>2.5357703211885522E-2</v>
      </c>
    </row>
    <row r="52" spans="1:37" s="62" customFormat="1" hidden="1" outlineLevel="1" x14ac:dyDescent="0.2">
      <c r="A52" s="62">
        <v>52010213</v>
      </c>
      <c r="B52" s="62" t="s">
        <v>326</v>
      </c>
      <c r="C52" s="107">
        <v>36599.980000000003</v>
      </c>
      <c r="D52" s="119">
        <f>C52/C88</f>
        <v>2.2440674335519929E-2</v>
      </c>
      <c r="E52" s="107">
        <v>33170.74</v>
      </c>
      <c r="F52" s="119">
        <f>E52/E88</f>
        <v>1.1693804919357991E-2</v>
      </c>
      <c r="G52" s="107">
        <v>36983.589999999997</v>
      </c>
      <c r="H52" s="119">
        <f>G52/G88</f>
        <v>2.2922025388916106E-2</v>
      </c>
      <c r="I52" s="229">
        <f t="shared" si="13"/>
        <v>106754.31</v>
      </c>
      <c r="J52" s="119">
        <f>I52/I88</f>
        <v>1.7555311663605907E-2</v>
      </c>
      <c r="K52" s="107">
        <v>36800.010000000009</v>
      </c>
      <c r="L52" s="119">
        <f>K52/K88</f>
        <v>1.1607590434736158E-2</v>
      </c>
      <c r="M52" s="107">
        <v>44186.50999999998</v>
      </c>
      <c r="N52" s="119">
        <f>M52/M88</f>
        <v>1.8153697131783053E-2</v>
      </c>
      <c r="O52" s="107">
        <v>34803.97</v>
      </c>
      <c r="P52" s="119">
        <f>O52/O88</f>
        <v>9.0912402849138221E-3</v>
      </c>
      <c r="Q52" s="229">
        <f t="shared" si="14"/>
        <v>115790.48999999999</v>
      </c>
      <c r="R52" s="119">
        <f>Q52/Q88</f>
        <v>1.2275486409107861E-2</v>
      </c>
      <c r="S52" s="107">
        <v>38484.44</v>
      </c>
      <c r="T52" s="119">
        <f>S52/S88</f>
        <v>2.1850155465962272E-2</v>
      </c>
      <c r="U52" s="107">
        <v>45189.229999999981</v>
      </c>
      <c r="V52" s="119">
        <f>U52/U88</f>
        <v>1.2909639423199008E-2</v>
      </c>
      <c r="W52" s="107">
        <v>39037.930000000051</v>
      </c>
      <c r="X52" s="119">
        <f>W52/W88</f>
        <v>9.9446367187480331E-3</v>
      </c>
      <c r="Y52" s="229">
        <f t="shared" si="15"/>
        <v>122711.60000000003</v>
      </c>
      <c r="Z52" s="119">
        <f>Y52/Y88</f>
        <v>1.3356741900200343E-2</v>
      </c>
      <c r="AA52" s="107">
        <v>39066.52999999997</v>
      </c>
      <c r="AB52" s="119">
        <f>AA52/AA88</f>
        <v>1.6936075924821079E-2</v>
      </c>
      <c r="AC52" s="107">
        <v>39754.590000000026</v>
      </c>
      <c r="AD52" s="119">
        <f>AC52/AC88</f>
        <v>1.6294403239597743E-2</v>
      </c>
      <c r="AE52" s="107">
        <v>39888.919999999984</v>
      </c>
      <c r="AF52" s="119">
        <f>AE52/AE88</f>
        <v>1.4433229733178609E-2</v>
      </c>
      <c r="AG52" s="229">
        <f t="shared" si="16"/>
        <v>118710.03999999998</v>
      </c>
      <c r="AH52" s="119">
        <f>AG52/AG88</f>
        <v>1.5806590753859071E-2</v>
      </c>
      <c r="AI52" s="273">
        <f t="shared" si="17"/>
        <v>-3.2609468053550361E-2</v>
      </c>
      <c r="AJ52" s="229">
        <f t="shared" si="18"/>
        <v>463966.44</v>
      </c>
      <c r="AK52" s="119">
        <f>AJ52/AJ88</f>
        <v>1.4403935858158398E-2</v>
      </c>
    </row>
    <row r="53" spans="1:37" s="62" customFormat="1" hidden="1" outlineLevel="1" x14ac:dyDescent="0.2">
      <c r="A53" s="62">
        <v>52010214</v>
      </c>
      <c r="B53" s="62" t="s">
        <v>327</v>
      </c>
      <c r="C53" s="107">
        <v>31402.59</v>
      </c>
      <c r="D53" s="119">
        <f>C53/C88</f>
        <v>1.9253980343209333E-2</v>
      </c>
      <c r="E53" s="107">
        <v>34727.03</v>
      </c>
      <c r="F53" s="119">
        <f>E53/E88</f>
        <v>1.2242449648355525E-2</v>
      </c>
      <c r="G53" s="107">
        <v>34758.36</v>
      </c>
      <c r="H53" s="119">
        <f>G53/G88</f>
        <v>2.1542852124336393E-2</v>
      </c>
      <c r="I53" s="229">
        <f t="shared" si="13"/>
        <v>100887.98</v>
      </c>
      <c r="J53" s="119">
        <f>I53/I88</f>
        <v>1.6590617577984808E-2</v>
      </c>
      <c r="K53" s="107">
        <v>35802.650000000009</v>
      </c>
      <c r="L53" s="119">
        <f>K53/K88</f>
        <v>1.1292999585549201E-2</v>
      </c>
      <c r="M53" s="107">
        <v>42472.609999999986</v>
      </c>
      <c r="N53" s="119">
        <f>M53/M88</f>
        <v>1.744955413623616E-2</v>
      </c>
      <c r="O53" s="107">
        <v>40600.050000000017</v>
      </c>
      <c r="P53" s="119">
        <f>O53/O88</f>
        <v>1.0605250209373114E-2</v>
      </c>
      <c r="Q53" s="229">
        <f t="shared" si="14"/>
        <v>118875.31000000001</v>
      </c>
      <c r="R53" s="119">
        <f>Q53/Q88</f>
        <v>1.2602522472126027E-2</v>
      </c>
      <c r="S53" s="107">
        <v>-3969.2900000000081</v>
      </c>
      <c r="T53" s="119">
        <f>S53/S88</f>
        <v>-2.2536277931935493E-3</v>
      </c>
      <c r="U53" s="107">
        <v>67277.169999999984</v>
      </c>
      <c r="V53" s="119">
        <f>U53/U88</f>
        <v>1.9219712442837857E-2</v>
      </c>
      <c r="W53" s="107">
        <v>33805.760000000009</v>
      </c>
      <c r="X53" s="119">
        <f>W53/W88</f>
        <v>8.6117783960671865E-3</v>
      </c>
      <c r="Y53" s="229">
        <f t="shared" si="15"/>
        <v>97113.639999999985</v>
      </c>
      <c r="Z53" s="119">
        <f>Y53/Y88</f>
        <v>1.0570490682779553E-2</v>
      </c>
      <c r="AA53" s="107">
        <v>34557.69</v>
      </c>
      <c r="AB53" s="119">
        <f>AA53/AA88</f>
        <v>1.4981408935639554E-2</v>
      </c>
      <c r="AC53" s="107">
        <v>66564.520000000019</v>
      </c>
      <c r="AD53" s="119">
        <f>AC53/AC88</f>
        <v>2.7283117001842262E-2</v>
      </c>
      <c r="AE53" s="107">
        <v>-11323.170000000042</v>
      </c>
      <c r="AF53" s="119">
        <f>AE53/AE88</f>
        <v>-4.0971255656417046E-3</v>
      </c>
      <c r="AG53" s="229">
        <f t="shared" si="16"/>
        <v>89799.039999999979</v>
      </c>
      <c r="AH53" s="119">
        <f>AG53/AG88</f>
        <v>1.1957006124919348E-2</v>
      </c>
      <c r="AI53" s="273">
        <f t="shared" si="17"/>
        <v>-7.5320006540790851E-2</v>
      </c>
      <c r="AJ53" s="229">
        <f t="shared" si="18"/>
        <v>406675.97</v>
      </c>
      <c r="AK53" s="119">
        <f>AJ53/AJ88</f>
        <v>1.2625341149533032E-2</v>
      </c>
    </row>
    <row r="54" spans="1:37" s="62" customFormat="1" hidden="1" outlineLevel="1" x14ac:dyDescent="0.2">
      <c r="A54" s="62">
        <v>52010215</v>
      </c>
      <c r="B54" s="62" t="s">
        <v>328</v>
      </c>
      <c r="C54" s="107">
        <v>58300.32</v>
      </c>
      <c r="D54" s="119">
        <f>C54/C88</f>
        <v>3.5745880046289619E-2</v>
      </c>
      <c r="E54" s="107">
        <v>60579.73</v>
      </c>
      <c r="F54" s="119">
        <f>E54/E88</f>
        <v>2.1356398581622808E-2</v>
      </c>
      <c r="G54" s="107">
        <v>61063.05</v>
      </c>
      <c r="H54" s="119">
        <f>G54/G88</f>
        <v>3.7846211858412172E-2</v>
      </c>
      <c r="I54" s="229">
        <f t="shared" si="13"/>
        <v>179943.1</v>
      </c>
      <c r="J54" s="119">
        <f>I54/I88</f>
        <v>2.9590910214448523E-2</v>
      </c>
      <c r="K54" s="107">
        <v>61084.040000000008</v>
      </c>
      <c r="L54" s="119">
        <f>K54/K88</f>
        <v>1.9267345808303877E-2</v>
      </c>
      <c r="M54" s="107">
        <v>56805.77999999997</v>
      </c>
      <c r="N54" s="119">
        <f>M54/M88</f>
        <v>2.333822982296405E-2</v>
      </c>
      <c r="O54" s="107">
        <v>57227.840000000026</v>
      </c>
      <c r="P54" s="119">
        <f>O54/O88</f>
        <v>1.4948640756402298E-2</v>
      </c>
      <c r="Q54" s="229">
        <f t="shared" si="14"/>
        <v>175117.66</v>
      </c>
      <c r="R54" s="119">
        <f>Q54/Q88</f>
        <v>1.85650346183419E-2</v>
      </c>
      <c r="S54" s="107">
        <v>64702.229999999981</v>
      </c>
      <c r="T54" s="119">
        <f>S54/S88</f>
        <v>3.673572447707301E-2</v>
      </c>
      <c r="U54" s="107">
        <v>64732.260000000009</v>
      </c>
      <c r="V54" s="119">
        <f>U54/U88</f>
        <v>1.8492683669289533E-2</v>
      </c>
      <c r="W54" s="107">
        <v>65221.709999999963</v>
      </c>
      <c r="X54" s="119">
        <f>W54/W88</f>
        <v>1.6614769587566105E-2</v>
      </c>
      <c r="Y54" s="229">
        <f t="shared" si="15"/>
        <v>194656.19999999995</v>
      </c>
      <c r="Z54" s="119">
        <f>Y54/Y88</f>
        <v>2.1187667854333059E-2</v>
      </c>
      <c r="AA54" s="107">
        <v>63865.710000000079</v>
      </c>
      <c r="AB54" s="119">
        <f>AA54/AA88</f>
        <v>2.7686987135857908E-2</v>
      </c>
      <c r="AC54" s="107">
        <v>62563.709999999963</v>
      </c>
      <c r="AD54" s="119">
        <f>AC54/AC88</f>
        <v>2.5643285942711331E-2</v>
      </c>
      <c r="AE54" s="107">
        <v>62669.709999999963</v>
      </c>
      <c r="AF54" s="119">
        <f>AE54/AE88</f>
        <v>2.2676129655595602E-2</v>
      </c>
      <c r="AG54" s="229">
        <f t="shared" si="16"/>
        <v>189099.13</v>
      </c>
      <c r="AH54" s="119">
        <f>AG54/AG88</f>
        <v>2.5179104984050172E-2</v>
      </c>
      <c r="AI54" s="273">
        <f t="shared" si="17"/>
        <v>-2.8548127416439639E-2</v>
      </c>
      <c r="AJ54" s="229">
        <f t="shared" si="18"/>
        <v>738816.09</v>
      </c>
      <c r="AK54" s="119">
        <f>AJ54/AJ88</f>
        <v>2.2936701135830819E-2</v>
      </c>
    </row>
    <row r="55" spans="1:37" s="62" customFormat="1" hidden="1" outlineLevel="1" x14ac:dyDescent="0.2">
      <c r="A55" s="62">
        <v>52010216</v>
      </c>
      <c r="B55" s="62" t="s">
        <v>329</v>
      </c>
      <c r="C55" s="107">
        <v>3836.93</v>
      </c>
      <c r="D55" s="119">
        <f>C55/C88</f>
        <v>2.3525503723823477E-3</v>
      </c>
      <c r="E55" s="107">
        <v>4443.99</v>
      </c>
      <c r="F55" s="119">
        <f>E55/E88</f>
        <v>1.5666564002966988E-3</v>
      </c>
      <c r="G55" s="107">
        <v>5051.0599999999995</v>
      </c>
      <c r="H55" s="119">
        <f>G55/G88</f>
        <v>3.1305918533311287E-3</v>
      </c>
      <c r="I55" s="229">
        <f t="shared" si="13"/>
        <v>13331.98</v>
      </c>
      <c r="J55" s="119">
        <f>I55/I88</f>
        <v>2.1923898341243615E-3</v>
      </c>
      <c r="K55" s="107">
        <v>4443.9900000000016</v>
      </c>
      <c r="L55" s="119">
        <f>K55/K88</f>
        <v>1.4017391793117214E-3</v>
      </c>
      <c r="M55" s="107">
        <v>32943.39</v>
      </c>
      <c r="N55" s="119">
        <f>M55/M88</f>
        <v>1.3534545374916707E-2</v>
      </c>
      <c r="O55" s="107">
        <v>4443.989999999998</v>
      </c>
      <c r="P55" s="119">
        <f>O55/O88</f>
        <v>1.1608267940052288E-3</v>
      </c>
      <c r="Q55" s="229">
        <f t="shared" si="14"/>
        <v>41831.370000000003</v>
      </c>
      <c r="R55" s="119">
        <f>Q55/Q88</f>
        <v>4.4347373770450612E-3</v>
      </c>
      <c r="S55" s="107">
        <v>38176.6</v>
      </c>
      <c r="T55" s="119">
        <f>S55/S88</f>
        <v>2.1675374389281882E-2</v>
      </c>
      <c r="U55" s="107">
        <v>5224.6100000000006</v>
      </c>
      <c r="V55" s="119">
        <f>U55/U88</f>
        <v>1.492564295227863E-3</v>
      </c>
      <c r="W55" s="107">
        <v>45929.47</v>
      </c>
      <c r="X55" s="119">
        <f>W55/W88</f>
        <v>1.1700207819283338E-2</v>
      </c>
      <c r="Y55" s="229">
        <f t="shared" si="15"/>
        <v>89330.68</v>
      </c>
      <c r="Z55" s="119">
        <f>Y55/Y88</f>
        <v>9.723341856266143E-3</v>
      </c>
      <c r="AA55" s="107">
        <v>25951.78</v>
      </c>
      <c r="AB55" s="119">
        <f>AA55/AA88</f>
        <v>1.1250585001131493E-2</v>
      </c>
      <c r="AC55" s="107">
        <v>5224.6100000000151</v>
      </c>
      <c r="AD55" s="119">
        <f>AC55/AC88</f>
        <v>2.1414357967126552E-3</v>
      </c>
      <c r="AE55" s="107">
        <v>5224.609999999986</v>
      </c>
      <c r="AF55" s="119">
        <f>AE55/AE88</f>
        <v>1.8904496886920506E-3</v>
      </c>
      <c r="AG55" s="229">
        <f t="shared" si="16"/>
        <v>36401</v>
      </c>
      <c r="AH55" s="119">
        <f>AG55/AG88</f>
        <v>4.8469001445136748E-3</v>
      </c>
      <c r="AI55" s="273">
        <f t="shared" si="17"/>
        <v>-0.59251401646108592</v>
      </c>
      <c r="AJ55" s="229">
        <f t="shared" si="18"/>
        <v>180895.03</v>
      </c>
      <c r="AK55" s="119">
        <f>AJ55/AJ88</f>
        <v>5.6159243094816066E-3</v>
      </c>
    </row>
    <row r="56" spans="1:37" s="62" customFormat="1" hidden="1" outlineLevel="1" x14ac:dyDescent="0.2">
      <c r="A56" s="62">
        <v>52010218</v>
      </c>
      <c r="B56" s="62" t="s">
        <v>330</v>
      </c>
      <c r="C56" s="107">
        <v>32330.97</v>
      </c>
      <c r="D56" s="119">
        <f>C56/C88</f>
        <v>1.9823201234576215E-2</v>
      </c>
      <c r="E56" s="107">
        <v>46297.45</v>
      </c>
      <c r="F56" s="119">
        <f>E56/E88</f>
        <v>1.6321413045465086E-2</v>
      </c>
      <c r="G56" s="107">
        <v>72765.439999999988</v>
      </c>
      <c r="H56" s="119">
        <f>G56/G88</f>
        <v>4.5099225443383177E-2</v>
      </c>
      <c r="I56" s="229">
        <f t="shared" si="13"/>
        <v>151393.85999999999</v>
      </c>
      <c r="J56" s="119">
        <f>I56/I88</f>
        <v>2.4896103925511951E-2</v>
      </c>
      <c r="K56" s="107">
        <v>46165.91</v>
      </c>
      <c r="L56" s="119">
        <f>K56/K88</f>
        <v>1.4561816024693749E-2</v>
      </c>
      <c r="M56" s="107">
        <v>46165.91</v>
      </c>
      <c r="N56" s="119">
        <f>M56/M88</f>
        <v>1.8966918816470345E-2</v>
      </c>
      <c r="O56" s="107">
        <v>42902.330000000016</v>
      </c>
      <c r="P56" s="119">
        <f>O56/O88</f>
        <v>1.1206635071018248E-2</v>
      </c>
      <c r="Q56" s="229">
        <f t="shared" si="14"/>
        <v>135234.15000000002</v>
      </c>
      <c r="R56" s="119">
        <f>Q56/Q88</f>
        <v>1.433679890612998E-2</v>
      </c>
      <c r="S56" s="107">
        <v>50438.409999999974</v>
      </c>
      <c r="T56" s="119">
        <f>S56/S88</f>
        <v>2.8637212856831112E-2</v>
      </c>
      <c r="U56" s="107">
        <v>50438.410000000033</v>
      </c>
      <c r="V56" s="119">
        <f>U56/U88</f>
        <v>1.4409222865259615E-2</v>
      </c>
      <c r="W56" s="107">
        <v>50438.409999999974</v>
      </c>
      <c r="X56" s="119">
        <f>W56/W88</f>
        <v>1.2848828411784821E-2</v>
      </c>
      <c r="Y56" s="229">
        <f t="shared" si="15"/>
        <v>151315.22999999998</v>
      </c>
      <c r="Z56" s="119">
        <f>Y56/Y88</f>
        <v>1.6470150113595219E-2</v>
      </c>
      <c r="AA56" s="107">
        <v>50438.410000000033</v>
      </c>
      <c r="AB56" s="119">
        <f>AA56/AA88</f>
        <v>2.1865999905475504E-2</v>
      </c>
      <c r="AC56" s="107">
        <v>50438.410000000033</v>
      </c>
      <c r="AD56" s="119">
        <f>AC56/AC88</f>
        <v>2.067343145292554E-2</v>
      </c>
      <c r="AE56" s="107">
        <v>50438.409999999916</v>
      </c>
      <c r="AF56" s="119">
        <f>AE56/AE88</f>
        <v>1.8250410362232228E-2</v>
      </c>
      <c r="AG56" s="229">
        <f t="shared" si="16"/>
        <v>151315.22999999998</v>
      </c>
      <c r="AH56" s="119">
        <f>AG56/AG88</f>
        <v>2.0148067639738466E-2</v>
      </c>
      <c r="AI56" s="273">
        <f t="shared" si="17"/>
        <v>0</v>
      </c>
      <c r="AJ56" s="229">
        <f t="shared" si="18"/>
        <v>589258.47</v>
      </c>
      <c r="AK56" s="119">
        <f>AJ56/AJ88</f>
        <v>1.8293653320607745E-2</v>
      </c>
    </row>
    <row r="57" spans="1:37" s="62" customFormat="1" hidden="1" outlineLevel="1" x14ac:dyDescent="0.2">
      <c r="A57" s="62">
        <v>52010219</v>
      </c>
      <c r="B57" s="62" t="s">
        <v>331</v>
      </c>
      <c r="C57" s="107">
        <v>0</v>
      </c>
      <c r="D57" s="119">
        <f>C57/C88</f>
        <v>0</v>
      </c>
      <c r="E57" s="107">
        <v>0</v>
      </c>
      <c r="F57" s="119">
        <f>E57/E88</f>
        <v>0</v>
      </c>
      <c r="G57" s="107">
        <v>0</v>
      </c>
      <c r="H57" s="119">
        <f>G57/G88</f>
        <v>0</v>
      </c>
      <c r="I57" s="229">
        <f t="shared" si="13"/>
        <v>0</v>
      </c>
      <c r="J57" s="119">
        <f>I57/I88</f>
        <v>0</v>
      </c>
      <c r="K57" s="107">
        <v>0</v>
      </c>
      <c r="L57" s="119">
        <f>K57/K88</f>
        <v>0</v>
      </c>
      <c r="M57" s="107">
        <v>0</v>
      </c>
      <c r="N57" s="119">
        <f>M57/M88</f>
        <v>0</v>
      </c>
      <c r="O57" s="107">
        <v>0</v>
      </c>
      <c r="P57" s="119">
        <f>O57/O88</f>
        <v>0</v>
      </c>
      <c r="Q57" s="229">
        <f t="shared" si="14"/>
        <v>0</v>
      </c>
      <c r="R57" s="119">
        <f>Q57/Q88</f>
        <v>0</v>
      </c>
      <c r="S57" s="107">
        <v>0</v>
      </c>
      <c r="T57" s="119">
        <f>S57/S88</f>
        <v>0</v>
      </c>
      <c r="U57" s="107">
        <v>0</v>
      </c>
      <c r="V57" s="119">
        <f>U57/U88</f>
        <v>0</v>
      </c>
      <c r="W57" s="107">
        <v>0</v>
      </c>
      <c r="X57" s="119">
        <f>W57/W88</f>
        <v>0</v>
      </c>
      <c r="Y57" s="229">
        <f t="shared" si="15"/>
        <v>0</v>
      </c>
      <c r="Z57" s="119">
        <f>Y57/Y88</f>
        <v>0</v>
      </c>
      <c r="AA57" s="107">
        <v>0</v>
      </c>
      <c r="AB57" s="119">
        <f>AA57/AA88</f>
        <v>0</v>
      </c>
      <c r="AC57" s="107">
        <v>0</v>
      </c>
      <c r="AD57" s="119">
        <f>AC57/AC88</f>
        <v>0</v>
      </c>
      <c r="AE57" s="107">
        <v>0</v>
      </c>
      <c r="AF57" s="119">
        <f>AE57/AE88</f>
        <v>0</v>
      </c>
      <c r="AG57" s="229">
        <f t="shared" si="16"/>
        <v>0</v>
      </c>
      <c r="AH57" s="119">
        <f>AG57/AG88</f>
        <v>0</v>
      </c>
      <c r="AI57" s="273" t="str">
        <f t="shared" si="17"/>
        <v>0</v>
      </c>
      <c r="AJ57" s="229">
        <f t="shared" si="18"/>
        <v>0</v>
      </c>
      <c r="AK57" s="119">
        <f>AJ57/AJ88</f>
        <v>0</v>
      </c>
    </row>
    <row r="58" spans="1:37" s="62" customFormat="1" hidden="1" outlineLevel="1" x14ac:dyDescent="0.2">
      <c r="A58" s="62">
        <v>52010231</v>
      </c>
      <c r="B58" s="62" t="s">
        <v>332</v>
      </c>
      <c r="C58" s="107">
        <v>0</v>
      </c>
      <c r="D58" s="119">
        <f>C58/C88</f>
        <v>0</v>
      </c>
      <c r="E58" s="107">
        <v>0</v>
      </c>
      <c r="F58" s="119">
        <f>E58/E88</f>
        <v>0</v>
      </c>
      <c r="G58" s="107">
        <v>0</v>
      </c>
      <c r="H58" s="119">
        <f>G58/G88</f>
        <v>0</v>
      </c>
      <c r="I58" s="229">
        <f t="shared" si="13"/>
        <v>0</v>
      </c>
      <c r="J58" s="119">
        <f>I58/I88</f>
        <v>0</v>
      </c>
      <c r="K58" s="107">
        <v>0</v>
      </c>
      <c r="L58" s="119">
        <f>K58/K88</f>
        <v>0</v>
      </c>
      <c r="M58" s="107">
        <v>0</v>
      </c>
      <c r="N58" s="119">
        <f>M58/M88</f>
        <v>0</v>
      </c>
      <c r="O58" s="107">
        <v>0</v>
      </c>
      <c r="P58" s="119">
        <f>O58/O88</f>
        <v>0</v>
      </c>
      <c r="Q58" s="229">
        <f t="shared" si="14"/>
        <v>0</v>
      </c>
      <c r="R58" s="119">
        <f>Q58/Q88</f>
        <v>0</v>
      </c>
      <c r="S58" s="107">
        <v>0</v>
      </c>
      <c r="T58" s="119">
        <f>S58/S88</f>
        <v>0</v>
      </c>
      <c r="U58" s="107">
        <v>0</v>
      </c>
      <c r="V58" s="119">
        <f>U58/U88</f>
        <v>0</v>
      </c>
      <c r="W58" s="107">
        <v>0</v>
      </c>
      <c r="X58" s="119">
        <f>W58/W88</f>
        <v>0</v>
      </c>
      <c r="Y58" s="229">
        <f t="shared" si="15"/>
        <v>0</v>
      </c>
      <c r="Z58" s="119">
        <f>Y58/Y88</f>
        <v>0</v>
      </c>
      <c r="AA58" s="107">
        <v>0</v>
      </c>
      <c r="AB58" s="119">
        <f>AA58/AA88</f>
        <v>0</v>
      </c>
      <c r="AC58" s="107">
        <v>0</v>
      </c>
      <c r="AD58" s="119">
        <f>AC58/AC88</f>
        <v>0</v>
      </c>
      <c r="AE58" s="107">
        <v>0</v>
      </c>
      <c r="AF58" s="119">
        <f>AE58/AE88</f>
        <v>0</v>
      </c>
      <c r="AG58" s="229">
        <f t="shared" si="16"/>
        <v>0</v>
      </c>
      <c r="AH58" s="119">
        <f>AG58/AG88</f>
        <v>0</v>
      </c>
      <c r="AI58" s="273" t="str">
        <f t="shared" si="17"/>
        <v>0</v>
      </c>
      <c r="AJ58" s="229">
        <f t="shared" si="18"/>
        <v>0</v>
      </c>
      <c r="AK58" s="119">
        <f>AJ58/AJ88</f>
        <v>0</v>
      </c>
    </row>
    <row r="59" spans="1:37" s="62" customFormat="1" hidden="1" outlineLevel="1" x14ac:dyDescent="0.2">
      <c r="A59" s="62">
        <v>52010234</v>
      </c>
      <c r="B59" s="62" t="s">
        <v>333</v>
      </c>
      <c r="C59" s="107">
        <v>0</v>
      </c>
      <c r="D59" s="119">
        <f>C59/C88</f>
        <v>0</v>
      </c>
      <c r="E59" s="107">
        <v>293.10000000000002</v>
      </c>
      <c r="F59" s="119">
        <f>E59/E88</f>
        <v>1.0332763820957348E-4</v>
      </c>
      <c r="G59" s="107">
        <v>2340.3200000000002</v>
      </c>
      <c r="H59" s="119">
        <f>G59/G88</f>
        <v>1.4505047903188456E-3</v>
      </c>
      <c r="I59" s="229">
        <f t="shared" si="13"/>
        <v>2633.42</v>
      </c>
      <c r="J59" s="119">
        <f>I59/I88</f>
        <v>4.330551978760677E-4</v>
      </c>
      <c r="K59" s="107">
        <v>1923.5900000000001</v>
      </c>
      <c r="L59" s="119">
        <f>K59/K88</f>
        <v>6.0674562002439999E-4</v>
      </c>
      <c r="M59" s="107">
        <v>0</v>
      </c>
      <c r="N59" s="119">
        <f>M59/M88</f>
        <v>0</v>
      </c>
      <c r="O59" s="107">
        <v>185905.83</v>
      </c>
      <c r="P59" s="119">
        <f>O59/O88</f>
        <v>4.8560970800065065E-2</v>
      </c>
      <c r="Q59" s="229">
        <f t="shared" si="14"/>
        <v>187829.41999999998</v>
      </c>
      <c r="R59" s="119">
        <f>Q59/Q88</f>
        <v>1.9912667201258172E-2</v>
      </c>
      <c r="S59" s="107">
        <v>145234.01999999999</v>
      </c>
      <c r="T59" s="119">
        <f>S59/S88</f>
        <v>8.2458934466674683E-2</v>
      </c>
      <c r="U59" s="107">
        <v>13206.72000000003</v>
      </c>
      <c r="V59" s="119">
        <f>U59/U88</f>
        <v>3.7728899820411027E-3</v>
      </c>
      <c r="W59" s="107">
        <v>221719.86999999994</v>
      </c>
      <c r="X59" s="119">
        <f>W59/W88</f>
        <v>5.648156960366589E-2</v>
      </c>
      <c r="Y59" s="229">
        <f t="shared" si="15"/>
        <v>380160.61</v>
      </c>
      <c r="Z59" s="119">
        <f>Y59/Y88</f>
        <v>4.1379194374392643E-2</v>
      </c>
      <c r="AA59" s="107">
        <v>3720.9100000000326</v>
      </c>
      <c r="AB59" s="119">
        <f>AA59/AA88</f>
        <v>1.6130845065949447E-3</v>
      </c>
      <c r="AC59" s="107">
        <v>27221.469999999972</v>
      </c>
      <c r="AD59" s="119">
        <f>AC59/AC88</f>
        <v>1.1157393623091372E-2</v>
      </c>
      <c r="AE59" s="107">
        <v>92862.920000000042</v>
      </c>
      <c r="AF59" s="119">
        <f>AE59/AE88</f>
        <v>3.3601106724719235E-2</v>
      </c>
      <c r="AG59" s="229">
        <f t="shared" si="16"/>
        <v>123805.30000000005</v>
      </c>
      <c r="AH59" s="119">
        <f>AG59/AG88</f>
        <v>1.6485039599504387E-2</v>
      </c>
      <c r="AI59" s="273">
        <f t="shared" si="17"/>
        <v>-0.67433422415857325</v>
      </c>
      <c r="AJ59" s="229">
        <f t="shared" si="18"/>
        <v>694428.75</v>
      </c>
      <c r="AK59" s="119">
        <f>AJ59/AJ88</f>
        <v>2.1558686815928138E-2</v>
      </c>
    </row>
    <row r="60" spans="1:37" s="62" customFormat="1" hidden="1" outlineLevel="1" x14ac:dyDescent="0.2">
      <c r="A60" s="62">
        <v>52010300</v>
      </c>
      <c r="B60" s="62" t="s">
        <v>334</v>
      </c>
      <c r="C60" s="107">
        <v>655.32000000000005</v>
      </c>
      <c r="D60" s="119">
        <f>C60/C88</f>
        <v>4.0179865414005471E-4</v>
      </c>
      <c r="E60" s="107">
        <v>655.32000000000005</v>
      </c>
      <c r="F60" s="119">
        <f>E60/E88</f>
        <v>2.3102240829579561E-4</v>
      </c>
      <c r="G60" s="107">
        <v>805.31999999999994</v>
      </c>
      <c r="H60" s="119">
        <f>G60/G88</f>
        <v>4.9912854555768979E-4</v>
      </c>
      <c r="I60" s="229">
        <f t="shared" si="13"/>
        <v>2115.96</v>
      </c>
      <c r="J60" s="119">
        <f>I60/I88</f>
        <v>3.4796100754829997E-4</v>
      </c>
      <c r="K60" s="107">
        <v>755.32000000000016</v>
      </c>
      <c r="L60" s="119">
        <f>K60/K88</f>
        <v>2.3824572893227242E-4</v>
      </c>
      <c r="M60" s="107">
        <v>655.31999999999971</v>
      </c>
      <c r="N60" s="119">
        <f>M60/M88</f>
        <v>2.6923332040480389E-4</v>
      </c>
      <c r="O60" s="107">
        <v>655.32000000000016</v>
      </c>
      <c r="P60" s="119">
        <f>O60/O88</f>
        <v>1.7117793123915827E-4</v>
      </c>
      <c r="Q60" s="229">
        <f t="shared" si="14"/>
        <v>2065.96</v>
      </c>
      <c r="R60" s="119">
        <f>Q60/Q88</f>
        <v>2.1902199309943745E-4</v>
      </c>
      <c r="S60" s="107">
        <v>655.31999999999971</v>
      </c>
      <c r="T60" s="119">
        <f>S60/S88</f>
        <v>3.7206839647281836E-4</v>
      </c>
      <c r="U60" s="107">
        <v>805.32000000000062</v>
      </c>
      <c r="V60" s="119">
        <f>U60/U88</f>
        <v>2.3006346468595808E-4</v>
      </c>
      <c r="W60" s="107">
        <v>655.31999999999971</v>
      </c>
      <c r="X60" s="119">
        <f>W60/W88</f>
        <v>1.6693813771708564E-4</v>
      </c>
      <c r="Y60" s="229">
        <f t="shared" si="15"/>
        <v>2115.96</v>
      </c>
      <c r="Z60" s="119">
        <f>Y60/Y88</f>
        <v>2.3031507690510035E-4</v>
      </c>
      <c r="AA60" s="107">
        <v>1130.3199999999997</v>
      </c>
      <c r="AB60" s="119">
        <f>AA60/AA88</f>
        <v>4.9001499082062757E-4</v>
      </c>
      <c r="AC60" s="107">
        <v>1030.3200000000006</v>
      </c>
      <c r="AD60" s="119">
        <f>AC60/AC88</f>
        <v>4.2230216802191506E-4</v>
      </c>
      <c r="AE60" s="107">
        <v>1711.3199999999997</v>
      </c>
      <c r="AF60" s="119">
        <f>AE60/AE88</f>
        <v>6.1921643170542652E-4</v>
      </c>
      <c r="AG60" s="229">
        <f t="shared" si="16"/>
        <v>3871.96</v>
      </c>
      <c r="AH60" s="119">
        <f>AG60/AG88</f>
        <v>5.1556285496418149E-4</v>
      </c>
      <c r="AI60" s="273">
        <f t="shared" si="17"/>
        <v>0.82988336263445439</v>
      </c>
      <c r="AJ60" s="229">
        <f t="shared" si="18"/>
        <v>10169.84</v>
      </c>
      <c r="AK60" s="119">
        <f>AJ60/AJ88</f>
        <v>3.1572482494150571E-4</v>
      </c>
    </row>
    <row r="61" spans="1:37" s="62" customFormat="1" hidden="1" outlineLevel="1" x14ac:dyDescent="0.2">
      <c r="A61" s="62">
        <v>52010302</v>
      </c>
      <c r="B61" s="62" t="s">
        <v>335</v>
      </c>
      <c r="C61" s="107">
        <v>0</v>
      </c>
      <c r="D61" s="119">
        <f>C61/C88</f>
        <v>0</v>
      </c>
      <c r="E61" s="107">
        <v>0</v>
      </c>
      <c r="F61" s="119">
        <f>E61/E88</f>
        <v>0</v>
      </c>
      <c r="G61" s="107">
        <v>0</v>
      </c>
      <c r="H61" s="119">
        <f>G61/G88</f>
        <v>0</v>
      </c>
      <c r="I61" s="229">
        <f t="shared" si="13"/>
        <v>0</v>
      </c>
      <c r="J61" s="119">
        <f>I61/I88</f>
        <v>0</v>
      </c>
      <c r="K61" s="107">
        <v>0</v>
      </c>
      <c r="L61" s="119">
        <f>K61/K88</f>
        <v>0</v>
      </c>
      <c r="M61" s="107">
        <v>0</v>
      </c>
      <c r="N61" s="119">
        <f>M61/M88</f>
        <v>0</v>
      </c>
      <c r="O61" s="107">
        <v>0</v>
      </c>
      <c r="P61" s="119">
        <f>O61/O88</f>
        <v>0</v>
      </c>
      <c r="Q61" s="229">
        <f t="shared" si="14"/>
        <v>0</v>
      </c>
      <c r="R61" s="119">
        <f>Q61/Q88</f>
        <v>0</v>
      </c>
      <c r="S61" s="107">
        <v>0</v>
      </c>
      <c r="T61" s="119">
        <f>S61/S88</f>
        <v>0</v>
      </c>
      <c r="U61" s="107">
        <v>0</v>
      </c>
      <c r="V61" s="119">
        <f>U61/U88</f>
        <v>0</v>
      </c>
      <c r="W61" s="107">
        <v>0</v>
      </c>
      <c r="X61" s="119">
        <f>W61/W88</f>
        <v>0</v>
      </c>
      <c r="Y61" s="229">
        <f t="shared" si="15"/>
        <v>0</v>
      </c>
      <c r="Z61" s="119">
        <f>Y61/Y88</f>
        <v>0</v>
      </c>
      <c r="AA61" s="107">
        <v>0</v>
      </c>
      <c r="AB61" s="119">
        <f>AA61/AA88</f>
        <v>0</v>
      </c>
      <c r="AC61" s="107">
        <v>381.24</v>
      </c>
      <c r="AD61" s="119">
        <f>AC61/AC88</f>
        <v>1.5626065546303557E-4</v>
      </c>
      <c r="AE61" s="107">
        <v>140</v>
      </c>
      <c r="AF61" s="119">
        <f>AE61/AE88</f>
        <v>5.0656978495406897E-5</v>
      </c>
      <c r="AG61" s="229">
        <f t="shared" si="16"/>
        <v>521.24</v>
      </c>
      <c r="AH61" s="119">
        <f>AG61/AG88</f>
        <v>6.9404638095830001E-5</v>
      </c>
      <c r="AI61" s="273" t="str">
        <f t="shared" si="17"/>
        <v>0</v>
      </c>
      <c r="AJ61" s="229">
        <f t="shared" si="18"/>
        <v>521.24</v>
      </c>
      <c r="AK61" s="119">
        <f>AJ61/AJ88</f>
        <v>1.6182005592271897E-5</v>
      </c>
    </row>
    <row r="62" spans="1:37" s="62" customFormat="1" hidden="1" outlineLevel="1" x14ac:dyDescent="0.2">
      <c r="A62" s="62">
        <v>52010303</v>
      </c>
      <c r="B62" s="62" t="s">
        <v>336</v>
      </c>
      <c r="C62" s="107">
        <v>23071.16</v>
      </c>
      <c r="D62" s="119">
        <f>C62/C88</f>
        <v>1.4145701393898957E-2</v>
      </c>
      <c r="E62" s="107">
        <v>38827.229999999996</v>
      </c>
      <c r="F62" s="119">
        <f>E62/E88</f>
        <v>1.36879084753323E-2</v>
      </c>
      <c r="G62" s="107">
        <v>35092.61</v>
      </c>
      <c r="H62" s="119">
        <f>G62/G88</f>
        <v>2.1750016625842201E-2</v>
      </c>
      <c r="I62" s="229">
        <f t="shared" si="13"/>
        <v>96991</v>
      </c>
      <c r="J62" s="119">
        <f>I62/I88</f>
        <v>1.5949775082287551E-2</v>
      </c>
      <c r="K62" s="107">
        <v>33008.83</v>
      </c>
      <c r="L62" s="119">
        <f>K62/K88</f>
        <v>1.041176291446203E-2</v>
      </c>
      <c r="M62" s="107">
        <v>22731.909999999989</v>
      </c>
      <c r="N62" s="119">
        <f>M62/M88</f>
        <v>9.3392351956954854E-3</v>
      </c>
      <c r="O62" s="107">
        <v>28789.670000000013</v>
      </c>
      <c r="P62" s="119">
        <f>O62/O88</f>
        <v>7.5202285168437686E-3</v>
      </c>
      <c r="Q62" s="229">
        <f t="shared" si="14"/>
        <v>84530.41</v>
      </c>
      <c r="R62" s="119">
        <f>Q62/Q88</f>
        <v>8.96146047150604E-3</v>
      </c>
      <c r="S62" s="107">
        <v>30522.880000000005</v>
      </c>
      <c r="T62" s="119">
        <f>S62/S88</f>
        <v>1.7329852617549081E-2</v>
      </c>
      <c r="U62" s="107">
        <v>30334.649999999994</v>
      </c>
      <c r="V62" s="119">
        <f>U62/U88</f>
        <v>8.6659895184968607E-3</v>
      </c>
      <c r="W62" s="107">
        <v>31955.309999999998</v>
      </c>
      <c r="X62" s="119">
        <f>W62/W88</f>
        <v>8.1403893389064372E-3</v>
      </c>
      <c r="Y62" s="229">
        <f t="shared" si="15"/>
        <v>92812.84</v>
      </c>
      <c r="Z62" s="119">
        <f>Y62/Y88</f>
        <v>1.0102363174342035E-2</v>
      </c>
      <c r="AA62" s="107">
        <v>29415.700000000012</v>
      </c>
      <c r="AB62" s="119">
        <f>AA62/AA88</f>
        <v>1.2752259506584282E-2</v>
      </c>
      <c r="AC62" s="107">
        <v>27668.599999999977</v>
      </c>
      <c r="AD62" s="119">
        <f>AC62/AC88</f>
        <v>1.1340660926829668E-2</v>
      </c>
      <c r="AE62" s="107">
        <v>29268.98000000004</v>
      </c>
      <c r="AF62" s="119">
        <f>AE62/AE88</f>
        <v>1.0590557788874974E-2</v>
      </c>
      <c r="AG62" s="229">
        <f t="shared" si="16"/>
        <v>86353.280000000028</v>
      </c>
      <c r="AH62" s="119">
        <f>AG62/AG88</f>
        <v>1.1498193052697179E-2</v>
      </c>
      <c r="AI62" s="273">
        <f t="shared" si="17"/>
        <v>-6.959769790472925E-2</v>
      </c>
      <c r="AJ62" s="229">
        <f t="shared" si="18"/>
        <v>360687.53</v>
      </c>
      <c r="AK62" s="119">
        <f>AJ62/AJ88</f>
        <v>1.1197620342879936E-2</v>
      </c>
    </row>
    <row r="63" spans="1:37" s="62" customFormat="1" hidden="1" outlineLevel="1" x14ac:dyDescent="0.2">
      <c r="A63" s="62">
        <v>52010304</v>
      </c>
      <c r="B63" s="62" t="s">
        <v>337</v>
      </c>
      <c r="C63" s="107">
        <v>13943.32</v>
      </c>
      <c r="D63" s="119">
        <f>C63/C88</f>
        <v>8.549116783013044E-3</v>
      </c>
      <c r="E63" s="107">
        <v>25731.03</v>
      </c>
      <c r="F63" s="119">
        <f>E63/E88</f>
        <v>9.0710561535301305E-3</v>
      </c>
      <c r="G63" s="107">
        <v>12856.349999999999</v>
      </c>
      <c r="H63" s="119">
        <f>G63/G88</f>
        <v>7.9682253969609648E-3</v>
      </c>
      <c r="I63" s="229">
        <f t="shared" si="13"/>
        <v>52530.7</v>
      </c>
      <c r="J63" s="119">
        <f>I63/I88</f>
        <v>8.6384597531226869E-3</v>
      </c>
      <c r="K63" s="107">
        <v>45637.570000000007</v>
      </c>
      <c r="L63" s="119">
        <f>K63/K88</f>
        <v>1.4395165137091043E-2</v>
      </c>
      <c r="M63" s="107">
        <v>0</v>
      </c>
      <c r="N63" s="119">
        <f>M63/M88</f>
        <v>0</v>
      </c>
      <c r="O63" s="107">
        <v>35636.199999999997</v>
      </c>
      <c r="P63" s="119">
        <f>O63/O88</f>
        <v>9.3086293615712787E-3</v>
      </c>
      <c r="Q63" s="229">
        <f t="shared" si="14"/>
        <v>81273.77</v>
      </c>
      <c r="R63" s="119">
        <f>Q63/Q88</f>
        <v>8.6162089740872364E-3</v>
      </c>
      <c r="S63" s="107">
        <v>22147.03</v>
      </c>
      <c r="T63" s="119">
        <f>S63/S88</f>
        <v>1.2574330004784541E-2</v>
      </c>
      <c r="U63" s="107">
        <v>2852.7999999999884</v>
      </c>
      <c r="V63" s="119">
        <f>U63/U88</f>
        <v>8.1498665382220489E-4</v>
      </c>
      <c r="W63" s="107">
        <v>55070.260000000009</v>
      </c>
      <c r="X63" s="119">
        <f>W63/W88</f>
        <v>1.4028759457968196E-2</v>
      </c>
      <c r="Y63" s="229">
        <f t="shared" si="15"/>
        <v>80070.09</v>
      </c>
      <c r="Z63" s="119">
        <f>Y63/Y88</f>
        <v>8.7153580106184916E-3</v>
      </c>
      <c r="AA63" s="107">
        <v>0</v>
      </c>
      <c r="AB63" s="119">
        <f>AA63/AA88</f>
        <v>0</v>
      </c>
      <c r="AC63" s="107">
        <v>6466.4599999999919</v>
      </c>
      <c r="AD63" s="119">
        <f>AC63/AC88</f>
        <v>2.6504387738052137E-3</v>
      </c>
      <c r="AE63" s="107">
        <v>0</v>
      </c>
      <c r="AF63" s="119">
        <f>AE63/AE88</f>
        <v>0</v>
      </c>
      <c r="AG63" s="229">
        <f t="shared" si="16"/>
        <v>6466.4599999999919</v>
      </c>
      <c r="AH63" s="119">
        <f>AG63/AG88</f>
        <v>8.6102815605318156E-4</v>
      </c>
      <c r="AI63" s="273">
        <f t="shared" si="17"/>
        <v>-0.91924000584987486</v>
      </c>
      <c r="AJ63" s="229">
        <f t="shared" si="18"/>
        <v>220341.02</v>
      </c>
      <c r="AK63" s="119">
        <f>AJ63/AJ88</f>
        <v>6.8405333778046454E-3</v>
      </c>
    </row>
    <row r="64" spans="1:37" s="62" customFormat="1" hidden="1" outlineLevel="1" x14ac:dyDescent="0.2">
      <c r="A64" s="62">
        <v>52010308</v>
      </c>
      <c r="B64" s="62" t="s">
        <v>338</v>
      </c>
      <c r="C64" s="107">
        <v>1963.47</v>
      </c>
      <c r="D64" s="119">
        <f>C64/C88</f>
        <v>1.2038692599712708E-3</v>
      </c>
      <c r="E64" s="107">
        <v>1297.4599999999998</v>
      </c>
      <c r="F64" s="119">
        <f>E64/E88</f>
        <v>4.5739842194265841E-4</v>
      </c>
      <c r="G64" s="107">
        <v>1277.7500000000005</v>
      </c>
      <c r="H64" s="119">
        <f>G64/G88</f>
        <v>7.9193550276453878E-4</v>
      </c>
      <c r="I64" s="229">
        <f t="shared" si="13"/>
        <v>4538.68</v>
      </c>
      <c r="J64" s="119">
        <f>I64/I88</f>
        <v>7.4636744822176141E-4</v>
      </c>
      <c r="K64" s="107">
        <v>880</v>
      </c>
      <c r="L64" s="119">
        <f>K64/K88</f>
        <v>2.7757273931631581E-4</v>
      </c>
      <c r="M64" s="107">
        <v>1275.0499999999993</v>
      </c>
      <c r="N64" s="119">
        <f>M64/M88</f>
        <v>5.2384475551203258E-4</v>
      </c>
      <c r="O64" s="107">
        <v>1491.4100000000008</v>
      </c>
      <c r="P64" s="119">
        <f>O64/O88</f>
        <v>3.8957528906395823E-4</v>
      </c>
      <c r="Q64" s="229">
        <f t="shared" si="14"/>
        <v>3646.46</v>
      </c>
      <c r="R64" s="119">
        <f>Q64/Q88</f>
        <v>3.8657812201464437E-4</v>
      </c>
      <c r="S64" s="107">
        <v>-6396.81</v>
      </c>
      <c r="T64" s="119">
        <f>S64/S88</f>
        <v>-3.631891044438275E-3</v>
      </c>
      <c r="U64" s="107">
        <v>7324.3600000000006</v>
      </c>
      <c r="V64" s="119">
        <f>U64/U88</f>
        <v>2.0924199550579185E-3</v>
      </c>
      <c r="W64" s="107">
        <v>1399.6999999999989</v>
      </c>
      <c r="X64" s="119">
        <f>W64/W88</f>
        <v>3.5656368089270079E-4</v>
      </c>
      <c r="Y64" s="229">
        <f t="shared" si="15"/>
        <v>2327.2499999999991</v>
      </c>
      <c r="Z64" s="119">
        <f>Y64/Y88</f>
        <v>2.5331327753237042E-4</v>
      </c>
      <c r="AA64" s="107">
        <v>1100</v>
      </c>
      <c r="AB64" s="119">
        <f>AA64/AA88</f>
        <v>4.7687070024655893E-4</v>
      </c>
      <c r="AC64" s="107">
        <v>1100</v>
      </c>
      <c r="AD64" s="119">
        <f>AC64/AC88</f>
        <v>4.508622416570641E-4</v>
      </c>
      <c r="AE64" s="107">
        <v>0</v>
      </c>
      <c r="AF64" s="119">
        <f>AE64/AE88</f>
        <v>0</v>
      </c>
      <c r="AG64" s="229">
        <f t="shared" si="16"/>
        <v>2200</v>
      </c>
      <c r="AH64" s="119">
        <f>AG64/AG88</f>
        <v>2.9293646652372421E-4</v>
      </c>
      <c r="AI64" s="273">
        <f t="shared" si="17"/>
        <v>-5.467826834246392E-2</v>
      </c>
      <c r="AJ64" s="229">
        <f t="shared" si="18"/>
        <v>12712.39</v>
      </c>
      <c r="AK64" s="119">
        <f>AJ64/AJ88</f>
        <v>3.9465882524583937E-4</v>
      </c>
    </row>
    <row r="65" spans="1:37" s="62" customFormat="1" hidden="1" outlineLevel="1" x14ac:dyDescent="0.2">
      <c r="A65" s="62">
        <v>52010311</v>
      </c>
      <c r="B65" s="62" t="s">
        <v>339</v>
      </c>
      <c r="C65" s="107">
        <v>3745.14</v>
      </c>
      <c r="D65" s="119">
        <f>C65/C88</f>
        <v>2.2962708471679248E-3</v>
      </c>
      <c r="E65" s="107">
        <v>3745.14</v>
      </c>
      <c r="F65" s="119">
        <f>E65/E88</f>
        <v>1.3202881984449061E-3</v>
      </c>
      <c r="G65" s="107">
        <v>3745.1400000000003</v>
      </c>
      <c r="H65" s="119">
        <f>G65/G88</f>
        <v>2.3211968920552411E-3</v>
      </c>
      <c r="I65" s="229">
        <f t="shared" si="13"/>
        <v>11235.42</v>
      </c>
      <c r="J65" s="119">
        <f>I65/I88</f>
        <v>1.8476190775951911E-3</v>
      </c>
      <c r="K65" s="107">
        <v>3745.1399999999994</v>
      </c>
      <c r="L65" s="119">
        <f>K65/K88</f>
        <v>1.1813054192308034E-3</v>
      </c>
      <c r="M65" s="107">
        <v>3745.1400000000012</v>
      </c>
      <c r="N65" s="119">
        <f>M65/M88</f>
        <v>1.5386627564866753E-3</v>
      </c>
      <c r="O65" s="107">
        <v>3745.1399999999994</v>
      </c>
      <c r="P65" s="119">
        <f>O65/O88</f>
        <v>9.7827827229600949E-4</v>
      </c>
      <c r="Q65" s="229">
        <f t="shared" si="14"/>
        <v>11235.42</v>
      </c>
      <c r="R65" s="119">
        <f>Q65/Q88</f>
        <v>1.1911189382704803E-3</v>
      </c>
      <c r="S65" s="107">
        <v>3745.1399999999994</v>
      </c>
      <c r="T65" s="119">
        <f>S65/S88</f>
        <v>2.1263630506717503E-3</v>
      </c>
      <c r="U65" s="107">
        <v>3745.1399999999994</v>
      </c>
      <c r="V65" s="119">
        <f>U65/U88</f>
        <v>1.0699099539735364E-3</v>
      </c>
      <c r="W65" s="107">
        <v>3745.1400000000031</v>
      </c>
      <c r="X65" s="119">
        <f>W65/W88</f>
        <v>9.5404794160069419E-4</v>
      </c>
      <c r="Y65" s="229">
        <f t="shared" si="15"/>
        <v>11235.420000000002</v>
      </c>
      <c r="Z65" s="119">
        <f>Y65/Y88</f>
        <v>1.2229374002160262E-3</v>
      </c>
      <c r="AA65" s="107">
        <v>3745.1399999999994</v>
      </c>
      <c r="AB65" s="119">
        <f>AA65/AA88</f>
        <v>1.6235886675649068E-3</v>
      </c>
      <c r="AC65" s="107">
        <v>3745.1399999999994</v>
      </c>
      <c r="AD65" s="119">
        <f>AC65/AC88</f>
        <v>1.5350383779268518E-3</v>
      </c>
      <c r="AE65" s="107">
        <v>3745.1399999999994</v>
      </c>
      <c r="AF65" s="119">
        <f>AE65/AE88</f>
        <v>1.3551248317306296E-3</v>
      </c>
      <c r="AG65" s="229">
        <f t="shared" si="16"/>
        <v>11235.419999999998</v>
      </c>
      <c r="AH65" s="119">
        <f>AG65/AG88</f>
        <v>1.4960291975954459E-3</v>
      </c>
      <c r="AI65" s="273">
        <f t="shared" si="17"/>
        <v>-3.3306690738754696E-16</v>
      </c>
      <c r="AJ65" s="229">
        <f t="shared" si="18"/>
        <v>44941.68</v>
      </c>
      <c r="AK65" s="119">
        <f>AJ65/AJ88</f>
        <v>1.3952239219670287E-3</v>
      </c>
    </row>
    <row r="66" spans="1:37" s="62" customFormat="1" hidden="1" outlineLevel="1" x14ac:dyDescent="0.2">
      <c r="A66" s="62">
        <v>52010312</v>
      </c>
      <c r="B66" s="62" t="s">
        <v>340</v>
      </c>
      <c r="C66" s="107">
        <v>205227</v>
      </c>
      <c r="D66" s="119">
        <f>C66/C88</f>
        <v>0.12583155159799947</v>
      </c>
      <c r="E66" s="107">
        <v>202372</v>
      </c>
      <c r="F66" s="119">
        <f>E66/E88</f>
        <v>7.1342957351579001E-2</v>
      </c>
      <c r="G66" s="107">
        <v>203799.31999999995</v>
      </c>
      <c r="H66" s="119">
        <f>G66/G88</f>
        <v>0.12631259397164626</v>
      </c>
      <c r="I66" s="229">
        <f t="shared" si="13"/>
        <v>611398.31999999995</v>
      </c>
      <c r="J66" s="119">
        <f>I66/I88</f>
        <v>0.10054196461206162</v>
      </c>
      <c r="K66" s="107">
        <v>342814.83000000007</v>
      </c>
      <c r="L66" s="119">
        <f>K66/K88</f>
        <v>0.10813187663790585</v>
      </c>
      <c r="M66" s="107">
        <v>238555.0199999999</v>
      </c>
      <c r="N66" s="119">
        <f>M66/M88</f>
        <v>9.8008545647675041E-2</v>
      </c>
      <c r="O66" s="107">
        <v>238553.54000000004</v>
      </c>
      <c r="P66" s="119">
        <f>O66/O88</f>
        <v>6.2313223260357979E-2</v>
      </c>
      <c r="Q66" s="229">
        <f t="shared" si="14"/>
        <v>819923.39</v>
      </c>
      <c r="R66" s="119">
        <f>Q66/Q88</f>
        <v>8.6923878035706087E-2</v>
      </c>
      <c r="S66" s="107">
        <v>-10138.35999999987</v>
      </c>
      <c r="T66" s="119">
        <f>S66/S88</f>
        <v>-5.7562158152721045E-3</v>
      </c>
      <c r="U66" s="107">
        <v>487245.43999999994</v>
      </c>
      <c r="V66" s="119">
        <f>U66/U88</f>
        <v>0.13919606377444246</v>
      </c>
      <c r="W66" s="107">
        <v>238553.56999999983</v>
      </c>
      <c r="X66" s="119">
        <f>W66/W88</f>
        <v>6.0769835685714493E-2</v>
      </c>
      <c r="Y66" s="229">
        <f t="shared" si="15"/>
        <v>715660.64999999991</v>
      </c>
      <c r="Z66" s="119">
        <f>Y66/Y88</f>
        <v>7.7897237018990942E-2</v>
      </c>
      <c r="AA66" s="107">
        <v>238553.35000000009</v>
      </c>
      <c r="AB66" s="119">
        <f>AA66/AA88</f>
        <v>0.10341736641878409</v>
      </c>
      <c r="AC66" s="107">
        <v>236022.83000000007</v>
      </c>
      <c r="AD66" s="119">
        <f>AC66/AC88</f>
        <v>9.6739802014585638E-2</v>
      </c>
      <c r="AE66" s="107">
        <v>238323.46999999974</v>
      </c>
      <c r="AF66" s="119">
        <f>AE66/AE88</f>
        <v>8.6233906391005269E-2</v>
      </c>
      <c r="AG66" s="229">
        <f t="shared" si="16"/>
        <v>712899.64999999991</v>
      </c>
      <c r="AH66" s="119">
        <f>AG66/AG88</f>
        <v>9.4924683844090765E-2</v>
      </c>
      <c r="AI66" s="273">
        <f t="shared" si="17"/>
        <v>-3.8579737477532072E-3</v>
      </c>
      <c r="AJ66" s="229">
        <f t="shared" si="18"/>
        <v>2859882.01</v>
      </c>
      <c r="AK66" s="119">
        <f>AJ66/AJ88</f>
        <v>8.8785639396550126E-2</v>
      </c>
    </row>
    <row r="67" spans="1:37" s="62" customFormat="1" hidden="1" outlineLevel="1" x14ac:dyDescent="0.2">
      <c r="A67" s="62">
        <v>52010315</v>
      </c>
      <c r="B67" s="62" t="s">
        <v>341</v>
      </c>
      <c r="C67" s="107">
        <v>0</v>
      </c>
      <c r="D67" s="119">
        <f>C67/C88</f>
        <v>0</v>
      </c>
      <c r="E67" s="107">
        <v>0</v>
      </c>
      <c r="F67" s="119">
        <f>E67/E88</f>
        <v>0</v>
      </c>
      <c r="G67" s="107">
        <v>0</v>
      </c>
      <c r="H67" s="119">
        <f>G67/G88</f>
        <v>0</v>
      </c>
      <c r="I67" s="229">
        <f t="shared" si="13"/>
        <v>0</v>
      </c>
      <c r="J67" s="119">
        <f>I67/I88</f>
        <v>0</v>
      </c>
      <c r="K67" s="107">
        <v>0</v>
      </c>
      <c r="L67" s="119">
        <f>K67/K88</f>
        <v>0</v>
      </c>
      <c r="M67" s="107">
        <v>0</v>
      </c>
      <c r="N67" s="119">
        <f>M67/M88</f>
        <v>0</v>
      </c>
      <c r="O67" s="107">
        <v>0</v>
      </c>
      <c r="P67" s="119">
        <f>O67/O88</f>
        <v>0</v>
      </c>
      <c r="Q67" s="229">
        <f t="shared" si="14"/>
        <v>0</v>
      </c>
      <c r="R67" s="119">
        <f>Q67/Q88</f>
        <v>0</v>
      </c>
      <c r="S67" s="107">
        <v>0</v>
      </c>
      <c r="T67" s="119">
        <f>S67/S88</f>
        <v>0</v>
      </c>
      <c r="U67" s="107">
        <v>0</v>
      </c>
      <c r="V67" s="119">
        <f>U67/U88</f>
        <v>0</v>
      </c>
      <c r="W67" s="107">
        <v>0</v>
      </c>
      <c r="X67" s="119">
        <f>W67/W88</f>
        <v>0</v>
      </c>
      <c r="Y67" s="229">
        <f t="shared" si="15"/>
        <v>0</v>
      </c>
      <c r="Z67" s="119">
        <f>Y67/Y88</f>
        <v>0</v>
      </c>
      <c r="AA67" s="107">
        <v>0</v>
      </c>
      <c r="AB67" s="119">
        <f>AA67/AA88</f>
        <v>0</v>
      </c>
      <c r="AC67" s="107">
        <v>0</v>
      </c>
      <c r="AD67" s="119">
        <f>AC67/AC88</f>
        <v>0</v>
      </c>
      <c r="AE67" s="107">
        <v>570.69000000000005</v>
      </c>
      <c r="AF67" s="119">
        <f>AE67/AE88</f>
        <v>2.0649593612531258E-4</v>
      </c>
      <c r="AG67" s="229">
        <f t="shared" si="16"/>
        <v>570.69000000000005</v>
      </c>
      <c r="AH67" s="119">
        <f>AG67/AG88</f>
        <v>7.5989050945647366E-5</v>
      </c>
      <c r="AI67" s="273" t="str">
        <f t="shared" si="17"/>
        <v>0</v>
      </c>
      <c r="AJ67" s="229">
        <f t="shared" si="18"/>
        <v>570.69000000000005</v>
      </c>
      <c r="AK67" s="119">
        <f>AJ67/AJ88</f>
        <v>1.771719125825656E-5</v>
      </c>
    </row>
    <row r="68" spans="1:37" s="66" customFormat="1" hidden="1" outlineLevel="1" x14ac:dyDescent="0.2">
      <c r="A68" s="62">
        <v>52010316</v>
      </c>
      <c r="B68" s="62" t="s">
        <v>342</v>
      </c>
      <c r="C68" s="107">
        <v>0</v>
      </c>
      <c r="D68" s="119">
        <f>C68/C88</f>
        <v>0</v>
      </c>
      <c r="E68" s="107">
        <v>0</v>
      </c>
      <c r="F68" s="119">
        <f>E68/E88</f>
        <v>0</v>
      </c>
      <c r="G68" s="107">
        <v>0</v>
      </c>
      <c r="H68" s="119">
        <f>G68/G88</f>
        <v>0</v>
      </c>
      <c r="I68" s="229">
        <f t="shared" si="13"/>
        <v>0</v>
      </c>
      <c r="J68" s="119">
        <f>I68/I88</f>
        <v>0</v>
      </c>
      <c r="K68" s="107">
        <v>0</v>
      </c>
      <c r="L68" s="119">
        <f>K68/K88</f>
        <v>0</v>
      </c>
      <c r="M68" s="107">
        <v>0</v>
      </c>
      <c r="N68" s="119">
        <f>M68/M88</f>
        <v>0</v>
      </c>
      <c r="O68" s="107">
        <v>0</v>
      </c>
      <c r="P68" s="119">
        <f>O68/O88</f>
        <v>0</v>
      </c>
      <c r="Q68" s="229">
        <f t="shared" si="14"/>
        <v>0</v>
      </c>
      <c r="R68" s="119">
        <f>Q68/Q88</f>
        <v>0</v>
      </c>
      <c r="S68" s="107">
        <v>0</v>
      </c>
      <c r="T68" s="119">
        <f>S68/S88</f>
        <v>0</v>
      </c>
      <c r="U68" s="107">
        <v>0</v>
      </c>
      <c r="V68" s="119">
        <f>U68/U88</f>
        <v>0</v>
      </c>
      <c r="W68" s="107">
        <v>0</v>
      </c>
      <c r="X68" s="119">
        <f>W68/W88</f>
        <v>0</v>
      </c>
      <c r="Y68" s="229">
        <f t="shared" si="15"/>
        <v>0</v>
      </c>
      <c r="Z68" s="119">
        <f>Y68/Y88</f>
        <v>0</v>
      </c>
      <c r="AA68" s="107">
        <v>0</v>
      </c>
      <c r="AB68" s="119">
        <f>AA68/AA88</f>
        <v>0</v>
      </c>
      <c r="AC68" s="107">
        <v>0</v>
      </c>
      <c r="AD68" s="119">
        <f>AC68/AC88</f>
        <v>0</v>
      </c>
      <c r="AE68" s="107">
        <v>0</v>
      </c>
      <c r="AF68" s="119">
        <f>AE68/AE88</f>
        <v>0</v>
      </c>
      <c r="AG68" s="229">
        <f t="shared" si="16"/>
        <v>0</v>
      </c>
      <c r="AH68" s="119">
        <f>AG68/AG88</f>
        <v>0</v>
      </c>
      <c r="AI68" s="273" t="str">
        <f t="shared" si="17"/>
        <v>0</v>
      </c>
      <c r="AJ68" s="229">
        <f t="shared" si="18"/>
        <v>0</v>
      </c>
      <c r="AK68" s="119">
        <f>AJ68/AJ88</f>
        <v>0</v>
      </c>
    </row>
    <row r="69" spans="1:37" s="66" customFormat="1" hidden="1" outlineLevel="1" x14ac:dyDescent="0.2">
      <c r="A69" s="62">
        <v>52010319</v>
      </c>
      <c r="B69" s="62" t="s">
        <v>343</v>
      </c>
      <c r="C69" s="107">
        <v>41760.68</v>
      </c>
      <c r="D69" s="119">
        <f>C69/C88</f>
        <v>2.5604872459216107E-2</v>
      </c>
      <c r="E69" s="107">
        <v>49704.299999999996</v>
      </c>
      <c r="F69" s="119">
        <f>E69/E88</f>
        <v>1.7522442606141598E-2</v>
      </c>
      <c r="G69" s="107">
        <v>124415.84000000001</v>
      </c>
      <c r="H69" s="119">
        <f>G69/G88</f>
        <v>7.7111579575247419E-2</v>
      </c>
      <c r="I69" s="229">
        <f t="shared" si="13"/>
        <v>215880.82</v>
      </c>
      <c r="J69" s="119">
        <f>I69/I88</f>
        <v>3.5500721959561235E-2</v>
      </c>
      <c r="K69" s="107">
        <v>92102.719999999972</v>
      </c>
      <c r="L69" s="119">
        <f>K69/K88</f>
        <v>2.9051368510095023E-2</v>
      </c>
      <c r="M69" s="107">
        <v>39817.420000000042</v>
      </c>
      <c r="N69" s="119">
        <f>M69/M88</f>
        <v>1.63586891847535E-2</v>
      </c>
      <c r="O69" s="107">
        <v>61156.959999999963</v>
      </c>
      <c r="P69" s="119">
        <f>O69/O88</f>
        <v>1.59749769481718E-2</v>
      </c>
      <c r="Q69" s="229">
        <f t="shared" si="14"/>
        <v>193077.09999999998</v>
      </c>
      <c r="R69" s="119">
        <f>Q69/Q88</f>
        <v>2.0468998075402905E-2</v>
      </c>
      <c r="S69" s="107">
        <v>24870.710000000021</v>
      </c>
      <c r="T69" s="119">
        <f>S69/S88</f>
        <v>1.4120742826162028E-2</v>
      </c>
      <c r="U69" s="107">
        <v>52168.599999999977</v>
      </c>
      <c r="V69" s="119">
        <f>U69/U88</f>
        <v>1.4903502786241318E-2</v>
      </c>
      <c r="W69" s="107">
        <v>122495.13</v>
      </c>
      <c r="X69" s="119">
        <f>W69/W88</f>
        <v>3.1204768481981809E-2</v>
      </c>
      <c r="Y69" s="229">
        <f t="shared" si="15"/>
        <v>199534.44</v>
      </c>
      <c r="Z69" s="119">
        <f>Y69/Y88</f>
        <v>2.1718647750343167E-2</v>
      </c>
      <c r="AA69" s="107">
        <v>76527.800000000047</v>
      </c>
      <c r="AB69" s="119">
        <f>AA69/AA88</f>
        <v>3.3176241431207849E-2</v>
      </c>
      <c r="AC69" s="107">
        <v>42762</v>
      </c>
      <c r="AD69" s="119">
        <f>AC69/AC88</f>
        <v>1.7527064707035796E-2</v>
      </c>
      <c r="AE69" s="107">
        <v>91238.459999999963</v>
      </c>
      <c r="AF69" s="119">
        <f>AE69/AE88</f>
        <v>3.3013319329814571E-2</v>
      </c>
      <c r="AG69" s="229">
        <f t="shared" si="16"/>
        <v>210528.26</v>
      </c>
      <c r="AH69" s="119">
        <f>AG69/AG88</f>
        <v>2.8032456630812688E-2</v>
      </c>
      <c r="AI69" s="273">
        <f t="shared" si="17"/>
        <v>5.5097355624422528E-2</v>
      </c>
      <c r="AJ69" s="229">
        <f t="shared" si="18"/>
        <v>819020.62</v>
      </c>
      <c r="AK69" s="119">
        <f>AJ69/AJ88</f>
        <v>2.5426667663698096E-2</v>
      </c>
    </row>
    <row r="70" spans="1:37" s="66" customFormat="1" hidden="1" outlineLevel="1" x14ac:dyDescent="0.2">
      <c r="A70" s="62">
        <v>52010321</v>
      </c>
      <c r="B70" s="62" t="s">
        <v>344</v>
      </c>
      <c r="C70" s="107">
        <v>6160</v>
      </c>
      <c r="D70" s="119">
        <f>C70/C88</f>
        <v>3.7769024438484055E-3</v>
      </c>
      <c r="E70" s="107">
        <v>31578.339999999997</v>
      </c>
      <c r="F70" s="119">
        <f>E70/E88</f>
        <v>1.1132430197130339E-2</v>
      </c>
      <c r="G70" s="107">
        <v>3126</v>
      </c>
      <c r="H70" s="119">
        <f>G70/G88</f>
        <v>1.9374606782562689E-3</v>
      </c>
      <c r="I70" s="229">
        <f t="shared" si="13"/>
        <v>40864.339999999997</v>
      </c>
      <c r="J70" s="119">
        <f>I70/I88</f>
        <v>6.7199743469613295E-3</v>
      </c>
      <c r="K70" s="107">
        <v>3126</v>
      </c>
      <c r="L70" s="119">
        <f>K70/K88</f>
        <v>9.8601407170773102E-4</v>
      </c>
      <c r="M70" s="107">
        <v>3126</v>
      </c>
      <c r="N70" s="119">
        <f>M70/M88</f>
        <v>1.2842937184664245E-3</v>
      </c>
      <c r="O70" s="107">
        <v>3126</v>
      </c>
      <c r="P70" s="119">
        <f>O70/O88</f>
        <v>8.165510179051588E-4</v>
      </c>
      <c r="Q70" s="229">
        <f t="shared" si="14"/>
        <v>9378</v>
      </c>
      <c r="R70" s="119">
        <f>Q70/Q88</f>
        <v>9.9420523692933267E-4</v>
      </c>
      <c r="S70" s="107">
        <v>-4574</v>
      </c>
      <c r="T70" s="119">
        <f>S70/S88</f>
        <v>-2.5969615538464748E-3</v>
      </c>
      <c r="U70" s="107">
        <v>9286</v>
      </c>
      <c r="V70" s="119">
        <f>U70/U88</f>
        <v>2.6528204106116885E-3</v>
      </c>
      <c r="W70" s="107">
        <v>3126</v>
      </c>
      <c r="X70" s="119">
        <f>W70/W88</f>
        <v>7.9632640313680332E-4</v>
      </c>
      <c r="Y70" s="229">
        <f t="shared" si="15"/>
        <v>7838</v>
      </c>
      <c r="Z70" s="119">
        <f>Y70/Y88</f>
        <v>8.531397440321067E-4</v>
      </c>
      <c r="AA70" s="107">
        <v>3126</v>
      </c>
      <c r="AB70" s="119">
        <f>AA70/AA88</f>
        <v>1.3551798263370394E-3</v>
      </c>
      <c r="AC70" s="107">
        <v>3126</v>
      </c>
      <c r="AD70" s="119">
        <f>AC70/AC88</f>
        <v>1.2812685158363477E-3</v>
      </c>
      <c r="AE70" s="107">
        <v>3126</v>
      </c>
      <c r="AF70" s="119">
        <f>AE70/AE88</f>
        <v>1.1310979626902996E-3</v>
      </c>
      <c r="AG70" s="229">
        <f t="shared" si="16"/>
        <v>9378</v>
      </c>
      <c r="AH70" s="119">
        <f>AG70/AG88</f>
        <v>1.248708265027039E-3</v>
      </c>
      <c r="AI70" s="273">
        <f t="shared" si="17"/>
        <v>0.1964786935442715</v>
      </c>
      <c r="AJ70" s="229">
        <f t="shared" si="18"/>
        <v>67458.34</v>
      </c>
      <c r="AK70" s="119">
        <f>AJ70/AJ88</f>
        <v>2.0942583745019163E-3</v>
      </c>
    </row>
    <row r="71" spans="1:37" s="66" customFormat="1" hidden="1" outlineLevel="1" x14ac:dyDescent="0.2">
      <c r="A71" s="62">
        <v>52010322</v>
      </c>
      <c r="B71" s="62" t="s">
        <v>345</v>
      </c>
      <c r="C71" s="107">
        <v>0</v>
      </c>
      <c r="D71" s="119">
        <f>C71/C88</f>
        <v>0</v>
      </c>
      <c r="E71" s="107">
        <v>0</v>
      </c>
      <c r="F71" s="119">
        <f>E71/E88</f>
        <v>0</v>
      </c>
      <c r="G71" s="107">
        <v>0</v>
      </c>
      <c r="H71" s="119">
        <f>G71/G88</f>
        <v>0</v>
      </c>
      <c r="I71" s="229">
        <f t="shared" si="13"/>
        <v>0</v>
      </c>
      <c r="J71" s="119">
        <f>I71/I88</f>
        <v>0</v>
      </c>
      <c r="K71" s="107">
        <v>27650</v>
      </c>
      <c r="L71" s="119">
        <f>K71/K88</f>
        <v>8.7214616387456048E-3</v>
      </c>
      <c r="M71" s="107">
        <v>16950.5</v>
      </c>
      <c r="N71" s="119">
        <f>M71/M88</f>
        <v>6.9639861403919161E-3</v>
      </c>
      <c r="O71" s="107">
        <v>29690.14</v>
      </c>
      <c r="P71" s="119">
        <f>O71/O88</f>
        <v>7.7554427507187046E-3</v>
      </c>
      <c r="Q71" s="229">
        <f t="shared" si="14"/>
        <v>74290.64</v>
      </c>
      <c r="R71" s="119">
        <f>Q71/Q88</f>
        <v>7.8758950035009347E-3</v>
      </c>
      <c r="S71" s="107">
        <v>0</v>
      </c>
      <c r="T71" s="119">
        <f>S71/S88</f>
        <v>0</v>
      </c>
      <c r="U71" s="107">
        <v>0</v>
      </c>
      <c r="V71" s="119">
        <f>U71/U88</f>
        <v>0</v>
      </c>
      <c r="W71" s="107">
        <v>0</v>
      </c>
      <c r="X71" s="119">
        <f>W71/W88</f>
        <v>0</v>
      </c>
      <c r="Y71" s="229">
        <f t="shared" si="15"/>
        <v>0</v>
      </c>
      <c r="Z71" s="119">
        <f>Y71/Y88</f>
        <v>0</v>
      </c>
      <c r="AA71" s="107">
        <v>0</v>
      </c>
      <c r="AB71" s="119">
        <f>AA71/AA88</f>
        <v>0</v>
      </c>
      <c r="AC71" s="107">
        <v>2454.6199999999953</v>
      </c>
      <c r="AD71" s="119">
        <f>AC71/AC88</f>
        <v>1.0060867960147823E-3</v>
      </c>
      <c r="AE71" s="107">
        <v>70.600000000005821</v>
      </c>
      <c r="AF71" s="119">
        <f>AE71/AE88</f>
        <v>2.554559058411444E-5</v>
      </c>
      <c r="AG71" s="229">
        <f t="shared" si="16"/>
        <v>2525.2200000000012</v>
      </c>
      <c r="AH71" s="119">
        <f>AG71/AG88</f>
        <v>3.3624046545229055E-4</v>
      </c>
      <c r="AI71" s="273" t="str">
        <f t="shared" si="17"/>
        <v>0</v>
      </c>
      <c r="AJ71" s="229">
        <f t="shared" si="18"/>
        <v>76815.86</v>
      </c>
      <c r="AK71" s="119">
        <f>AJ71/AJ88</f>
        <v>2.3847645539390207E-3</v>
      </c>
    </row>
    <row r="72" spans="1:37" s="66" customFormat="1" hidden="1" outlineLevel="1" x14ac:dyDescent="0.2">
      <c r="A72" s="62">
        <v>52010323</v>
      </c>
      <c r="B72" s="62" t="s">
        <v>346</v>
      </c>
      <c r="C72" s="107">
        <v>40555.01</v>
      </c>
      <c r="D72" s="119">
        <f>C72/C88</f>
        <v>2.4865635775859825E-2</v>
      </c>
      <c r="E72" s="107">
        <v>50663.26</v>
      </c>
      <c r="F72" s="119">
        <f>E72/E88</f>
        <v>1.7860508358231168E-2</v>
      </c>
      <c r="G72" s="107">
        <v>59680.33</v>
      </c>
      <c r="H72" s="119">
        <f>G72/G88</f>
        <v>3.6989217095443998E-2</v>
      </c>
      <c r="I72" s="229">
        <f t="shared" si="13"/>
        <v>150898.6</v>
      </c>
      <c r="J72" s="119">
        <f>I72/I88</f>
        <v>2.4814660434804015E-2</v>
      </c>
      <c r="K72" s="107">
        <v>50038.989999999991</v>
      </c>
      <c r="L72" s="119">
        <f>K72/K88</f>
        <v>1.5783476735138333E-2</v>
      </c>
      <c r="M72" s="107">
        <v>49753.78</v>
      </c>
      <c r="N72" s="119">
        <f>M72/M88</f>
        <v>2.0440968369789002E-2</v>
      </c>
      <c r="O72" s="107">
        <v>56018.75</v>
      </c>
      <c r="P72" s="119">
        <f>O72/O88</f>
        <v>1.4632811047432697E-2</v>
      </c>
      <c r="Q72" s="229">
        <f t="shared" si="14"/>
        <v>155811.51999999999</v>
      </c>
      <c r="R72" s="119">
        <f>Q72/Q88</f>
        <v>1.6518301253776867E-2</v>
      </c>
      <c r="S72" s="107">
        <v>-292273.87</v>
      </c>
      <c r="T72" s="119">
        <f>S72/S88</f>
        <v>-0.16594315775774432</v>
      </c>
      <c r="U72" s="107">
        <v>356070.42</v>
      </c>
      <c r="V72" s="119">
        <f>U72/U88</f>
        <v>0.10172204154545299</v>
      </c>
      <c r="W72" s="107">
        <v>61317.81</v>
      </c>
      <c r="X72" s="119">
        <f>W72/W88</f>
        <v>1.5620278658197668E-2</v>
      </c>
      <c r="Y72" s="229">
        <f t="shared" si="15"/>
        <v>125114.35999999999</v>
      </c>
      <c r="Z72" s="119">
        <f>Y72/Y88</f>
        <v>1.3618274185396892E-2</v>
      </c>
      <c r="AA72" s="107">
        <v>50211.97000000003</v>
      </c>
      <c r="AB72" s="119">
        <f>AA72/AA88</f>
        <v>2.1767833904235659E-2</v>
      </c>
      <c r="AC72" s="107">
        <v>47936.77999999997</v>
      </c>
      <c r="AD72" s="119">
        <f>AC72/AC88</f>
        <v>1.9648076444201367E-2</v>
      </c>
      <c r="AE72" s="107">
        <v>56676.709999999963</v>
      </c>
      <c r="AF72" s="119">
        <f>AE72/AE88</f>
        <v>2.0507649140431506E-2</v>
      </c>
      <c r="AG72" s="229">
        <f t="shared" si="16"/>
        <v>154825.45999999996</v>
      </c>
      <c r="AH72" s="119">
        <f>AG72/AG88</f>
        <v>2.0615465081959179E-2</v>
      </c>
      <c r="AI72" s="273">
        <f t="shared" si="17"/>
        <v>0.23747154203562237</v>
      </c>
      <c r="AJ72" s="229">
        <f t="shared" si="18"/>
        <v>586649.93999999994</v>
      </c>
      <c r="AK72" s="119">
        <f>AJ72/AJ88</f>
        <v>1.82126709573056E-2</v>
      </c>
    </row>
    <row r="73" spans="1:37" s="66" customFormat="1" hidden="1" outlineLevel="1" x14ac:dyDescent="0.2">
      <c r="A73" s="62">
        <v>52010324</v>
      </c>
      <c r="B73" s="62" t="s">
        <v>347</v>
      </c>
      <c r="C73" s="107">
        <v>0</v>
      </c>
      <c r="D73" s="119">
        <f>C73/C88</f>
        <v>0</v>
      </c>
      <c r="E73" s="107">
        <v>0</v>
      </c>
      <c r="F73" s="119">
        <f>E73/E88</f>
        <v>0</v>
      </c>
      <c r="G73" s="107">
        <v>1250</v>
      </c>
      <c r="H73" s="119">
        <f>G73/G88</f>
        <v>7.7473635566869354E-4</v>
      </c>
      <c r="I73" s="229">
        <f t="shared" si="13"/>
        <v>1250</v>
      </c>
      <c r="J73" s="119">
        <f>I73/I88</f>
        <v>2.0555741102637809E-4</v>
      </c>
      <c r="K73" s="107">
        <v>0</v>
      </c>
      <c r="L73" s="119">
        <f>K73/K88</f>
        <v>0</v>
      </c>
      <c r="M73" s="107">
        <v>0</v>
      </c>
      <c r="N73" s="119">
        <f>M73/M88</f>
        <v>0</v>
      </c>
      <c r="O73" s="107">
        <v>0</v>
      </c>
      <c r="P73" s="119">
        <f>O73/O88</f>
        <v>0</v>
      </c>
      <c r="Q73" s="229">
        <f t="shared" si="14"/>
        <v>0</v>
      </c>
      <c r="R73" s="119">
        <f>Q73/Q88</f>
        <v>0</v>
      </c>
      <c r="S73" s="107">
        <v>0</v>
      </c>
      <c r="T73" s="119">
        <f>S73/S88</f>
        <v>0</v>
      </c>
      <c r="U73" s="107">
        <v>0</v>
      </c>
      <c r="V73" s="119">
        <f>U73/U88</f>
        <v>0</v>
      </c>
      <c r="W73" s="107">
        <v>2450</v>
      </c>
      <c r="X73" s="119">
        <f>W73/W88</f>
        <v>6.2412018160114139E-4</v>
      </c>
      <c r="Y73" s="229">
        <f t="shared" si="15"/>
        <v>2450</v>
      </c>
      <c r="Z73" s="119">
        <f>Y73/Y88</f>
        <v>2.6667419914246765E-4</v>
      </c>
      <c r="AA73" s="107">
        <v>0</v>
      </c>
      <c r="AB73" s="119">
        <f>AA73/AA88</f>
        <v>0</v>
      </c>
      <c r="AC73" s="107">
        <v>0</v>
      </c>
      <c r="AD73" s="119">
        <f>AC73/AC88</f>
        <v>0</v>
      </c>
      <c r="AE73" s="107">
        <v>0</v>
      </c>
      <c r="AF73" s="119">
        <f>AE73/AE88</f>
        <v>0</v>
      </c>
      <c r="AG73" s="229">
        <f t="shared" si="16"/>
        <v>0</v>
      </c>
      <c r="AH73" s="119">
        <f>AG73/AG88</f>
        <v>0</v>
      </c>
      <c r="AI73" s="273">
        <f t="shared" si="17"/>
        <v>-1</v>
      </c>
      <c r="AJ73" s="229">
        <f t="shared" si="18"/>
        <v>3700</v>
      </c>
      <c r="AK73" s="119">
        <f>AJ73/AJ88</f>
        <v>1.1486727935577856E-4</v>
      </c>
    </row>
    <row r="74" spans="1:37" s="66" customFormat="1" hidden="1" outlineLevel="1" x14ac:dyDescent="0.2">
      <c r="A74" s="62">
        <v>52010326</v>
      </c>
      <c r="B74" s="62" t="s">
        <v>348</v>
      </c>
      <c r="C74" s="107">
        <v>114183.6</v>
      </c>
      <c r="D74" s="119">
        <f>C74/C88</f>
        <v>7.0009791864839091E-2</v>
      </c>
      <c r="E74" s="107">
        <v>138258.57</v>
      </c>
      <c r="F74" s="119">
        <f>E74/E88</f>
        <v>4.8740810304786726E-2</v>
      </c>
      <c r="G74" s="107">
        <v>145253.22</v>
      </c>
      <c r="H74" s="119">
        <f>G74/G88</f>
        <v>9.0026360249554391E-2</v>
      </c>
      <c r="I74" s="229">
        <f t="shared" si="13"/>
        <v>397695.39</v>
      </c>
      <c r="J74" s="119">
        <f>I74/I88</f>
        <v>6.5399387796420586E-2</v>
      </c>
      <c r="K74" s="107">
        <v>184797.67000000004</v>
      </c>
      <c r="L74" s="119">
        <f>K74/K88</f>
        <v>5.8289540319514284E-2</v>
      </c>
      <c r="M74" s="107">
        <v>133836.58999999997</v>
      </c>
      <c r="N74" s="119">
        <f>M74/M88</f>
        <v>5.4985761944327013E-2</v>
      </c>
      <c r="O74" s="107">
        <v>135813.32999999996</v>
      </c>
      <c r="P74" s="119">
        <f>O74/O88</f>
        <v>3.5476171739152018E-2</v>
      </c>
      <c r="Q74" s="229">
        <f t="shared" si="14"/>
        <v>454447.58999999997</v>
      </c>
      <c r="R74" s="119">
        <f>Q74/Q88</f>
        <v>4.8178094891012394E-2</v>
      </c>
      <c r="S74" s="107">
        <v>128544.42000000004</v>
      </c>
      <c r="T74" s="119">
        <f>S74/S88</f>
        <v>7.2983147507978574E-2</v>
      </c>
      <c r="U74" s="107">
        <v>138075.31999999995</v>
      </c>
      <c r="V74" s="119">
        <f>U74/U88</f>
        <v>3.9445296909082508E-2</v>
      </c>
      <c r="W74" s="107">
        <v>140841.56000000006</v>
      </c>
      <c r="X74" s="119">
        <f>W74/W88</f>
        <v>3.5878391838444122E-2</v>
      </c>
      <c r="Y74" s="229">
        <f t="shared" si="15"/>
        <v>407461.30000000005</v>
      </c>
      <c r="Z74" s="119">
        <f>Y74/Y88</f>
        <v>4.4350781983285209E-2</v>
      </c>
      <c r="AA74" s="107">
        <v>183723.24</v>
      </c>
      <c r="AB74" s="119">
        <f>AA74/AA88</f>
        <v>7.964748191851509E-2</v>
      </c>
      <c r="AC74" s="107">
        <v>124232.02000000002</v>
      </c>
      <c r="AD74" s="119">
        <f>AC74/AC88</f>
        <v>5.0919570020713845E-2</v>
      </c>
      <c r="AE74" s="107">
        <v>134442.33000000007</v>
      </c>
      <c r="AF74" s="119">
        <f>AE74/AE88</f>
        <v>4.864601585487429E-2</v>
      </c>
      <c r="AG74" s="229">
        <f t="shared" si="16"/>
        <v>442397.59000000008</v>
      </c>
      <c r="AH74" s="119">
        <f>AG74/AG88</f>
        <v>5.8906539460550592E-2</v>
      </c>
      <c r="AI74" s="273">
        <f t="shared" si="17"/>
        <v>8.5741369793892241E-2</v>
      </c>
      <c r="AJ74" s="229">
        <f t="shared" si="18"/>
        <v>1702001.87</v>
      </c>
      <c r="AK74" s="119">
        <f>AJ74/AJ88</f>
        <v>5.2839006558202034E-2</v>
      </c>
    </row>
    <row r="75" spans="1:37" s="66" customFormat="1" hidden="1" outlineLevel="1" x14ac:dyDescent="0.2">
      <c r="A75" s="62">
        <v>52010328</v>
      </c>
      <c r="B75" s="62" t="s">
        <v>349</v>
      </c>
      <c r="C75" s="107">
        <v>0</v>
      </c>
      <c r="D75" s="119">
        <f>C75/C88</f>
        <v>0</v>
      </c>
      <c r="E75" s="107">
        <v>0</v>
      </c>
      <c r="F75" s="119">
        <f>E75/E88</f>
        <v>0</v>
      </c>
      <c r="G75" s="107">
        <v>0</v>
      </c>
      <c r="H75" s="119">
        <f>G75/G88</f>
        <v>0</v>
      </c>
      <c r="I75" s="229">
        <f t="shared" si="13"/>
        <v>0</v>
      </c>
      <c r="J75" s="119">
        <f>I75/I88</f>
        <v>0</v>
      </c>
      <c r="K75" s="107">
        <v>0</v>
      </c>
      <c r="L75" s="119">
        <f>K75/K88</f>
        <v>0</v>
      </c>
      <c r="M75" s="107">
        <v>0</v>
      </c>
      <c r="N75" s="119">
        <f>M75/M88</f>
        <v>0</v>
      </c>
      <c r="O75" s="107">
        <v>9540.5</v>
      </c>
      <c r="P75" s="119">
        <f>O75/O88</f>
        <v>2.4921001235841864E-3</v>
      </c>
      <c r="Q75" s="229">
        <f t="shared" si="14"/>
        <v>9540.5</v>
      </c>
      <c r="R75" s="119">
        <f>Q75/Q88</f>
        <v>1.0114326149418106E-3</v>
      </c>
      <c r="S75" s="107">
        <v>0</v>
      </c>
      <c r="T75" s="119">
        <f>S75/S88</f>
        <v>0</v>
      </c>
      <c r="U75" s="107">
        <v>0</v>
      </c>
      <c r="V75" s="119">
        <f>U75/U88</f>
        <v>0</v>
      </c>
      <c r="W75" s="107">
        <v>0</v>
      </c>
      <c r="X75" s="119">
        <f>W75/W88</f>
        <v>0</v>
      </c>
      <c r="Y75" s="229">
        <f t="shared" si="15"/>
        <v>0</v>
      </c>
      <c r="Z75" s="119">
        <f>Y75/Y88</f>
        <v>0</v>
      </c>
      <c r="AA75" s="107">
        <v>0</v>
      </c>
      <c r="AB75" s="119">
        <f>AA75/AA88</f>
        <v>0</v>
      </c>
      <c r="AC75" s="107">
        <v>0</v>
      </c>
      <c r="AD75" s="119">
        <f>AC75/AC88</f>
        <v>0</v>
      </c>
      <c r="AE75" s="107">
        <v>0</v>
      </c>
      <c r="AF75" s="119">
        <f>AE75/AE88</f>
        <v>0</v>
      </c>
      <c r="AG75" s="229">
        <f t="shared" si="16"/>
        <v>0</v>
      </c>
      <c r="AH75" s="119">
        <f>AG75/AG88</f>
        <v>0</v>
      </c>
      <c r="AI75" s="273" t="str">
        <f t="shared" si="17"/>
        <v>0</v>
      </c>
      <c r="AJ75" s="229">
        <f t="shared" si="18"/>
        <v>9540.5</v>
      </c>
      <c r="AK75" s="119">
        <f>AJ75/AJ88</f>
        <v>2.9618683207940683E-4</v>
      </c>
    </row>
    <row r="76" spans="1:37" s="66" customFormat="1" hidden="1" outlineLevel="1" x14ac:dyDescent="0.2">
      <c r="A76" s="62">
        <v>52010336</v>
      </c>
      <c r="B76" s="62" t="s">
        <v>350</v>
      </c>
      <c r="C76" s="107">
        <v>12658.48</v>
      </c>
      <c r="D76" s="119">
        <f>C76/C88</f>
        <v>7.7613383193841168E-3</v>
      </c>
      <c r="E76" s="107">
        <v>34605.350000000006</v>
      </c>
      <c r="F76" s="119">
        <f>E76/E88</f>
        <v>1.219955334328101E-2</v>
      </c>
      <c r="G76" s="107">
        <v>33714.740000000005</v>
      </c>
      <c r="H76" s="119">
        <f>G76/G88</f>
        <v>2.0896027839934026E-2</v>
      </c>
      <c r="I76" s="229">
        <f t="shared" si="13"/>
        <v>80978.570000000007</v>
      </c>
      <c r="J76" s="119">
        <f>I76/I88</f>
        <v>1.3316596158254665E-2</v>
      </c>
      <c r="K76" s="107">
        <v>34480.699999999997</v>
      </c>
      <c r="L76" s="119">
        <f>K76/K88</f>
        <v>1.0876025400618284E-2</v>
      </c>
      <c r="M76" s="107">
        <v>34480.699999999997</v>
      </c>
      <c r="N76" s="119">
        <f>M76/M88</f>
        <v>1.416613768980334E-2</v>
      </c>
      <c r="O76" s="107">
        <v>48765.799999999988</v>
      </c>
      <c r="P76" s="119">
        <f>O76/O88</f>
        <v>1.2738248121868004E-2</v>
      </c>
      <c r="Q76" s="229">
        <f t="shared" si="14"/>
        <v>117727.19999999998</v>
      </c>
      <c r="R76" s="119">
        <f>Q76/Q88</f>
        <v>1.2480806010772758E-2</v>
      </c>
      <c r="S76" s="107">
        <v>-97782.26</v>
      </c>
      <c r="T76" s="119">
        <f>S76/S88</f>
        <v>-5.5517439848758197E-2</v>
      </c>
      <c r="U76" s="107">
        <v>186814.96999999997</v>
      </c>
      <c r="V76" s="119">
        <f>U76/U88</f>
        <v>5.3369218761986886E-2</v>
      </c>
      <c r="W76" s="107">
        <v>45532.670000000042</v>
      </c>
      <c r="X76" s="119">
        <f>W76/W88</f>
        <v>1.159912582415709E-2</v>
      </c>
      <c r="Y76" s="229">
        <f t="shared" si="15"/>
        <v>134565.38</v>
      </c>
      <c r="Z76" s="119">
        <f>Y76/Y88</f>
        <v>1.4646985691347687E-2</v>
      </c>
      <c r="AA76" s="107">
        <v>46563.509999999951</v>
      </c>
      <c r="AB76" s="119">
        <f>AA76/AA88</f>
        <v>2.0186157836034207E-2</v>
      </c>
      <c r="AC76" s="107">
        <v>51005.180000000051</v>
      </c>
      <c r="AD76" s="119">
        <f>AC76/AC88</f>
        <v>2.0905736173565524E-2</v>
      </c>
      <c r="AE76" s="107">
        <v>63278.119999999995</v>
      </c>
      <c r="AF76" s="119">
        <f>AE76/AE88</f>
        <v>2.2896274029069835E-2</v>
      </c>
      <c r="AG76" s="229">
        <f t="shared" si="16"/>
        <v>160846.81</v>
      </c>
      <c r="AH76" s="119">
        <f>AG76/AG88</f>
        <v>2.1417225533187648E-2</v>
      </c>
      <c r="AI76" s="273">
        <f t="shared" si="17"/>
        <v>0.19530602893552551</v>
      </c>
      <c r="AJ76" s="229">
        <f t="shared" si="18"/>
        <v>494117.96</v>
      </c>
      <c r="AK76" s="119">
        <f>AJ76/AJ88</f>
        <v>1.5339996147574978E-2</v>
      </c>
    </row>
    <row r="77" spans="1:37" s="66" customFormat="1" hidden="1" outlineLevel="1" x14ac:dyDescent="0.2">
      <c r="A77" s="62">
        <v>52010337</v>
      </c>
      <c r="B77" s="62" t="s">
        <v>351</v>
      </c>
      <c r="C77" s="107">
        <v>0</v>
      </c>
      <c r="D77" s="119">
        <f>C77/C88</f>
        <v>0</v>
      </c>
      <c r="E77" s="107">
        <v>0</v>
      </c>
      <c r="F77" s="119">
        <f>E77/E88</f>
        <v>0</v>
      </c>
      <c r="G77" s="107">
        <v>0</v>
      </c>
      <c r="H77" s="119">
        <f>G77/G88</f>
        <v>0</v>
      </c>
      <c r="I77" s="229">
        <f t="shared" si="13"/>
        <v>0</v>
      </c>
      <c r="J77" s="119">
        <f>I77/I88</f>
        <v>0</v>
      </c>
      <c r="K77" s="107">
        <v>0</v>
      </c>
      <c r="L77" s="119">
        <f>K77/K88</f>
        <v>0</v>
      </c>
      <c r="M77" s="107">
        <v>0</v>
      </c>
      <c r="N77" s="119">
        <f>M77/M88</f>
        <v>0</v>
      </c>
      <c r="O77" s="107">
        <v>0</v>
      </c>
      <c r="P77" s="119">
        <f>O77/O88</f>
        <v>0</v>
      </c>
      <c r="Q77" s="229">
        <f t="shared" si="14"/>
        <v>0</v>
      </c>
      <c r="R77" s="119">
        <f>Q77/Q88</f>
        <v>0</v>
      </c>
      <c r="S77" s="107">
        <v>160</v>
      </c>
      <c r="T77" s="119">
        <f>S77/S88</f>
        <v>9.0842555447187575E-5</v>
      </c>
      <c r="U77" s="107">
        <v>0</v>
      </c>
      <c r="V77" s="119">
        <f>U77/U88</f>
        <v>0</v>
      </c>
      <c r="W77" s="107">
        <v>0</v>
      </c>
      <c r="X77" s="119">
        <f>W77/W88</f>
        <v>0</v>
      </c>
      <c r="Y77" s="229">
        <f t="shared" si="15"/>
        <v>160</v>
      </c>
      <c r="Z77" s="119">
        <f>Y77/Y88</f>
        <v>1.741545790318156E-5</v>
      </c>
      <c r="AA77" s="107">
        <v>135</v>
      </c>
      <c r="AB77" s="119">
        <f>AA77/AA88</f>
        <v>5.8525040484804961E-5</v>
      </c>
      <c r="AC77" s="107">
        <v>862</v>
      </c>
      <c r="AD77" s="119">
        <f>AC77/AC88</f>
        <v>3.5331204755308115E-4</v>
      </c>
      <c r="AE77" s="107">
        <v>0</v>
      </c>
      <c r="AF77" s="119">
        <f>AE77/AE88</f>
        <v>0</v>
      </c>
      <c r="AG77" s="229">
        <f t="shared" si="16"/>
        <v>997</v>
      </c>
      <c r="AH77" s="119">
        <f>AG77/AG88</f>
        <v>1.3275348051097866E-4</v>
      </c>
      <c r="AI77" s="273">
        <f t="shared" si="17"/>
        <v>5.2312500000000002</v>
      </c>
      <c r="AJ77" s="229">
        <f t="shared" si="18"/>
        <v>1157</v>
      </c>
      <c r="AK77" s="119">
        <f>AJ77/AJ88</f>
        <v>3.5919308706658319E-5</v>
      </c>
    </row>
    <row r="78" spans="1:37" s="66" customFormat="1" hidden="1" outlineLevel="1" x14ac:dyDescent="0.2">
      <c r="A78" s="62">
        <v>52010347</v>
      </c>
      <c r="B78" s="62" t="s">
        <v>352</v>
      </c>
      <c r="C78" s="107">
        <v>0</v>
      </c>
      <c r="D78" s="119">
        <f>C78/C88</f>
        <v>0</v>
      </c>
      <c r="E78" s="107">
        <v>0</v>
      </c>
      <c r="F78" s="119">
        <f>E78/E88</f>
        <v>0</v>
      </c>
      <c r="G78" s="107">
        <v>0</v>
      </c>
      <c r="H78" s="119">
        <f>G78/G88</f>
        <v>0</v>
      </c>
      <c r="I78" s="229">
        <f t="shared" si="13"/>
        <v>0</v>
      </c>
      <c r="J78" s="119">
        <f>I78/I88</f>
        <v>0</v>
      </c>
      <c r="K78" s="107">
        <v>0</v>
      </c>
      <c r="L78" s="119">
        <f>K78/K88</f>
        <v>0</v>
      </c>
      <c r="M78" s="107">
        <v>3697.21</v>
      </c>
      <c r="N78" s="119">
        <f>M78/M88</f>
        <v>1.5189710744885636E-3</v>
      </c>
      <c r="O78" s="107">
        <v>7035.94</v>
      </c>
      <c r="P78" s="119">
        <f>O78/O88</f>
        <v>1.8378771493664818E-3</v>
      </c>
      <c r="Q78" s="229">
        <f t="shared" si="14"/>
        <v>10733.15</v>
      </c>
      <c r="R78" s="119">
        <f>Q78/Q88</f>
        <v>1.1378709680900051E-3</v>
      </c>
      <c r="S78" s="107">
        <v>0</v>
      </c>
      <c r="T78" s="119">
        <f>S78/S88</f>
        <v>0</v>
      </c>
      <c r="U78" s="107">
        <v>7536.8799999999992</v>
      </c>
      <c r="V78" s="119">
        <f>U78/U88</f>
        <v>2.1531325755256322E-3</v>
      </c>
      <c r="W78" s="107">
        <v>1390</v>
      </c>
      <c r="X78" s="119">
        <f>W78/W88</f>
        <v>3.5409267445942312E-4</v>
      </c>
      <c r="Y78" s="229">
        <f t="shared" si="15"/>
        <v>8926.8799999999992</v>
      </c>
      <c r="Z78" s="119">
        <f>Y78/Y88</f>
        <v>9.7166064279220862E-4</v>
      </c>
      <c r="AA78" s="107">
        <v>0</v>
      </c>
      <c r="AB78" s="119">
        <f>AA78/AA88</f>
        <v>0</v>
      </c>
      <c r="AC78" s="107">
        <v>0</v>
      </c>
      <c r="AD78" s="119">
        <f>AC78/AC88</f>
        <v>0</v>
      </c>
      <c r="AE78" s="107">
        <v>2475.9400000000023</v>
      </c>
      <c r="AF78" s="119">
        <f>AE78/AE88</f>
        <v>8.9588313811369907E-4</v>
      </c>
      <c r="AG78" s="229">
        <f t="shared" si="16"/>
        <v>2475.9400000000023</v>
      </c>
      <c r="AH78" s="119">
        <f>AG78/AG88</f>
        <v>3.2967868860215931E-4</v>
      </c>
      <c r="AI78" s="273">
        <f t="shared" si="17"/>
        <v>-0.72264217733407388</v>
      </c>
      <c r="AJ78" s="229">
        <f t="shared" si="18"/>
        <v>22135.97</v>
      </c>
      <c r="AK78" s="119">
        <f>AJ78/AJ88</f>
        <v>6.8721585129760373E-4</v>
      </c>
    </row>
    <row r="79" spans="1:37" s="66" customFormat="1" hidden="1" outlineLevel="1" x14ac:dyDescent="0.2">
      <c r="A79" s="62">
        <v>52010352</v>
      </c>
      <c r="B79" s="62" t="s">
        <v>353</v>
      </c>
      <c r="C79" s="107">
        <v>0</v>
      </c>
      <c r="D79" s="119">
        <f>C79/C88</f>
        <v>0</v>
      </c>
      <c r="E79" s="107">
        <v>0</v>
      </c>
      <c r="F79" s="119">
        <f>E79/E88</f>
        <v>0</v>
      </c>
      <c r="G79" s="107">
        <v>0</v>
      </c>
      <c r="H79" s="119">
        <f>G79/G88</f>
        <v>0</v>
      </c>
      <c r="I79" s="229">
        <f t="shared" si="13"/>
        <v>0</v>
      </c>
      <c r="J79" s="119">
        <f>I79/I88</f>
        <v>0</v>
      </c>
      <c r="K79" s="107">
        <v>0</v>
      </c>
      <c r="L79" s="119">
        <f>K79/K88</f>
        <v>0</v>
      </c>
      <c r="M79" s="107">
        <v>0</v>
      </c>
      <c r="N79" s="119">
        <f>M79/M88</f>
        <v>0</v>
      </c>
      <c r="O79" s="107">
        <v>0</v>
      </c>
      <c r="P79" s="119">
        <f>O79/O88</f>
        <v>0</v>
      </c>
      <c r="Q79" s="229">
        <f t="shared" si="14"/>
        <v>0</v>
      </c>
      <c r="R79" s="119">
        <f>Q79/Q88</f>
        <v>0</v>
      </c>
      <c r="S79" s="107">
        <v>0</v>
      </c>
      <c r="T79" s="119">
        <f>S79/S88</f>
        <v>0</v>
      </c>
      <c r="U79" s="107">
        <v>0</v>
      </c>
      <c r="V79" s="119">
        <f>U79/U88</f>
        <v>0</v>
      </c>
      <c r="W79" s="107">
        <v>0</v>
      </c>
      <c r="X79" s="119">
        <f>W79/W88</f>
        <v>0</v>
      </c>
      <c r="Y79" s="229">
        <f t="shared" si="15"/>
        <v>0</v>
      </c>
      <c r="Z79" s="119">
        <f>Y79/Y88</f>
        <v>0</v>
      </c>
      <c r="AA79" s="107">
        <v>0</v>
      </c>
      <c r="AB79" s="119">
        <f>AA79/AA88</f>
        <v>0</v>
      </c>
      <c r="AC79" s="107">
        <v>0</v>
      </c>
      <c r="AD79" s="119">
        <f>AC79/AC88</f>
        <v>0</v>
      </c>
      <c r="AE79" s="107">
        <v>0</v>
      </c>
      <c r="AF79" s="119">
        <f>AE79/AE88</f>
        <v>0</v>
      </c>
      <c r="AG79" s="229">
        <f t="shared" si="16"/>
        <v>0</v>
      </c>
      <c r="AH79" s="119">
        <f>AG79/AG88</f>
        <v>0</v>
      </c>
      <c r="AI79" s="273" t="str">
        <f t="shared" si="17"/>
        <v>0</v>
      </c>
      <c r="AJ79" s="229">
        <f t="shared" si="18"/>
        <v>0</v>
      </c>
      <c r="AK79" s="119">
        <f>AJ79/AJ88</f>
        <v>0</v>
      </c>
    </row>
    <row r="80" spans="1:37" s="66" customFormat="1" hidden="1" outlineLevel="1" x14ac:dyDescent="0.2">
      <c r="A80" s="62">
        <v>52010353</v>
      </c>
      <c r="B80" s="62" t="s">
        <v>354</v>
      </c>
      <c r="C80" s="107">
        <v>19003.599999999999</v>
      </c>
      <c r="D80" s="119">
        <f>C80/C88</f>
        <v>1.1651744039272329E-2</v>
      </c>
      <c r="E80" s="107">
        <v>19003.599999999999</v>
      </c>
      <c r="F80" s="119">
        <f>E80/E88</f>
        <v>6.6994101176371555E-3</v>
      </c>
      <c r="G80" s="107">
        <v>45007.600000000006</v>
      </c>
      <c r="H80" s="119">
        <f>G80/G88</f>
        <v>2.7895219201115436E-2</v>
      </c>
      <c r="I80" s="229">
        <f t="shared" si="13"/>
        <v>83014.8</v>
      </c>
      <c r="J80" s="119">
        <f>I80/I88</f>
        <v>1.3651445891898057E-2</v>
      </c>
      <c r="K80" s="107">
        <v>19698.199999999997</v>
      </c>
      <c r="L80" s="119">
        <f>K80/K88</f>
        <v>6.2132765154552863E-3</v>
      </c>
      <c r="M80" s="107">
        <v>21925</v>
      </c>
      <c r="N80" s="119">
        <f>M80/M88</f>
        <v>9.0077222576379901E-3</v>
      </c>
      <c r="O80" s="107">
        <v>19031</v>
      </c>
      <c r="P80" s="119">
        <f>O80/O88</f>
        <v>4.9711396102856929E-3</v>
      </c>
      <c r="Q80" s="229">
        <f t="shared" si="14"/>
        <v>60654.2</v>
      </c>
      <c r="R80" s="119">
        <f>Q80/Q88</f>
        <v>6.4302328088887964E-3</v>
      </c>
      <c r="S80" s="107">
        <v>23299.790000000008</v>
      </c>
      <c r="T80" s="119">
        <f>S80/S88</f>
        <v>1.3228827906142672E-2</v>
      </c>
      <c r="U80" s="107">
        <v>22301.709999999992</v>
      </c>
      <c r="V80" s="119">
        <f>U80/U88</f>
        <v>6.3711427395587751E-3</v>
      </c>
      <c r="W80" s="107">
        <v>25945.799999999988</v>
      </c>
      <c r="X80" s="119">
        <f>W80/W88</f>
        <v>6.6095091460354645E-3</v>
      </c>
      <c r="Y80" s="229">
        <f t="shared" si="15"/>
        <v>71547.299999999988</v>
      </c>
      <c r="Z80" s="119">
        <f>Y80/Y88</f>
        <v>7.7876811952268862E-3</v>
      </c>
      <c r="AA80" s="107">
        <v>23050.620000000024</v>
      </c>
      <c r="AB80" s="119">
        <f>AA80/AA88</f>
        <v>9.9928775459248616E-3</v>
      </c>
      <c r="AC80" s="107">
        <v>23122.389999999985</v>
      </c>
      <c r="AD80" s="119">
        <f>AC80/AC88</f>
        <v>9.4772841707898882E-3</v>
      </c>
      <c r="AE80" s="107">
        <v>40057.440000000002</v>
      </c>
      <c r="AF80" s="119">
        <f>AE80/AE88</f>
        <v>1.4494206261864657E-2</v>
      </c>
      <c r="AG80" s="229">
        <f t="shared" si="16"/>
        <v>86230.450000000012</v>
      </c>
      <c r="AH80" s="119">
        <f>AG80/AG88</f>
        <v>1.1481837877159399E-2</v>
      </c>
      <c r="AI80" s="273">
        <f t="shared" si="17"/>
        <v>0.20522297836536141</v>
      </c>
      <c r="AJ80" s="229">
        <f t="shared" si="18"/>
        <v>301446.75</v>
      </c>
      <c r="AK80" s="119">
        <f>AJ80/AJ88</f>
        <v>9.358477849497714E-3</v>
      </c>
    </row>
    <row r="81" spans="1:37" s="66" customFormat="1" hidden="1" outlineLevel="1" x14ac:dyDescent="0.2">
      <c r="A81" s="62">
        <v>52010355</v>
      </c>
      <c r="B81" s="62" t="s">
        <v>355</v>
      </c>
      <c r="C81" s="107">
        <v>34010.720000000001</v>
      </c>
      <c r="D81" s="119">
        <f>C81/C88</f>
        <v>2.0853112254065557E-2</v>
      </c>
      <c r="E81" s="107">
        <v>6285.6500000000015</v>
      </c>
      <c r="F81" s="119">
        <f>E81/E88</f>
        <v>2.2159036817195688E-3</v>
      </c>
      <c r="G81" s="107">
        <v>0</v>
      </c>
      <c r="H81" s="119">
        <f>G81/G88</f>
        <v>0</v>
      </c>
      <c r="I81" s="229">
        <f t="shared" si="13"/>
        <v>40296.370000000003</v>
      </c>
      <c r="J81" s="119">
        <f>I81/I88</f>
        <v>6.6265739927688092E-3</v>
      </c>
      <c r="K81" s="107">
        <v>0</v>
      </c>
      <c r="L81" s="119">
        <f>K81/K88</f>
        <v>0</v>
      </c>
      <c r="M81" s="107">
        <v>0</v>
      </c>
      <c r="N81" s="119">
        <f>M81/M88</f>
        <v>0</v>
      </c>
      <c r="O81" s="107">
        <v>0</v>
      </c>
      <c r="P81" s="119">
        <f>O81/O88</f>
        <v>0</v>
      </c>
      <c r="Q81" s="229">
        <f t="shared" si="14"/>
        <v>0</v>
      </c>
      <c r="R81" s="119">
        <f>Q81/Q88</f>
        <v>0</v>
      </c>
      <c r="S81" s="107">
        <v>0</v>
      </c>
      <c r="T81" s="119">
        <f>S81/S88</f>
        <v>0</v>
      </c>
      <c r="U81" s="107">
        <v>0</v>
      </c>
      <c r="V81" s="119">
        <f>U81/U88</f>
        <v>0</v>
      </c>
      <c r="W81" s="107">
        <v>0</v>
      </c>
      <c r="X81" s="119">
        <f>W81/W88</f>
        <v>0</v>
      </c>
      <c r="Y81" s="229">
        <f t="shared" si="15"/>
        <v>0</v>
      </c>
      <c r="Z81" s="119">
        <f>Y81/Y88</f>
        <v>0</v>
      </c>
      <c r="AA81" s="107">
        <v>0</v>
      </c>
      <c r="AB81" s="119">
        <f>AA81/AA88</f>
        <v>0</v>
      </c>
      <c r="AC81" s="107">
        <v>0</v>
      </c>
      <c r="AD81" s="119">
        <f>AC81/AC88</f>
        <v>0</v>
      </c>
      <c r="AE81" s="107">
        <v>0</v>
      </c>
      <c r="AF81" s="119">
        <f>AE81/AE88</f>
        <v>0</v>
      </c>
      <c r="AG81" s="229">
        <f t="shared" si="16"/>
        <v>0</v>
      </c>
      <c r="AH81" s="119">
        <f>AG81/AG88</f>
        <v>0</v>
      </c>
      <c r="AI81" s="273" t="str">
        <f t="shared" si="17"/>
        <v>0</v>
      </c>
      <c r="AJ81" s="229">
        <f t="shared" si="18"/>
        <v>40296.370000000003</v>
      </c>
      <c r="AK81" s="119">
        <f>AJ81/AJ88</f>
        <v>1.2510092945442744E-3</v>
      </c>
    </row>
    <row r="82" spans="1:37" s="66" customFormat="1" hidden="1" outlineLevel="1" x14ac:dyDescent="0.2">
      <c r="A82" s="62">
        <v>52010356</v>
      </c>
      <c r="B82" s="62" t="s">
        <v>356</v>
      </c>
      <c r="C82" s="107">
        <v>0</v>
      </c>
      <c r="D82" s="119">
        <f>C82/C88</f>
        <v>0</v>
      </c>
      <c r="E82" s="107">
        <v>166759</v>
      </c>
      <c r="F82" s="119">
        <f>E82/E88</f>
        <v>5.8788173388571355E-2</v>
      </c>
      <c r="G82" s="107">
        <v>0</v>
      </c>
      <c r="H82" s="119">
        <f>G82/G88</f>
        <v>0</v>
      </c>
      <c r="I82" s="229">
        <f t="shared" si="13"/>
        <v>166759</v>
      </c>
      <c r="J82" s="119">
        <f>I82/I88</f>
        <v>2.7422838644278226E-2</v>
      </c>
      <c r="K82" s="107">
        <v>0</v>
      </c>
      <c r="L82" s="119">
        <f>K82/K88</f>
        <v>0</v>
      </c>
      <c r="M82" s="107">
        <v>0</v>
      </c>
      <c r="N82" s="119">
        <f>M82/M88</f>
        <v>0</v>
      </c>
      <c r="O82" s="107">
        <v>0</v>
      </c>
      <c r="P82" s="119">
        <f>O82/O88</f>
        <v>0</v>
      </c>
      <c r="Q82" s="229">
        <f t="shared" si="14"/>
        <v>0</v>
      </c>
      <c r="R82" s="119">
        <f>Q82/Q88</f>
        <v>0</v>
      </c>
      <c r="S82" s="107">
        <v>0</v>
      </c>
      <c r="T82" s="119">
        <f>S82/S88</f>
        <v>0</v>
      </c>
      <c r="U82" s="107">
        <v>0</v>
      </c>
      <c r="V82" s="119">
        <f>U82/U88</f>
        <v>0</v>
      </c>
      <c r="W82" s="107">
        <v>0</v>
      </c>
      <c r="X82" s="119">
        <f>W82/W88</f>
        <v>0</v>
      </c>
      <c r="Y82" s="229">
        <f t="shared" si="15"/>
        <v>0</v>
      </c>
      <c r="Z82" s="119">
        <f>Y82/Y88</f>
        <v>0</v>
      </c>
      <c r="AA82" s="107">
        <v>0</v>
      </c>
      <c r="AB82" s="119">
        <f>AA82/AA88</f>
        <v>0</v>
      </c>
      <c r="AC82" s="107">
        <v>0</v>
      </c>
      <c r="AD82" s="119">
        <f>AC82/AC88</f>
        <v>0</v>
      </c>
      <c r="AE82" s="107">
        <v>0</v>
      </c>
      <c r="AF82" s="119">
        <f>AE82/AE88</f>
        <v>0</v>
      </c>
      <c r="AG82" s="229">
        <f t="shared" si="16"/>
        <v>0</v>
      </c>
      <c r="AH82" s="119">
        <f>AG82/AG88</f>
        <v>0</v>
      </c>
      <c r="AI82" s="273" t="str">
        <f t="shared" si="17"/>
        <v>0</v>
      </c>
      <c r="AJ82" s="229">
        <f t="shared" si="18"/>
        <v>166759</v>
      </c>
      <c r="AK82" s="119">
        <f>AJ82/AJ88</f>
        <v>5.1770682805649393E-3</v>
      </c>
    </row>
    <row r="83" spans="1:37" s="66" customFormat="1" hidden="1" outlineLevel="1" x14ac:dyDescent="0.2">
      <c r="A83" s="62">
        <v>52010357</v>
      </c>
      <c r="B83" s="62" t="s">
        <v>357</v>
      </c>
      <c r="C83" s="107">
        <v>20000</v>
      </c>
      <c r="D83" s="119">
        <f>C83/C88</f>
        <v>1.2262670272235082E-2</v>
      </c>
      <c r="E83" s="107">
        <v>13433.989999999998</v>
      </c>
      <c r="F83" s="119">
        <f>E83/E88</f>
        <v>4.7359346927022443E-3</v>
      </c>
      <c r="G83" s="107">
        <v>29468.22</v>
      </c>
      <c r="H83" s="119">
        <f>G83/G88</f>
        <v>1.8264081096674645E-2</v>
      </c>
      <c r="I83" s="229">
        <f t="shared" si="13"/>
        <v>62902.21</v>
      </c>
      <c r="J83" s="119">
        <f>I83/I88</f>
        <v>1.0344012348350039E-2</v>
      </c>
      <c r="K83" s="107">
        <v>20000.000000000007</v>
      </c>
      <c r="L83" s="119">
        <f>K83/K88</f>
        <v>6.3084713480980898E-3</v>
      </c>
      <c r="M83" s="107">
        <v>20000</v>
      </c>
      <c r="N83" s="119">
        <f>M83/M88</f>
        <v>8.2168504060551803E-3</v>
      </c>
      <c r="O83" s="107">
        <v>20000</v>
      </c>
      <c r="P83" s="119">
        <f>O83/O88</f>
        <v>5.2242547530720329E-3</v>
      </c>
      <c r="Q83" s="229">
        <f t="shared" si="14"/>
        <v>60000.000000000007</v>
      </c>
      <c r="R83" s="119">
        <f>Q83/Q88</f>
        <v>6.3608780353764096E-3</v>
      </c>
      <c r="S83" s="107">
        <v>34999.999999999985</v>
      </c>
      <c r="T83" s="119">
        <f>S83/S88</f>
        <v>1.9871809004072274E-2</v>
      </c>
      <c r="U83" s="107">
        <v>35000</v>
      </c>
      <c r="V83" s="119">
        <f>U83/U88</f>
        <v>9.9987846620083025E-3</v>
      </c>
      <c r="W83" s="107">
        <v>35000</v>
      </c>
      <c r="X83" s="119">
        <f>W83/W88</f>
        <v>8.9160025943020201E-3</v>
      </c>
      <c r="Y83" s="229">
        <f t="shared" si="15"/>
        <v>104999.99999999999</v>
      </c>
      <c r="Z83" s="119">
        <f>Y83/Y88</f>
        <v>1.1428894248962897E-2</v>
      </c>
      <c r="AA83" s="107">
        <v>35000.000000000029</v>
      </c>
      <c r="AB83" s="119">
        <f>AA83/AA88</f>
        <v>1.5173158644208706E-2</v>
      </c>
      <c r="AC83" s="107">
        <v>0</v>
      </c>
      <c r="AD83" s="119">
        <f>AC83/AC88</f>
        <v>0</v>
      </c>
      <c r="AE83" s="107">
        <v>-71072.310000000027</v>
      </c>
      <c r="AF83" s="119">
        <f>AE83/AE88</f>
        <v>-2.5716489137777812E-2</v>
      </c>
      <c r="AG83" s="229">
        <f t="shared" si="16"/>
        <v>-36072.31</v>
      </c>
      <c r="AH83" s="119">
        <f>AG83/AG88</f>
        <v>-4.8031341048856372E-3</v>
      </c>
      <c r="AI83" s="273">
        <f t="shared" si="17"/>
        <v>-1.3435458095238095</v>
      </c>
      <c r="AJ83" s="229">
        <f t="shared" si="18"/>
        <v>191829.9</v>
      </c>
      <c r="AK83" s="119">
        <f>AJ83/AJ88</f>
        <v>5.9553996519165044E-3</v>
      </c>
    </row>
    <row r="84" spans="1:37" s="66" customFormat="1" hidden="1" outlineLevel="1" x14ac:dyDescent="0.2">
      <c r="A84" s="62">
        <v>52010359</v>
      </c>
      <c r="B84" s="62" t="s">
        <v>358</v>
      </c>
      <c r="C84" s="107">
        <v>0</v>
      </c>
      <c r="D84" s="119">
        <f>C84/C88</f>
        <v>0</v>
      </c>
      <c r="E84" s="107">
        <v>0</v>
      </c>
      <c r="F84" s="119">
        <f>E84/E88</f>
        <v>0</v>
      </c>
      <c r="G84" s="107">
        <v>0</v>
      </c>
      <c r="H84" s="119">
        <f>G84/G88</f>
        <v>0</v>
      </c>
      <c r="I84" s="229">
        <f t="shared" si="13"/>
        <v>0</v>
      </c>
      <c r="J84" s="119">
        <f>I84/I88</f>
        <v>0</v>
      </c>
      <c r="K84" s="107">
        <v>0</v>
      </c>
      <c r="L84" s="119">
        <f>K84/K88</f>
        <v>0</v>
      </c>
      <c r="M84" s="107">
        <v>0</v>
      </c>
      <c r="N84" s="119">
        <f>M84/M88</f>
        <v>0</v>
      </c>
      <c r="O84" s="107">
        <v>0</v>
      </c>
      <c r="P84" s="119">
        <f>O84/O88</f>
        <v>0</v>
      </c>
      <c r="Q84" s="229">
        <f t="shared" si="14"/>
        <v>0</v>
      </c>
      <c r="R84" s="119">
        <f>Q84/Q88</f>
        <v>0</v>
      </c>
      <c r="S84" s="107">
        <v>0</v>
      </c>
      <c r="T84" s="119">
        <f>S84/S88</f>
        <v>0</v>
      </c>
      <c r="U84" s="107">
        <v>0</v>
      </c>
      <c r="V84" s="119">
        <f>U84/U88</f>
        <v>0</v>
      </c>
      <c r="W84" s="107">
        <v>0</v>
      </c>
      <c r="X84" s="119">
        <f>W84/W88</f>
        <v>0</v>
      </c>
      <c r="Y84" s="229">
        <f t="shared" si="15"/>
        <v>0</v>
      </c>
      <c r="Z84" s="119">
        <f>Y84/Y88</f>
        <v>0</v>
      </c>
      <c r="AA84" s="107">
        <v>0</v>
      </c>
      <c r="AB84" s="119">
        <f>AA84/AA88</f>
        <v>0</v>
      </c>
      <c r="AC84" s="107">
        <v>0</v>
      </c>
      <c r="AD84" s="119">
        <f>AC84/AC88</f>
        <v>0</v>
      </c>
      <c r="AE84" s="107">
        <v>0</v>
      </c>
      <c r="AF84" s="119">
        <f>AE84/AE88</f>
        <v>0</v>
      </c>
      <c r="AG84" s="229">
        <f t="shared" si="16"/>
        <v>0</v>
      </c>
      <c r="AH84" s="119">
        <f>AG84/AG88</f>
        <v>0</v>
      </c>
      <c r="AI84" s="273" t="str">
        <f t="shared" si="17"/>
        <v>0</v>
      </c>
      <c r="AJ84" s="229">
        <f t="shared" si="18"/>
        <v>0</v>
      </c>
      <c r="AK84" s="119">
        <f>AJ84/AJ88</f>
        <v>0</v>
      </c>
    </row>
    <row r="85" spans="1:37" s="66" customFormat="1" hidden="1" outlineLevel="1" x14ac:dyDescent="0.2">
      <c r="A85" s="62">
        <v>52010360</v>
      </c>
      <c r="B85" s="62" t="s">
        <v>359</v>
      </c>
      <c r="C85" s="107">
        <v>0</v>
      </c>
      <c r="D85" s="119">
        <f>C85/C88</f>
        <v>0</v>
      </c>
      <c r="E85" s="107">
        <v>0</v>
      </c>
      <c r="F85" s="119">
        <f>E85/E88</f>
        <v>0</v>
      </c>
      <c r="G85" s="107">
        <v>0</v>
      </c>
      <c r="H85" s="119">
        <f>G85/G88</f>
        <v>0</v>
      </c>
      <c r="I85" s="229">
        <f t="shared" si="13"/>
        <v>0</v>
      </c>
      <c r="J85" s="119">
        <f>I85/I88</f>
        <v>0</v>
      </c>
      <c r="K85" s="107">
        <v>174253</v>
      </c>
      <c r="L85" s="119">
        <f>K85/K88</f>
        <v>5.49635028910068E-2</v>
      </c>
      <c r="M85" s="107">
        <v>0</v>
      </c>
      <c r="N85" s="119">
        <f>M85/M88</f>
        <v>0</v>
      </c>
      <c r="O85" s="107">
        <v>-85214</v>
      </c>
      <c r="P85" s="119">
        <f>O85/O88</f>
        <v>-2.2258982226414009E-2</v>
      </c>
      <c r="Q85" s="229">
        <f t="shared" si="14"/>
        <v>89039</v>
      </c>
      <c r="R85" s="119">
        <f>Q85/Q88</f>
        <v>9.4394369898646684E-3</v>
      </c>
      <c r="S85" s="107">
        <v>0</v>
      </c>
      <c r="T85" s="119">
        <f>S85/S88</f>
        <v>0</v>
      </c>
      <c r="U85" s="107">
        <v>0</v>
      </c>
      <c r="V85" s="119">
        <f>U85/U88</f>
        <v>0</v>
      </c>
      <c r="W85" s="107">
        <v>-40526.43</v>
      </c>
      <c r="X85" s="119">
        <f>W85/W88</f>
        <v>-1.0323821571937121E-2</v>
      </c>
      <c r="Y85" s="229">
        <f t="shared" si="15"/>
        <v>-40526.43</v>
      </c>
      <c r="Z85" s="119">
        <f>Y85/Y88</f>
        <v>-4.411164597695214E-3</v>
      </c>
      <c r="AA85" s="107">
        <v>0</v>
      </c>
      <c r="AB85" s="119">
        <f>AA85/AA88</f>
        <v>0</v>
      </c>
      <c r="AC85" s="107">
        <v>0</v>
      </c>
      <c r="AD85" s="119">
        <f>AC85/AC88</f>
        <v>0</v>
      </c>
      <c r="AE85" s="107">
        <v>-8622</v>
      </c>
      <c r="AF85" s="119">
        <f>AE85/AE88</f>
        <v>-3.1197462041957016E-3</v>
      </c>
      <c r="AG85" s="229">
        <f t="shared" si="16"/>
        <v>-8622</v>
      </c>
      <c r="AH85" s="119">
        <f>AG85/AG88</f>
        <v>-1.148044642894341E-3</v>
      </c>
      <c r="AI85" s="273">
        <f t="shared" si="17"/>
        <v>-0.78724995021767274</v>
      </c>
      <c r="AJ85" s="229">
        <f t="shared" si="18"/>
        <v>39890.57</v>
      </c>
      <c r="AK85" s="119">
        <f>AJ85/AJ88</f>
        <v>1.2384111480679026E-3</v>
      </c>
    </row>
    <row r="86" spans="1:37" s="66" customFormat="1" hidden="1" outlineLevel="1" x14ac:dyDescent="0.2">
      <c r="A86" s="62">
        <v>52010361</v>
      </c>
      <c r="B86" s="62" t="s">
        <v>374</v>
      </c>
      <c r="C86" s="107">
        <v>95682.189999999944</v>
      </c>
      <c r="D86" s="119">
        <f>C86/C88</f>
        <v>5.8665957344767407E-2</v>
      </c>
      <c r="E86" s="107">
        <v>871525.92000000039</v>
      </c>
      <c r="F86" s="119">
        <f>E86/E88</f>
        <v>0.30724228915737195</v>
      </c>
      <c r="G86" s="107">
        <v>-129067.23000000045</v>
      </c>
      <c r="H86" s="119">
        <f>G86/G88</f>
        <v>-7.9994460325162733E-2</v>
      </c>
      <c r="I86" s="229">
        <f t="shared" si="13"/>
        <v>838140.87999999989</v>
      </c>
      <c r="J86" s="119">
        <f>I86/I88</f>
        <v>0.13782885549453616</v>
      </c>
      <c r="K86" s="107">
        <v>1047228.8900000015</v>
      </c>
      <c r="L86" s="119">
        <f>K86/K88</f>
        <v>0.33032067237327867</v>
      </c>
      <c r="M86" s="107">
        <v>639114.80999999959</v>
      </c>
      <c r="N86" s="119">
        <f>M86/M88</f>
        <v>0.26257553930321881</v>
      </c>
      <c r="O86" s="107">
        <v>1893802.9100000011</v>
      </c>
      <c r="P86" s="119">
        <f>O86/O88</f>
        <v>0.49468544269745768</v>
      </c>
      <c r="Q86" s="229">
        <f t="shared" si="14"/>
        <v>3580146.6100000022</v>
      </c>
      <c r="R86" s="119">
        <f>Q86/Q88</f>
        <v>0.37954793224960542</v>
      </c>
      <c r="S86" s="107">
        <v>865658.56999999471</v>
      </c>
      <c r="T86" s="119">
        <f>S86/S88</f>
        <v>0.49149147902223517</v>
      </c>
      <c r="U86" s="107">
        <v>877162.61000000313</v>
      </c>
      <c r="V86" s="119">
        <f>U86/U88</f>
        <v>0.2505874300272915</v>
      </c>
      <c r="W86" s="107">
        <v>1724270.8099999968</v>
      </c>
      <c r="X86" s="119">
        <f>W86/W88</f>
        <v>0.43924580043540623</v>
      </c>
      <c r="Y86" s="229">
        <f t="shared" si="15"/>
        <v>3467091.9899999946</v>
      </c>
      <c r="Z86" s="119">
        <f>Y86/Y88</f>
        <v>0.37738121623939302</v>
      </c>
      <c r="AA86" s="107">
        <v>502980.19000000693</v>
      </c>
      <c r="AB86" s="119">
        <f>AA86/AA88</f>
        <v>0.21805137765040961</v>
      </c>
      <c r="AC86" s="107">
        <v>815890.09999999218</v>
      </c>
      <c r="AD86" s="119">
        <f>AC86/AC88</f>
        <v>0.33441276311982066</v>
      </c>
      <c r="AE86" s="107">
        <v>1144817.9800000079</v>
      </c>
      <c r="AF86" s="119">
        <f>AE86/AE88</f>
        <v>0.4142358556715397</v>
      </c>
      <c r="AG86" s="229">
        <f t="shared" si="16"/>
        <v>2463688.270000007</v>
      </c>
      <c r="AH86" s="119">
        <f>AG86/AG88</f>
        <v>0.32804733474079506</v>
      </c>
      <c r="AI86" s="273">
        <f t="shared" si="17"/>
        <v>-0.28940787348419594</v>
      </c>
      <c r="AJ86" s="229">
        <f t="shared" si="18"/>
        <v>10349067.750000004</v>
      </c>
      <c r="AK86" s="119">
        <f>AJ86/AJ88</f>
        <v>0.32128898819219703</v>
      </c>
    </row>
    <row r="87" spans="1:37" s="66" customFormat="1" hidden="1" outlineLevel="1" x14ac:dyDescent="0.2">
      <c r="A87" s="62">
        <v>52010362</v>
      </c>
      <c r="B87" s="62" t="s">
        <v>377</v>
      </c>
      <c r="C87" s="107">
        <v>218020.4</v>
      </c>
      <c r="D87" s="119">
        <f>C87/C88</f>
        <v>0.13367561389104007</v>
      </c>
      <c r="E87" s="107">
        <v>294519.78000000003</v>
      </c>
      <c r="F87" s="119">
        <f>E87/E88</f>
        <v>0.10382815855818212</v>
      </c>
      <c r="G87" s="107">
        <v>200622.93</v>
      </c>
      <c r="H87" s="119">
        <f>G87/G88</f>
        <v>0.12434390212142032</v>
      </c>
      <c r="I87" s="229">
        <f t="shared" si="13"/>
        <v>713163.1100000001</v>
      </c>
      <c r="J87" s="119">
        <f>I87/I88</f>
        <v>0.11727677002489609</v>
      </c>
      <c r="K87" s="107">
        <v>263724.33999999997</v>
      </c>
      <c r="L87" s="119">
        <f>K87/K88</f>
        <v>8.3184872134303908E-2</v>
      </c>
      <c r="M87" s="107">
        <v>228908.05000000005</v>
      </c>
      <c r="N87" s="119">
        <f>M87/M88</f>
        <v>9.4045160179589984E-2</v>
      </c>
      <c r="O87" s="107">
        <v>288321.91999999993</v>
      </c>
      <c r="P87" s="119">
        <f>O87/O88</f>
        <v>7.5313358048742701E-2</v>
      </c>
      <c r="Q87" s="229">
        <f t="shared" si="14"/>
        <v>780954.30999999994</v>
      </c>
      <c r="R87" s="119">
        <f>Q87/Q88</f>
        <v>8.2792585285192316E-2</v>
      </c>
      <c r="S87" s="107">
        <v>81630.940000000177</v>
      </c>
      <c r="T87" s="119">
        <f>S87/S88</f>
        <v>4.6347269957225365E-2</v>
      </c>
      <c r="U87" s="107">
        <v>437668.75</v>
      </c>
      <c r="V87" s="119">
        <f>U87/U88</f>
        <v>0.12503301670115277</v>
      </c>
      <c r="W87" s="107">
        <v>301265.5399999998</v>
      </c>
      <c r="X87" s="119">
        <f>W87/W88</f>
        <v>7.6745266748965646E-2</v>
      </c>
      <c r="Y87" s="229">
        <f t="shared" si="15"/>
        <v>820565.23</v>
      </c>
      <c r="Z87" s="119">
        <f>Y87/Y88</f>
        <v>8.9315745124246837E-2</v>
      </c>
      <c r="AA87" s="107">
        <v>310461.37999999989</v>
      </c>
      <c r="AB87" s="119">
        <f>AA87/AA88</f>
        <v>0.13459085061828452</v>
      </c>
      <c r="AC87" s="107">
        <v>245909.77000000002</v>
      </c>
      <c r="AD87" s="119">
        <f>AC87/AC88</f>
        <v>0.10079220922506643</v>
      </c>
      <c r="AE87" s="107">
        <v>163369.37000000011</v>
      </c>
      <c r="AF87" s="119">
        <f>AE87/AE88</f>
        <v>5.9112847592129841E-2</v>
      </c>
      <c r="AG87" s="229">
        <f t="shared" si="16"/>
        <v>719740.52</v>
      </c>
      <c r="AH87" s="119">
        <f>AG87/AG88</f>
        <v>9.5835565792158128E-2</v>
      </c>
      <c r="AI87" s="273">
        <f t="shared" si="17"/>
        <v>-0.12287226696164055</v>
      </c>
      <c r="AJ87" s="229">
        <f t="shared" si="18"/>
        <v>3034423.17</v>
      </c>
      <c r="AK87" s="119">
        <f>AJ87/AJ88</f>
        <v>9.4204306473523541E-2</v>
      </c>
    </row>
    <row r="88" spans="1:37" s="66" customFormat="1" collapsed="1" x14ac:dyDescent="0.2">
      <c r="A88" s="64" t="s">
        <v>450</v>
      </c>
      <c r="B88" s="64" t="s">
        <v>157</v>
      </c>
      <c r="C88" s="108">
        <f>SUM(C47:C87)</f>
        <v>1630966.14</v>
      </c>
      <c r="D88" s="119">
        <f>C88/C31</f>
        <v>0.15126556158570065</v>
      </c>
      <c r="E88" s="108">
        <f>SUM(E47:E87)</f>
        <v>2836607.9500000011</v>
      </c>
      <c r="F88" s="119">
        <f>E88/E31</f>
        <v>0.22055095812145667</v>
      </c>
      <c r="G88" s="108">
        <f>SUM(G47:G87)</f>
        <v>1613452.0999999994</v>
      </c>
      <c r="H88" s="119">
        <f>G88/G31</f>
        <v>0.10670944626231875</v>
      </c>
      <c r="I88" s="231">
        <f>SUM(I47:I87)</f>
        <v>6081026.1900000004</v>
      </c>
      <c r="J88" s="119">
        <f>I88/I31</f>
        <v>0.15687444739450004</v>
      </c>
      <c r="K88" s="108">
        <f>SUM(K47:K87)</f>
        <v>3170340.1500000013</v>
      </c>
      <c r="L88" s="119">
        <f>K88/K31</f>
        <v>0.2266026204649034</v>
      </c>
      <c r="M88" s="108">
        <f>SUM(M47:M87)</f>
        <v>2434022.6499999994</v>
      </c>
      <c r="N88" s="119">
        <f>M88/M31</f>
        <v>0.2012693631346637</v>
      </c>
      <c r="O88" s="108">
        <f>SUM(O47:O87)</f>
        <v>3828297.2300000004</v>
      </c>
      <c r="P88" s="119">
        <f>O88/O31</f>
        <v>0.18036175079307326</v>
      </c>
      <c r="Q88" s="231">
        <f>SUM(Q47:Q87)</f>
        <v>9432660.0300000031</v>
      </c>
      <c r="R88" s="119">
        <f>Q88/Q31</f>
        <v>0.19938081745439903</v>
      </c>
      <c r="S88" s="108">
        <f>SUM(S47:S87)</f>
        <v>1761289.0699999952</v>
      </c>
      <c r="T88" s="119">
        <f>S88/S31</f>
        <v>0.11949025484235465</v>
      </c>
      <c r="U88" s="108">
        <f>SUM(U47:U87)</f>
        <v>3500425.4200000027</v>
      </c>
      <c r="V88" s="119">
        <f>U88/U31</f>
        <v>0.30411973593934888</v>
      </c>
      <c r="W88" s="108">
        <f>SUM(W47:W87)</f>
        <v>3925525.9999999963</v>
      </c>
      <c r="X88" s="119">
        <f>W88/W31</f>
        <v>0.19467451671375746</v>
      </c>
      <c r="Y88" s="231">
        <f>SUM(Y47:Y87)</f>
        <v>9187240.4899999928</v>
      </c>
      <c r="Z88" s="119">
        <f>Y88/Y31</f>
        <v>0.19793856157012793</v>
      </c>
      <c r="AA88" s="108">
        <f>SUM(AA47:AA87)</f>
        <v>2306704.9400000069</v>
      </c>
      <c r="AB88" s="119">
        <f>AA88/AA31</f>
        <v>0.20678012644987775</v>
      </c>
      <c r="AC88" s="108">
        <f>SUM(AC47:AC87)</f>
        <v>2439769.6199999922</v>
      </c>
      <c r="AD88" s="119">
        <f>AC88/AC31</f>
        <v>0.18058927072000849</v>
      </c>
      <c r="AE88" s="108">
        <f>SUM(AE47:AE87)</f>
        <v>2763686.3500000085</v>
      </c>
      <c r="AF88" s="119">
        <f>AE88/AE31</f>
        <v>0.17195675654901624</v>
      </c>
      <c r="AG88" s="231">
        <f>SUM(AG47:AG87)</f>
        <v>7510160.9100000095</v>
      </c>
      <c r="AH88" s="119">
        <f>AG88/AG31</f>
        <v>0.18435550573966866</v>
      </c>
      <c r="AI88" s="273">
        <f t="shared" si="17"/>
        <v>-0.18254443016109445</v>
      </c>
      <c r="AJ88" s="231">
        <f>SUM(AJ47:AJ87)</f>
        <v>32211087.619999997</v>
      </c>
      <c r="AK88" s="119">
        <f>AJ88/AJ31</f>
        <v>0.18594897903961768</v>
      </c>
    </row>
    <row r="89" spans="1:37" s="66" customFormat="1" hidden="1" outlineLevel="1" x14ac:dyDescent="0.2">
      <c r="A89" s="62"/>
      <c r="B89" s="62"/>
      <c r="C89" s="107"/>
      <c r="D89" s="119"/>
      <c r="E89" s="107"/>
      <c r="F89" s="119"/>
      <c r="G89" s="107"/>
      <c r="H89" s="119"/>
      <c r="I89" s="229"/>
      <c r="J89" s="119"/>
      <c r="K89" s="107"/>
      <c r="L89" s="119"/>
      <c r="M89" s="107"/>
      <c r="N89" s="119"/>
      <c r="O89" s="107"/>
      <c r="P89" s="119"/>
      <c r="Q89" s="229"/>
      <c r="R89" s="119"/>
      <c r="S89" s="107"/>
      <c r="T89" s="119"/>
      <c r="U89" s="107"/>
      <c r="V89" s="119"/>
      <c r="W89" s="107"/>
      <c r="X89" s="119"/>
      <c r="Y89" s="229"/>
      <c r="Z89" s="119"/>
      <c r="AA89" s="107"/>
      <c r="AB89" s="119"/>
      <c r="AC89" s="107"/>
      <c r="AD89" s="119"/>
      <c r="AE89" s="107"/>
      <c r="AF89" s="119"/>
      <c r="AG89" s="229"/>
      <c r="AH89" s="119"/>
      <c r="AI89" s="273" t="str">
        <f t="shared" si="17"/>
        <v>0</v>
      </c>
      <c r="AJ89" s="229"/>
      <c r="AK89" s="119"/>
    </row>
    <row r="90" spans="1:37" s="66" customFormat="1" hidden="1" outlineLevel="1" x14ac:dyDescent="0.2">
      <c r="A90" s="62"/>
      <c r="B90" s="62"/>
      <c r="C90" s="107"/>
      <c r="D90" s="119"/>
      <c r="E90" s="107"/>
      <c r="F90" s="119"/>
      <c r="G90" s="107"/>
      <c r="H90" s="119"/>
      <c r="I90" s="229"/>
      <c r="J90" s="119"/>
      <c r="K90" s="107"/>
      <c r="L90" s="119"/>
      <c r="M90" s="107"/>
      <c r="N90" s="119"/>
      <c r="O90" s="107"/>
      <c r="P90" s="119"/>
      <c r="Q90" s="229"/>
      <c r="R90" s="119"/>
      <c r="S90" s="107"/>
      <c r="T90" s="119"/>
      <c r="U90" s="107"/>
      <c r="V90" s="119"/>
      <c r="W90" s="107"/>
      <c r="X90" s="119"/>
      <c r="Y90" s="229"/>
      <c r="Z90" s="119"/>
      <c r="AA90" s="107"/>
      <c r="AB90" s="119"/>
      <c r="AC90" s="107"/>
      <c r="AD90" s="119"/>
      <c r="AE90" s="107"/>
      <c r="AF90" s="119"/>
      <c r="AG90" s="229"/>
      <c r="AH90" s="119"/>
      <c r="AI90" s="273" t="str">
        <f t="shared" si="17"/>
        <v>0</v>
      </c>
      <c r="AJ90" s="229"/>
      <c r="AK90" s="119"/>
    </row>
    <row r="91" spans="1:37" s="66" customFormat="1" hidden="1" outlineLevel="1" x14ac:dyDescent="0.2">
      <c r="A91" s="62">
        <v>53010364</v>
      </c>
      <c r="B91" s="76" t="s">
        <v>375</v>
      </c>
      <c r="C91" s="107">
        <v>-401731.41</v>
      </c>
      <c r="D91" s="119">
        <f>-C91/C93</f>
        <v>-0.3172915441835672</v>
      </c>
      <c r="E91" s="107">
        <v>-546046.15000000014</v>
      </c>
      <c r="F91" s="119">
        <f>-E91/E93</f>
        <v>-0.17609850639033917</v>
      </c>
      <c r="G91" s="107">
        <v>-520161.56000000006</v>
      </c>
      <c r="H91" s="119">
        <f>-G91/G93</f>
        <v>-0.1551897721081609</v>
      </c>
      <c r="I91" s="229">
        <f>+C91+E91+G91</f>
        <v>-1467939.12</v>
      </c>
      <c r="J91" s="119">
        <f>-I91/I93</f>
        <v>-0.19017948509626909</v>
      </c>
      <c r="K91" s="107">
        <v>-361738.33999999985</v>
      </c>
      <c r="L91" s="119">
        <f>-K91/K93</f>
        <v>-0.14767511622538931</v>
      </c>
      <c r="M91" s="107">
        <v>-394843.45999999996</v>
      </c>
      <c r="N91" s="119">
        <f>-M91/M93</f>
        <v>-0.19382721781355294</v>
      </c>
      <c r="O91" s="107">
        <v>-499821.78000000026</v>
      </c>
      <c r="P91" s="119">
        <f>-O91/O93</f>
        <v>-0.14133270503437914</v>
      </c>
      <c r="Q91" s="229">
        <f>+K91+M91+O91</f>
        <v>-1256403.58</v>
      </c>
      <c r="R91" s="119">
        <f>-Q91/Q93</f>
        <v>-0.15659757553293149</v>
      </c>
      <c r="S91" s="107">
        <v>-441418.79999999981</v>
      </c>
      <c r="T91" s="119">
        <f>-S91/S93</f>
        <v>-0.1913376583309663</v>
      </c>
      <c r="U91" s="107">
        <v>-445861.37999999989</v>
      </c>
      <c r="V91" s="119">
        <f>-U91/U93</f>
        <v>-0.1809028709946571</v>
      </c>
      <c r="W91" s="107">
        <v>-583414.96999999974</v>
      </c>
      <c r="X91" s="119">
        <f>-W91/W93</f>
        <v>-0.13859667111596324</v>
      </c>
      <c r="Y91" s="229">
        <f>+S91+U91+W91</f>
        <v>-1470695.1499999994</v>
      </c>
      <c r="Z91" s="119">
        <f>-Y91/Y93</f>
        <v>-0.16375438000151463</v>
      </c>
      <c r="AA91" s="107">
        <v>-379831.52000000048</v>
      </c>
      <c r="AB91" s="119">
        <f>-AA91/AA93</f>
        <v>-0.18150547598104622</v>
      </c>
      <c r="AC91" s="107">
        <v>-401325.96999999974</v>
      </c>
      <c r="AD91" s="119">
        <f>-AC91/AC93</f>
        <v>-0.16680323863130145</v>
      </c>
      <c r="AE91" s="107">
        <v>-555596.54999999981</v>
      </c>
      <c r="AF91" s="119">
        <f>-AE91/AE93</f>
        <v>-0.13506695406026617</v>
      </c>
      <c r="AG91" s="229">
        <f>+AA91+AC91+AE91</f>
        <v>-1336754.04</v>
      </c>
      <c r="AH91" s="119">
        <f>-AG91/AG93</f>
        <v>-0.15521728666144827</v>
      </c>
      <c r="AI91" s="273">
        <f t="shared" si="17"/>
        <v>-9.1073333586501271E-2</v>
      </c>
      <c r="AJ91" s="229">
        <f>+I91+Q91+Y91+AG91</f>
        <v>-5531791.8899999997</v>
      </c>
      <c r="AK91" s="119">
        <f>-AJ91/AJ93</f>
        <v>-0.16594500995425379</v>
      </c>
    </row>
    <row r="92" spans="1:37" s="66" customFormat="1" hidden="1" outlineLevel="1" x14ac:dyDescent="0.2">
      <c r="A92" s="62">
        <v>53010365</v>
      </c>
      <c r="B92" s="76" t="s">
        <v>376</v>
      </c>
      <c r="C92" s="107">
        <v>-864395.64999999991</v>
      </c>
      <c r="D92" s="119">
        <f>-C92/C93</f>
        <v>-0.6827084558164328</v>
      </c>
      <c r="E92" s="107">
        <v>-2554753.29</v>
      </c>
      <c r="F92" s="119">
        <f>-E92/E93</f>
        <v>-0.82390149360966081</v>
      </c>
      <c r="G92" s="107">
        <v>-2831615.77</v>
      </c>
      <c r="H92" s="119">
        <f>-G92/G93</f>
        <v>-0.84481022789183913</v>
      </c>
      <c r="I92" s="229">
        <f>+C92+E92+G92</f>
        <v>-6250764.71</v>
      </c>
      <c r="J92" s="119">
        <f>-I92/I93</f>
        <v>-0.80982051490373097</v>
      </c>
      <c r="K92" s="107">
        <v>-2087816.8000000007</v>
      </c>
      <c r="L92" s="119">
        <f>-K92/K93</f>
        <v>-0.85232488377461069</v>
      </c>
      <c r="M92" s="107">
        <v>-1642246.3999999994</v>
      </c>
      <c r="N92" s="119">
        <f>-M92/M93</f>
        <v>-0.80617278218644706</v>
      </c>
      <c r="O92" s="107">
        <v>-3036668.7999999989</v>
      </c>
      <c r="P92" s="119">
        <f>-O92/O93</f>
        <v>-0.85866729496562089</v>
      </c>
      <c r="Q92" s="229">
        <f>+K92+M92+O92</f>
        <v>-6766731.9999999991</v>
      </c>
      <c r="R92" s="119">
        <f>-Q92/Q93</f>
        <v>-0.84340242446706848</v>
      </c>
      <c r="S92" s="107">
        <v>-1865595.9500000011</v>
      </c>
      <c r="T92" s="119">
        <f>-S92/S93</f>
        <v>-0.80866234166903372</v>
      </c>
      <c r="U92" s="107">
        <v>-2018783.75</v>
      </c>
      <c r="V92" s="119">
        <f>-U92/U93</f>
        <v>-0.81909712900534293</v>
      </c>
      <c r="W92" s="107">
        <v>-3626029.3500000015</v>
      </c>
      <c r="X92" s="119">
        <f>-W92/W93</f>
        <v>-0.8614033288840367</v>
      </c>
      <c r="Y92" s="229">
        <f>+S92+U92+W92</f>
        <v>-7510409.0500000026</v>
      </c>
      <c r="Z92" s="119">
        <f>-Y92/Y93</f>
        <v>-0.83624561999848523</v>
      </c>
      <c r="AA92" s="107">
        <v>-1712840.9899999984</v>
      </c>
      <c r="AB92" s="119">
        <f>-AA92/AA93</f>
        <v>-0.81849452401895384</v>
      </c>
      <c r="AC92" s="107">
        <v>-2004658.3099999987</v>
      </c>
      <c r="AD92" s="119">
        <f>-AC92/AC93</f>
        <v>-0.83319676136869858</v>
      </c>
      <c r="AE92" s="107">
        <v>-3557893.3400000036</v>
      </c>
      <c r="AF92" s="119">
        <f>-AE92/AE93</f>
        <v>-0.86493304593973386</v>
      </c>
      <c r="AG92" s="229">
        <f>+AA92+AC92+AE92</f>
        <v>-7275392.6400000006</v>
      </c>
      <c r="AH92" s="119">
        <f>-AG92/AG93</f>
        <v>-0.84478271333855182</v>
      </c>
      <c r="AI92" s="273">
        <f t="shared" si="17"/>
        <v>-3.1292091873478145E-2</v>
      </c>
      <c r="AJ92" s="229">
        <f>+I92+Q92+Y92+AG92</f>
        <v>-27803298.400000002</v>
      </c>
      <c r="AK92" s="119">
        <f>-AJ92/AJ93</f>
        <v>-0.83405499004574613</v>
      </c>
    </row>
    <row r="93" spans="1:37" s="66" customFormat="1" collapsed="1" x14ac:dyDescent="0.2">
      <c r="A93" s="64" t="s">
        <v>449</v>
      </c>
      <c r="B93" s="64" t="s">
        <v>448</v>
      </c>
      <c r="C93" s="107">
        <f>+C91+C92</f>
        <v>-1266127.0599999998</v>
      </c>
      <c r="D93" s="119">
        <f>C93/C31</f>
        <v>-0.11742820164847327</v>
      </c>
      <c r="E93" s="107">
        <f>+E91+E92</f>
        <v>-3100799.4400000004</v>
      </c>
      <c r="F93" s="119">
        <f>E93/E31</f>
        <v>-0.2410922832795685</v>
      </c>
      <c r="G93" s="107">
        <f>+G91+G92</f>
        <v>-3351777.33</v>
      </c>
      <c r="H93" s="119">
        <f>G93/G31</f>
        <v>-0.22167767043031111</v>
      </c>
      <c r="I93" s="229">
        <f>+I91+I92</f>
        <v>-7718703.8300000001</v>
      </c>
      <c r="J93" s="119">
        <f>I93/I31</f>
        <v>-0.19912221393229371</v>
      </c>
      <c r="K93" s="107">
        <f>+K91+K92</f>
        <v>-2449555.1400000006</v>
      </c>
      <c r="L93" s="119">
        <f>K93/K31</f>
        <v>-0.17508393025186059</v>
      </c>
      <c r="M93" s="107">
        <f>+M91+M92</f>
        <v>-2037089.8599999994</v>
      </c>
      <c r="N93" s="119">
        <f>M93/M31</f>
        <v>-0.16844698580363712</v>
      </c>
      <c r="O93" s="107">
        <f>+O91+O92</f>
        <v>-3536490.5799999991</v>
      </c>
      <c r="P93" s="119">
        <f>O93/O31</f>
        <v>-0.16661392633612487</v>
      </c>
      <c r="Q93" s="229">
        <f>+Q91+Q92</f>
        <v>-8023135.5799999991</v>
      </c>
      <c r="R93" s="119">
        <f>Q93/Q31</f>
        <v>-0.16958729832308747</v>
      </c>
      <c r="S93" s="107">
        <f>+S91+S92</f>
        <v>-2307014.7500000009</v>
      </c>
      <c r="T93" s="119">
        <f>S93/S31</f>
        <v>-0.15651364963195508</v>
      </c>
      <c r="U93" s="107">
        <f>+U91+U92</f>
        <v>-2464645.13</v>
      </c>
      <c r="V93" s="119">
        <f>U93/U31</f>
        <v>-0.21413032308507277</v>
      </c>
      <c r="W93" s="107">
        <f>+W91+W92</f>
        <v>-4209444.3200000012</v>
      </c>
      <c r="X93" s="119">
        <f>W93/W31</f>
        <v>-0.20875458183934395</v>
      </c>
      <c r="Y93" s="229">
        <f>+Y91+Y92</f>
        <v>-8981104.200000003</v>
      </c>
      <c r="Z93" s="119">
        <f>Y93/Y31</f>
        <v>-0.19349736720121891</v>
      </c>
      <c r="AA93" s="107">
        <f>+AA91+AA92</f>
        <v>-2092672.5099999988</v>
      </c>
      <c r="AB93" s="119">
        <f>AA93/AA31</f>
        <v>-0.18759360104200476</v>
      </c>
      <c r="AC93" s="107">
        <f>+AC91+AC92</f>
        <v>-2405984.2799999984</v>
      </c>
      <c r="AD93" s="119">
        <f>AC93/AC31</f>
        <v>-0.17808851414790788</v>
      </c>
      <c r="AE93" s="107">
        <f>+AE91+AE92</f>
        <v>-4113489.8900000034</v>
      </c>
      <c r="AF93" s="119">
        <f>AE93/AE31</f>
        <v>-0.25594162650966812</v>
      </c>
      <c r="AG93" s="229">
        <f>+AG91+AG92</f>
        <v>-8612146.6799999997</v>
      </c>
      <c r="AH93" s="119">
        <f>AG93/AG31</f>
        <v>-0.21140647660179179</v>
      </c>
      <c r="AI93" s="273">
        <f t="shared" si="17"/>
        <v>-4.1081532045915137E-2</v>
      </c>
      <c r="AJ93" s="229">
        <f>+AJ91+AJ92</f>
        <v>-33335090.290000003</v>
      </c>
      <c r="AK93" s="119">
        <f>AJ93/AJ31</f>
        <v>-0.1924376500025482</v>
      </c>
    </row>
    <row r="94" spans="1:37" s="66" customFormat="1" x14ac:dyDescent="0.2">
      <c r="A94" s="62"/>
      <c r="B94" s="62" t="s">
        <v>2</v>
      </c>
      <c r="C94" s="107" t="s">
        <v>264</v>
      </c>
      <c r="D94" s="119"/>
      <c r="E94" s="63" t="s">
        <v>264</v>
      </c>
      <c r="F94" s="119"/>
      <c r="G94" s="63" t="s">
        <v>264</v>
      </c>
      <c r="H94" s="119"/>
      <c r="I94" s="230" t="s">
        <v>264</v>
      </c>
      <c r="J94" s="119"/>
      <c r="K94" s="63" t="s">
        <v>264</v>
      </c>
      <c r="L94" s="119"/>
      <c r="M94" s="63" t="s">
        <v>264</v>
      </c>
      <c r="N94" s="119"/>
      <c r="O94" s="63" t="s">
        <v>264</v>
      </c>
      <c r="P94" s="119"/>
      <c r="Q94" s="230" t="s">
        <v>264</v>
      </c>
      <c r="R94" s="119"/>
      <c r="S94" s="63" t="s">
        <v>264</v>
      </c>
      <c r="T94" s="119"/>
      <c r="U94" s="63" t="s">
        <v>264</v>
      </c>
      <c r="V94" s="119"/>
      <c r="W94" s="63" t="s">
        <v>264</v>
      </c>
      <c r="X94" s="119"/>
      <c r="Y94" s="230" t="s">
        <v>264</v>
      </c>
      <c r="Z94" s="119"/>
      <c r="AA94" s="63" t="s">
        <v>264</v>
      </c>
      <c r="AB94" s="119"/>
      <c r="AC94" s="63" t="s">
        <v>264</v>
      </c>
      <c r="AD94" s="119"/>
      <c r="AE94" s="63" t="s">
        <v>264</v>
      </c>
      <c r="AF94" s="119"/>
      <c r="AG94" s="230" t="s">
        <v>264</v>
      </c>
      <c r="AH94" s="119"/>
      <c r="AI94" s="275"/>
      <c r="AJ94" s="230" t="s">
        <v>264</v>
      </c>
      <c r="AK94" s="119"/>
    </row>
    <row r="95" spans="1:37" s="136" customFormat="1" x14ac:dyDescent="0.2">
      <c r="A95" s="651" t="s">
        <v>370</v>
      </c>
      <c r="B95" s="651"/>
      <c r="C95" s="106">
        <f>+C44+C88+C93</f>
        <v>6056939.9099999992</v>
      </c>
      <c r="D95" s="138">
        <f>C95/C31</f>
        <v>0.56175685963473965</v>
      </c>
      <c r="E95" s="103">
        <f>+E44+E88+E93</f>
        <v>7101525.200000002</v>
      </c>
      <c r="F95" s="138">
        <f>E95/E31</f>
        <v>0.55215532586505967</v>
      </c>
      <c r="G95" s="103">
        <f>+G44+G88+G93</f>
        <v>6614188.9299999997</v>
      </c>
      <c r="H95" s="138">
        <f>G95/G31</f>
        <v>0.43744492829669923</v>
      </c>
      <c r="I95" s="234">
        <f>+I44+I88+I93</f>
        <v>19772654.039999999</v>
      </c>
      <c r="J95" s="138">
        <f>I95/I31</f>
        <v>0.51008235766990317</v>
      </c>
      <c r="K95" s="103">
        <f>+K44+K88+K93</f>
        <v>9116267.0300000012</v>
      </c>
      <c r="L95" s="138">
        <f>K95/K31</f>
        <v>0.65159254216169882</v>
      </c>
      <c r="M95" s="103">
        <f>+M44+M88+M93</f>
        <v>6808738.9399999976</v>
      </c>
      <c r="N95" s="138">
        <f>M95/M31</f>
        <v>0.56301470744488968</v>
      </c>
      <c r="O95" s="103">
        <f>+O44+O88+O93</f>
        <v>11615836.140000004</v>
      </c>
      <c r="P95" s="138">
        <f>O95/O31</f>
        <v>0.54725441032065691</v>
      </c>
      <c r="Q95" s="234">
        <f>+Q44+Q88+Q93</f>
        <v>27540842.110000007</v>
      </c>
      <c r="R95" s="138">
        <f>Q95/Q31</f>
        <v>0.58213861156981994</v>
      </c>
      <c r="S95" s="103">
        <f>+S44+S88+S93</f>
        <v>7257026.519999993</v>
      </c>
      <c r="T95" s="138">
        <f>S95/S31</f>
        <v>0.49233482626025021</v>
      </c>
      <c r="U95" s="103">
        <f>+U44+U88+U93</f>
        <v>7522805.4800000032</v>
      </c>
      <c r="V95" s="138">
        <f>U95/U31</f>
        <v>0.65358730485412997</v>
      </c>
      <c r="W95" s="103">
        <f>+W44+W88+W93</f>
        <v>11558420.999999985</v>
      </c>
      <c r="X95" s="138">
        <f>W95/W31</f>
        <v>0.57320471757138902</v>
      </c>
      <c r="Y95" s="234">
        <f>+Y44+Y88+Y93</f>
        <v>26338252.999999978</v>
      </c>
      <c r="Z95" s="138">
        <f>Y95/Y31</f>
        <v>0.56745612774202081</v>
      </c>
      <c r="AA95" s="103">
        <f>+AA44+AA88+AA93</f>
        <v>6264852.9200000344</v>
      </c>
      <c r="AB95" s="138">
        <f>AA95/AA31</f>
        <v>0.56160068699011378</v>
      </c>
      <c r="AC95" s="103">
        <f>+AC44+AC88+AC93</f>
        <v>7697511.3099999884</v>
      </c>
      <c r="AD95" s="138">
        <f>AC95/AC31</f>
        <v>0.56976197360467151</v>
      </c>
      <c r="AE95" s="103">
        <f>+AE44+AE88+AE93</f>
        <v>7489406.1500000088</v>
      </c>
      <c r="AF95" s="138">
        <f>AE95/AE31</f>
        <v>0.46599137055919987</v>
      </c>
      <c r="AG95" s="234">
        <f>+AG44+AG88+AG93</f>
        <v>21451770.380000032</v>
      </c>
      <c r="AH95" s="138">
        <f>AG95/AG31</f>
        <v>0.52658685010999917</v>
      </c>
      <c r="AI95" s="273">
        <f t="shared" si="17"/>
        <v>-0.18552797028716939</v>
      </c>
      <c r="AJ95" s="234">
        <f>+AJ44+AJ88+AJ93</f>
        <v>95103519.530000016</v>
      </c>
      <c r="AK95" s="138">
        <f>AJ95/AJ31</f>
        <v>0.54901599624029851</v>
      </c>
    </row>
    <row r="96" spans="1:37" s="66" customFormat="1" x14ac:dyDescent="0.2">
      <c r="A96" s="62"/>
      <c r="B96" s="62" t="s">
        <v>2</v>
      </c>
      <c r="C96" s="107"/>
      <c r="D96" s="119"/>
      <c r="E96" s="63"/>
      <c r="F96" s="119"/>
      <c r="G96" s="63"/>
      <c r="H96" s="119"/>
      <c r="I96" s="230"/>
      <c r="J96" s="119"/>
      <c r="K96" s="63"/>
      <c r="L96" s="119"/>
      <c r="M96" s="63"/>
      <c r="N96" s="119"/>
      <c r="O96" s="63"/>
      <c r="P96" s="119"/>
      <c r="Q96" s="230"/>
      <c r="R96" s="119"/>
      <c r="S96" s="63"/>
      <c r="T96" s="119"/>
      <c r="U96" s="63"/>
      <c r="V96" s="119"/>
      <c r="W96" s="63"/>
      <c r="X96" s="119"/>
      <c r="Y96" s="230"/>
      <c r="Z96" s="119"/>
      <c r="AA96" s="63"/>
      <c r="AB96" s="119"/>
      <c r="AC96" s="63"/>
      <c r="AD96" s="119"/>
      <c r="AE96" s="63"/>
      <c r="AF96" s="119"/>
      <c r="AG96" s="230"/>
      <c r="AH96" s="119"/>
      <c r="AI96" s="275"/>
      <c r="AJ96" s="230"/>
      <c r="AK96" s="119"/>
    </row>
    <row r="97" spans="1:37" s="286" customFormat="1" x14ac:dyDescent="0.2">
      <c r="A97" s="220" t="s">
        <v>447</v>
      </c>
      <c r="B97" s="220"/>
      <c r="C97" s="221">
        <f>+C31-C95</f>
        <v>4725197.9599999981</v>
      </c>
      <c r="D97" s="222">
        <f>+C97/C31</f>
        <v>0.43824314036526035</v>
      </c>
      <c r="E97" s="223">
        <f>+E31-E95</f>
        <v>5759937.6299999962</v>
      </c>
      <c r="F97" s="222">
        <f>+E97/E31</f>
        <v>0.44784467413494028</v>
      </c>
      <c r="G97" s="223">
        <f>+G31-G95</f>
        <v>8505860.4800000004</v>
      </c>
      <c r="H97" s="222">
        <f>+G97/G31</f>
        <v>0.56255507170330077</v>
      </c>
      <c r="I97" s="221">
        <f>+I31-I95</f>
        <v>18990996.07</v>
      </c>
      <c r="J97" s="222">
        <f>+I97/I31</f>
        <v>0.48991764233009688</v>
      </c>
      <c r="K97" s="223">
        <f>+K31-K95</f>
        <v>4874480.9299999978</v>
      </c>
      <c r="L97" s="222">
        <f>+K97/K31</f>
        <v>0.34840745783830118</v>
      </c>
      <c r="M97" s="223">
        <f>+M31-M95</f>
        <v>5284619.9900000095</v>
      </c>
      <c r="N97" s="222">
        <f>+M97/M31</f>
        <v>0.43698529255511037</v>
      </c>
      <c r="O97" s="223">
        <f>+O31-O95</f>
        <v>9609824.0299999937</v>
      </c>
      <c r="P97" s="222">
        <f>+O97/O31</f>
        <v>0.45274558967934303</v>
      </c>
      <c r="Q97" s="221">
        <f>+Q31-Q95</f>
        <v>19768924.950000003</v>
      </c>
      <c r="R97" s="222">
        <f>+Q97/Q31</f>
        <v>0.41786138843018006</v>
      </c>
      <c r="S97" s="223">
        <f>+S31-S95</f>
        <v>7482996.1900000079</v>
      </c>
      <c r="T97" s="222">
        <f>+S97/S31</f>
        <v>0.50766517373974973</v>
      </c>
      <c r="U97" s="223">
        <f>+U31-U95</f>
        <v>3987218.3899999978</v>
      </c>
      <c r="V97" s="222">
        <f>+U97/U31</f>
        <v>0.34641269514587003</v>
      </c>
      <c r="W97" s="223">
        <f>+W31-W95</f>
        <v>8606139.140000008</v>
      </c>
      <c r="X97" s="222">
        <f>+W97/W31</f>
        <v>0.42679528242861098</v>
      </c>
      <c r="Y97" s="221">
        <f>+Y31-Y95</f>
        <v>20076353.720000021</v>
      </c>
      <c r="Z97" s="222">
        <f>+Y97/Y31</f>
        <v>0.43254387225797919</v>
      </c>
      <c r="AA97" s="223">
        <f>+AA31-AA95</f>
        <v>4890498.3199999956</v>
      </c>
      <c r="AB97" s="222">
        <f>+AA97/AA31</f>
        <v>0.43839931300988622</v>
      </c>
      <c r="AC97" s="223">
        <f>+AC31-AC95</f>
        <v>5812536.1599999918</v>
      </c>
      <c r="AD97" s="222">
        <f>+AC97/AC31</f>
        <v>0.43023802639532843</v>
      </c>
      <c r="AE97" s="223">
        <f>+AE31-AE95</f>
        <v>8582578.4899999909</v>
      </c>
      <c r="AF97" s="222">
        <f>+AE97/AE31</f>
        <v>0.53400862944080008</v>
      </c>
      <c r="AG97" s="221">
        <f>+AG31-AG95</f>
        <v>19285612.969999976</v>
      </c>
      <c r="AH97" s="222">
        <f>+AG97/AG31</f>
        <v>0.47341314989000077</v>
      </c>
      <c r="AI97" s="273">
        <f t="shared" si="17"/>
        <v>-3.9386671555418529E-2</v>
      </c>
      <c r="AJ97" s="221">
        <f>+AJ31-AJ95</f>
        <v>78121887.709999993</v>
      </c>
      <c r="AK97" s="222">
        <f>+AJ97/AJ31</f>
        <v>0.45098400375970155</v>
      </c>
    </row>
    <row r="98" spans="1:37" s="66" customFormat="1" x14ac:dyDescent="0.2">
      <c r="A98" s="62"/>
      <c r="B98" s="62"/>
      <c r="C98" s="107"/>
      <c r="D98" s="119"/>
      <c r="E98" s="63"/>
      <c r="F98" s="119"/>
      <c r="G98" s="63"/>
      <c r="H98" s="119"/>
      <c r="I98" s="230"/>
      <c r="J98" s="119"/>
      <c r="K98" s="63"/>
      <c r="L98" s="119"/>
      <c r="M98" s="63"/>
      <c r="N98" s="119"/>
      <c r="O98" s="63"/>
      <c r="P98" s="119"/>
      <c r="Q98" s="230"/>
      <c r="R98" s="119"/>
      <c r="S98" s="63"/>
      <c r="T98" s="119"/>
      <c r="U98" s="63"/>
      <c r="V98" s="119"/>
      <c r="W98" s="63"/>
      <c r="X98" s="119"/>
      <c r="Y98" s="230"/>
      <c r="Z98" s="119"/>
      <c r="AA98" s="63"/>
      <c r="AB98" s="119"/>
      <c r="AC98" s="63"/>
      <c r="AD98" s="119"/>
      <c r="AE98" s="63"/>
      <c r="AF98" s="119"/>
      <c r="AG98" s="230"/>
      <c r="AH98" s="119"/>
      <c r="AI98" s="275"/>
      <c r="AJ98" s="230"/>
      <c r="AK98" s="119"/>
    </row>
    <row r="99" spans="1:37" s="59" customFormat="1" x14ac:dyDescent="0.2">
      <c r="A99" s="650" t="s">
        <v>451</v>
      </c>
      <c r="B99" s="650"/>
      <c r="C99" s="134"/>
      <c r="D99" s="137"/>
      <c r="E99" s="72"/>
      <c r="F99" s="137"/>
      <c r="G99" s="72"/>
      <c r="H99" s="137"/>
      <c r="I99" s="233"/>
      <c r="J99" s="137"/>
      <c r="K99" s="72"/>
      <c r="L99" s="137"/>
      <c r="M99" s="72"/>
      <c r="N99" s="137"/>
      <c r="O99" s="72"/>
      <c r="P99" s="137"/>
      <c r="Q99" s="233"/>
      <c r="R99" s="137"/>
      <c r="S99" s="72"/>
      <c r="T99" s="137"/>
      <c r="U99" s="72"/>
      <c r="V99" s="137"/>
      <c r="W99" s="72"/>
      <c r="X99" s="137"/>
      <c r="Y99" s="233"/>
      <c r="Z99" s="137"/>
      <c r="AA99" s="72"/>
      <c r="AB99" s="137"/>
      <c r="AC99" s="72"/>
      <c r="AD99" s="137"/>
      <c r="AE99" s="72"/>
      <c r="AF99" s="137"/>
      <c r="AG99" s="233"/>
      <c r="AH99" s="137"/>
      <c r="AI99" s="276"/>
      <c r="AJ99" s="233"/>
      <c r="AK99" s="137"/>
    </row>
    <row r="100" spans="1:37" s="66" customFormat="1" hidden="1" outlineLevel="1" x14ac:dyDescent="0.2">
      <c r="A100" s="62">
        <v>6301</v>
      </c>
      <c r="B100" s="62" t="s">
        <v>165</v>
      </c>
      <c r="C100" s="107"/>
      <c r="D100" s="119"/>
      <c r="E100" s="107"/>
      <c r="F100" s="119"/>
      <c r="G100" s="107"/>
      <c r="H100" s="119"/>
      <c r="I100" s="229"/>
      <c r="J100" s="119"/>
      <c r="K100" s="107"/>
      <c r="L100" s="119"/>
      <c r="M100" s="107"/>
      <c r="N100" s="119"/>
      <c r="O100" s="107"/>
      <c r="P100" s="119"/>
      <c r="Q100" s="229"/>
      <c r="R100" s="119"/>
      <c r="S100" s="107"/>
      <c r="T100" s="119"/>
      <c r="U100" s="107"/>
      <c r="V100" s="119"/>
      <c r="W100" s="107"/>
      <c r="X100" s="119"/>
      <c r="Y100" s="229"/>
      <c r="Z100" s="119"/>
      <c r="AA100" s="107"/>
      <c r="AB100" s="119"/>
      <c r="AC100" s="107"/>
      <c r="AD100" s="119"/>
      <c r="AE100" s="107"/>
      <c r="AF100" s="119"/>
      <c r="AG100" s="229"/>
      <c r="AH100" s="119"/>
      <c r="AI100" s="274"/>
      <c r="AJ100" s="229"/>
      <c r="AK100" s="119"/>
    </row>
    <row r="101" spans="1:37" s="66" customFormat="1" hidden="1" outlineLevel="1" x14ac:dyDescent="0.2">
      <c r="A101" s="62">
        <v>63010112</v>
      </c>
      <c r="B101" s="62" t="s">
        <v>269</v>
      </c>
      <c r="C101" s="107">
        <v>342781.93</v>
      </c>
      <c r="D101" s="119">
        <f>C101/C140</f>
        <v>0.17817454012327916</v>
      </c>
      <c r="E101" s="107">
        <v>333419.26999999996</v>
      </c>
      <c r="F101" s="119">
        <f>E101/E140</f>
        <v>0.28484084826614026</v>
      </c>
      <c r="G101" s="107">
        <v>258986.92000000004</v>
      </c>
      <c r="H101" s="119">
        <f>G101/G140</f>
        <v>0.15090665920276058</v>
      </c>
      <c r="I101" s="229">
        <f t="shared" ref="I101:I138" si="19">+C101+E101+G101</f>
        <v>935188.12</v>
      </c>
      <c r="J101" s="119">
        <f>I101/I140</f>
        <v>0.19440128818681623</v>
      </c>
      <c r="K101" s="107">
        <v>293123.06999999995</v>
      </c>
      <c r="L101" s="119">
        <f>K101/K140</f>
        <v>0.2123567037412096</v>
      </c>
      <c r="M101" s="107">
        <v>349880.10000000009</v>
      </c>
      <c r="N101" s="119">
        <f>M101/M140</f>
        <v>0.2341408092765454</v>
      </c>
      <c r="O101" s="107">
        <v>313785.92999999993</v>
      </c>
      <c r="P101" s="119">
        <f>O101/O140</f>
        <v>0.1650987466575409</v>
      </c>
      <c r="Q101" s="229">
        <f t="shared" ref="Q101:Q138" si="20">+K101+M101+O101</f>
        <v>956789.1</v>
      </c>
      <c r="R101" s="119">
        <f>Q101/Q140</f>
        <v>0.20036444798444281</v>
      </c>
      <c r="S101" s="107">
        <v>404237.13000000012</v>
      </c>
      <c r="T101" s="119">
        <f>S101/S140</f>
        <v>0.27170993341775568</v>
      </c>
      <c r="U101" s="107">
        <v>328663.41999999993</v>
      </c>
      <c r="V101" s="119">
        <f>U101/U140</f>
        <v>0.17320434141075713</v>
      </c>
      <c r="W101" s="107">
        <v>477706.25999999978</v>
      </c>
      <c r="X101" s="119">
        <f>W101/W140</f>
        <v>0.26044832104329035</v>
      </c>
      <c r="Y101" s="229">
        <f t="shared" ref="Y101:Y138" si="21">+S101+U101+W101</f>
        <v>1210606.8099999998</v>
      </c>
      <c r="Z101" s="119">
        <f>Y101/Y140</f>
        <v>0.23194061536706331</v>
      </c>
      <c r="AA101" s="107">
        <v>407359.60000000009</v>
      </c>
      <c r="AB101" s="119">
        <f>AA101/AA140</f>
        <v>0.26033832755096781</v>
      </c>
      <c r="AC101" s="107">
        <v>348102.70000000019</v>
      </c>
      <c r="AD101" s="119">
        <f>AC101/AC140</f>
        <v>0.21105543572666088</v>
      </c>
      <c r="AE101" s="107">
        <v>256680.10000000009</v>
      </c>
      <c r="AF101" s="119">
        <f>AE101/AE140</f>
        <v>0.17994056860047838</v>
      </c>
      <c r="AG101" s="229">
        <f t="shared" ref="AG101:AG138" si="22">+AA101+AC101+AE101</f>
        <v>1012142.4000000004</v>
      </c>
      <c r="AH101" s="119">
        <f>AG101/AG140</f>
        <v>0.21810849091083506</v>
      </c>
      <c r="AI101" s="273">
        <f t="shared" ref="AI101:AI140" si="23">+IFERROR(AG101/Y101-1,"0")</f>
        <v>-0.16393795934453692</v>
      </c>
      <c r="AJ101" s="229">
        <f t="shared" ref="AJ101:AJ138" si="24">+I101+Q101+Y101+AG101</f>
        <v>4114726.43</v>
      </c>
      <c r="AK101" s="119">
        <f>AJ101/AJ140</f>
        <v>0.21159904448971001</v>
      </c>
    </row>
    <row r="102" spans="1:37" s="66" customFormat="1" hidden="1" outlineLevel="1" x14ac:dyDescent="0.2">
      <c r="A102" s="62">
        <v>63010212</v>
      </c>
      <c r="B102" s="62" t="s">
        <v>270</v>
      </c>
      <c r="C102" s="107">
        <v>3466.61</v>
      </c>
      <c r="D102" s="119">
        <f>C102/C140</f>
        <v>1.8019084102150916E-3</v>
      </c>
      <c r="E102" s="107">
        <v>3014.02</v>
      </c>
      <c r="F102" s="119">
        <f>E102/E140</f>
        <v>2.5748842095752655E-3</v>
      </c>
      <c r="G102" s="107">
        <v>2561.4299999999994</v>
      </c>
      <c r="H102" s="119">
        <f>G102/G140</f>
        <v>1.4924956213299377E-3</v>
      </c>
      <c r="I102" s="229">
        <f t="shared" si="19"/>
        <v>9042.06</v>
      </c>
      <c r="J102" s="119">
        <f>I102/I140</f>
        <v>1.8796091120816243E-3</v>
      </c>
      <c r="K102" s="107">
        <v>3014.0200000000004</v>
      </c>
      <c r="L102" s="119">
        <f>K102/K140</f>
        <v>2.183544789600084E-3</v>
      </c>
      <c r="M102" s="107">
        <v>3014.0200000000004</v>
      </c>
      <c r="N102" s="119">
        <f>M102/M140</f>
        <v>2.0169911977723034E-3</v>
      </c>
      <c r="O102" s="107">
        <v>3014.0199999999986</v>
      </c>
      <c r="P102" s="119">
        <f>O102/O140</f>
        <v>1.5858293085377071E-3</v>
      </c>
      <c r="Q102" s="229">
        <f t="shared" si="20"/>
        <v>9042.06</v>
      </c>
      <c r="R102" s="119">
        <f>Q102/Q140</f>
        <v>1.8935284280958164E-3</v>
      </c>
      <c r="S102" s="107">
        <v>2164.7000000000007</v>
      </c>
      <c r="T102" s="119">
        <f>S102/S140</f>
        <v>1.4550135284935742E-3</v>
      </c>
      <c r="U102" s="107">
        <v>2164.7000000000007</v>
      </c>
      <c r="V102" s="119">
        <f>U102/U140</f>
        <v>1.1407884633217356E-3</v>
      </c>
      <c r="W102" s="107">
        <v>2164.7000000000007</v>
      </c>
      <c r="X102" s="119">
        <f>W102/W140</f>
        <v>1.1802074366000794E-3</v>
      </c>
      <c r="Y102" s="229">
        <f t="shared" si="21"/>
        <v>6494.1000000000022</v>
      </c>
      <c r="Z102" s="119">
        <f>Y102/Y140</f>
        <v>1.2442070685652648E-3</v>
      </c>
      <c r="AA102" s="107">
        <v>2164.6999999999971</v>
      </c>
      <c r="AB102" s="119">
        <f>AA102/AA140</f>
        <v>1.3834321755264369E-3</v>
      </c>
      <c r="AC102" s="107">
        <v>2164.7000000000007</v>
      </c>
      <c r="AD102" s="119">
        <f>AC102/AC140</f>
        <v>1.3124623903161415E-3</v>
      </c>
      <c r="AE102" s="107">
        <v>33111.199999999997</v>
      </c>
      <c r="AF102" s="119">
        <f>AE102/AE140</f>
        <v>2.3211959770329516E-2</v>
      </c>
      <c r="AG102" s="229">
        <f t="shared" si="22"/>
        <v>37440.599999999991</v>
      </c>
      <c r="AH102" s="119">
        <f>AG102/AG140</f>
        <v>8.0681461075004911E-3</v>
      </c>
      <c r="AI102" s="273">
        <f t="shared" si="23"/>
        <v>4.7653254492539352</v>
      </c>
      <c r="AJ102" s="229">
        <f t="shared" si="24"/>
        <v>62018.819999999992</v>
      </c>
      <c r="AK102" s="119">
        <f>AJ102/AJ140</f>
        <v>3.1893063307198567E-3</v>
      </c>
    </row>
    <row r="103" spans="1:37" s="66" customFormat="1" hidden="1" outlineLevel="1" x14ac:dyDescent="0.2">
      <c r="A103" s="62">
        <v>63010213</v>
      </c>
      <c r="B103" s="62" t="s">
        <v>158</v>
      </c>
      <c r="C103" s="107">
        <v>28653</v>
      </c>
      <c r="D103" s="119">
        <f>C103/C140</f>
        <v>1.4893536243734662E-2</v>
      </c>
      <c r="E103" s="107">
        <v>24218</v>
      </c>
      <c r="F103" s="119">
        <f>E103/E140</f>
        <v>2.0689493031729643E-2</v>
      </c>
      <c r="G103" s="107">
        <v>24663</v>
      </c>
      <c r="H103" s="119">
        <f>G103/G140</f>
        <v>1.437065213918017E-2</v>
      </c>
      <c r="I103" s="229">
        <f t="shared" si="19"/>
        <v>77534</v>
      </c>
      <c r="J103" s="119">
        <f>I103/I140</f>
        <v>1.6117302129839514E-2</v>
      </c>
      <c r="K103" s="107">
        <v>32206</v>
      </c>
      <c r="L103" s="119">
        <f>K103/K140</f>
        <v>2.333204275149478E-2</v>
      </c>
      <c r="M103" s="107">
        <v>24903</v>
      </c>
      <c r="N103" s="119">
        <f>M103/M140</f>
        <v>1.6665162075276099E-2</v>
      </c>
      <c r="O103" s="107">
        <v>29660</v>
      </c>
      <c r="P103" s="119">
        <f>O103/O140</f>
        <v>1.5605635427511566E-2</v>
      </c>
      <c r="Q103" s="229">
        <f t="shared" si="20"/>
        <v>86769</v>
      </c>
      <c r="R103" s="119">
        <f>Q103/Q140</f>
        <v>1.8170590349704151E-2</v>
      </c>
      <c r="S103" s="107">
        <v>19473</v>
      </c>
      <c r="T103" s="119">
        <f>S103/S140</f>
        <v>1.3088870716660674E-2</v>
      </c>
      <c r="U103" s="107">
        <v>25945.630000000005</v>
      </c>
      <c r="V103" s="119">
        <f>U103/U140</f>
        <v>1.3673245889783487E-2</v>
      </c>
      <c r="W103" s="107">
        <v>17954.78</v>
      </c>
      <c r="X103" s="119">
        <f>W103/W140</f>
        <v>9.7890538543531965E-3</v>
      </c>
      <c r="Y103" s="229">
        <f t="shared" si="21"/>
        <v>63373.41</v>
      </c>
      <c r="Z103" s="119">
        <f>Y103/Y140</f>
        <v>1.214173552625993E-2</v>
      </c>
      <c r="AA103" s="107">
        <v>25799.589999999997</v>
      </c>
      <c r="AB103" s="119">
        <f>AA103/AA140</f>
        <v>1.6488189089199499E-2</v>
      </c>
      <c r="AC103" s="107">
        <v>22460.400000000023</v>
      </c>
      <c r="AD103" s="119">
        <f>AC103/AC140</f>
        <v>1.3617790119396076E-2</v>
      </c>
      <c r="AE103" s="107">
        <v>25675.130000000005</v>
      </c>
      <c r="AF103" s="119">
        <f>AE103/AE140</f>
        <v>1.7999048196923717E-2</v>
      </c>
      <c r="AG103" s="229">
        <f t="shared" si="22"/>
        <v>73935.120000000024</v>
      </c>
      <c r="AH103" s="119">
        <f>AG103/AG140</f>
        <v>1.5932419636319452E-2</v>
      </c>
      <c r="AI103" s="273">
        <f t="shared" si="23"/>
        <v>0.16665838243515729</v>
      </c>
      <c r="AJ103" s="229">
        <f t="shared" si="24"/>
        <v>301611.53000000003</v>
      </c>
      <c r="AK103" s="119">
        <f>AJ103/AJ140</f>
        <v>1.5510317062580395E-2</v>
      </c>
    </row>
    <row r="104" spans="1:37" s="66" customFormat="1" hidden="1" outlineLevel="1" x14ac:dyDescent="0.2">
      <c r="A104" s="62">
        <v>63010214</v>
      </c>
      <c r="B104" s="62" t="s">
        <v>159</v>
      </c>
      <c r="C104" s="107">
        <v>18117.400000000001</v>
      </c>
      <c r="D104" s="119">
        <f>C104/C140</f>
        <v>9.4172391561874284E-3</v>
      </c>
      <c r="E104" s="107">
        <v>17055.879999999997</v>
      </c>
      <c r="F104" s="119">
        <f>E104/E140</f>
        <v>1.4570877463457633E-2</v>
      </c>
      <c r="G104" s="107">
        <v>18876.300000000003</v>
      </c>
      <c r="H104" s="119">
        <f>G104/G140</f>
        <v>1.0998854193520929E-2</v>
      </c>
      <c r="I104" s="229">
        <f t="shared" si="19"/>
        <v>54049.58</v>
      </c>
      <c r="J104" s="119">
        <f>I104/I140</f>
        <v>1.1235501984302773E-2</v>
      </c>
      <c r="K104" s="107">
        <v>18474.539999999994</v>
      </c>
      <c r="L104" s="119">
        <f>K104/K140</f>
        <v>1.3384113428994605E-2</v>
      </c>
      <c r="M104" s="107">
        <v>18634.23000000001</v>
      </c>
      <c r="N104" s="119">
        <f>M104/M140</f>
        <v>1.2470082443800838E-2</v>
      </c>
      <c r="O104" s="107">
        <v>17004.61</v>
      </c>
      <c r="P104" s="119">
        <f>O104/O140</f>
        <v>8.9469907028664024E-3</v>
      </c>
      <c r="Q104" s="229">
        <f t="shared" si="20"/>
        <v>54113.380000000005</v>
      </c>
      <c r="R104" s="119">
        <f>Q104/Q140</f>
        <v>1.1332066295772381E-2</v>
      </c>
      <c r="S104" s="107">
        <v>14068.579999999987</v>
      </c>
      <c r="T104" s="119">
        <f>S104/S140</f>
        <v>9.45626379022225E-3</v>
      </c>
      <c r="U104" s="107">
        <v>13799.220000000016</v>
      </c>
      <c r="V104" s="119">
        <f>U104/U140</f>
        <v>7.2721351590698813E-3</v>
      </c>
      <c r="W104" s="107">
        <v>13274.859999999986</v>
      </c>
      <c r="X104" s="119">
        <f>W104/W140</f>
        <v>7.2375333726728457E-3</v>
      </c>
      <c r="Y104" s="229">
        <f t="shared" si="21"/>
        <v>41142.659999999989</v>
      </c>
      <c r="Z104" s="119">
        <f>Y104/Y140</f>
        <v>7.8825377483527116E-3</v>
      </c>
      <c r="AA104" s="107">
        <v>14267.970000000001</v>
      </c>
      <c r="AB104" s="119">
        <f>AA104/AA140</f>
        <v>9.1184777463140226E-3</v>
      </c>
      <c r="AC104" s="107">
        <v>14443.100000000006</v>
      </c>
      <c r="AD104" s="119">
        <f>AC104/AC140</f>
        <v>8.7568834247586571E-3</v>
      </c>
      <c r="AE104" s="107">
        <v>14303</v>
      </c>
      <c r="AF104" s="119">
        <f>AE104/AE140</f>
        <v>1.0026838670752589E-2</v>
      </c>
      <c r="AG104" s="229">
        <f t="shared" si="22"/>
        <v>43014.070000000007</v>
      </c>
      <c r="AH104" s="119">
        <f>AG104/AG140</f>
        <v>9.2691837587606449E-3</v>
      </c>
      <c r="AI104" s="273">
        <f t="shared" si="23"/>
        <v>4.5485877675386588E-2</v>
      </c>
      <c r="AJ104" s="229">
        <f t="shared" si="24"/>
        <v>192319.69</v>
      </c>
      <c r="AK104" s="119">
        <f>AJ104/AJ140</f>
        <v>9.8900044347680332E-3</v>
      </c>
    </row>
    <row r="105" spans="1:37" s="66" customFormat="1" hidden="1" outlineLevel="1" x14ac:dyDescent="0.2">
      <c r="A105" s="62">
        <v>63010215</v>
      </c>
      <c r="B105" s="62" t="s">
        <v>160</v>
      </c>
      <c r="C105" s="107">
        <v>14435.99</v>
      </c>
      <c r="D105" s="119">
        <f>C105/C140</f>
        <v>7.5036799036467781E-3</v>
      </c>
      <c r="E105" s="107">
        <v>15352.789999999999</v>
      </c>
      <c r="F105" s="119">
        <f>E105/E140</f>
        <v>1.3115923764250085E-2</v>
      </c>
      <c r="G105" s="107">
        <v>15345.32</v>
      </c>
      <c r="H105" s="119">
        <f>G105/G140</f>
        <v>8.9414205767507707E-3</v>
      </c>
      <c r="I105" s="229">
        <f t="shared" si="19"/>
        <v>45134.1</v>
      </c>
      <c r="J105" s="119">
        <f>I105/I140</f>
        <v>9.3822055621841979E-3</v>
      </c>
      <c r="K105" s="107">
        <v>15344.150000000001</v>
      </c>
      <c r="L105" s="119">
        <f>K105/K140</f>
        <v>1.1116262925707903E-2</v>
      </c>
      <c r="M105" s="107">
        <v>14869.89</v>
      </c>
      <c r="N105" s="119">
        <f>M105/M140</f>
        <v>9.9509748581105596E-3</v>
      </c>
      <c r="O105" s="107">
        <v>14120.830000000002</v>
      </c>
      <c r="P105" s="119">
        <f>O105/O140</f>
        <v>7.4296872863745169E-3</v>
      </c>
      <c r="Q105" s="229">
        <f t="shared" si="20"/>
        <v>44334.87</v>
      </c>
      <c r="R105" s="119">
        <f>Q105/Q140</f>
        <v>9.284315377351221E-3</v>
      </c>
      <c r="S105" s="107">
        <v>2523.5699999999924</v>
      </c>
      <c r="T105" s="119">
        <f>S105/S140</f>
        <v>1.6962297270293884E-3</v>
      </c>
      <c r="U105" s="107">
        <v>23481.960000000006</v>
      </c>
      <c r="V105" s="119">
        <f>U105/U140</f>
        <v>1.2374901401664183E-2</v>
      </c>
      <c r="W105" s="107">
        <v>12313.789999999994</v>
      </c>
      <c r="X105" s="119">
        <f>W105/W140</f>
        <v>6.7135522385234347E-3</v>
      </c>
      <c r="Y105" s="229">
        <f t="shared" si="21"/>
        <v>38319.319999999992</v>
      </c>
      <c r="Z105" s="119">
        <f>Y105/Y140</f>
        <v>7.3416129727928887E-3</v>
      </c>
      <c r="AA105" s="107">
        <v>14730.37000000001</v>
      </c>
      <c r="AB105" s="119">
        <f>AA105/AA140</f>
        <v>9.4139916918785059E-3</v>
      </c>
      <c r="AC105" s="107">
        <v>25161.799999999988</v>
      </c>
      <c r="AD105" s="119">
        <f>AC105/AC140</f>
        <v>1.525565490490907E-2</v>
      </c>
      <c r="AE105" s="107">
        <v>-911.60000000000582</v>
      </c>
      <c r="AF105" s="119">
        <f>AE105/AE140</f>
        <v>-6.3905936742348582E-4</v>
      </c>
      <c r="AG105" s="229">
        <f t="shared" si="22"/>
        <v>38980.569999999992</v>
      </c>
      <c r="AH105" s="119">
        <f>AG105/AG140</f>
        <v>8.399997171884277E-3</v>
      </c>
      <c r="AI105" s="273">
        <f t="shared" si="23"/>
        <v>1.7256308306097257E-2</v>
      </c>
      <c r="AJ105" s="229">
        <f t="shared" si="24"/>
        <v>166768.85999999999</v>
      </c>
      <c r="AK105" s="119">
        <f>AJ105/AJ140</f>
        <v>8.5760577348123288E-3</v>
      </c>
    </row>
    <row r="106" spans="1:37" s="66" customFormat="1" hidden="1" outlineLevel="1" x14ac:dyDescent="0.2">
      <c r="A106" s="62">
        <v>63010216</v>
      </c>
      <c r="B106" s="62" t="s">
        <v>84</v>
      </c>
      <c r="C106" s="107">
        <v>24906.78</v>
      </c>
      <c r="D106" s="119">
        <f>C106/C140</f>
        <v>1.2946289416281911E-2</v>
      </c>
      <c r="E106" s="107">
        <v>25880.61</v>
      </c>
      <c r="F106" s="119">
        <f>E106/E140</f>
        <v>2.2109864573949648E-2</v>
      </c>
      <c r="G106" s="107">
        <v>26087.089999999997</v>
      </c>
      <c r="H106" s="119">
        <f>G106/G140</f>
        <v>1.5200441783784843E-2</v>
      </c>
      <c r="I106" s="229">
        <f t="shared" si="19"/>
        <v>76874.48</v>
      </c>
      <c r="J106" s="119">
        <f>I106/I140</f>
        <v>1.5980205074345513E-2</v>
      </c>
      <c r="K106" s="107">
        <v>26096.059999999998</v>
      </c>
      <c r="L106" s="119">
        <f>K106/K140</f>
        <v>1.8905619684703872E-2</v>
      </c>
      <c r="M106" s="107">
        <v>24268.310000000012</v>
      </c>
      <c r="N106" s="119">
        <f>M106/M140</f>
        <v>1.6240425629162905E-2</v>
      </c>
      <c r="O106" s="107">
        <v>24448.619999999995</v>
      </c>
      <c r="P106" s="119">
        <f>O106/O140</f>
        <v>1.2863663197092642E-2</v>
      </c>
      <c r="Q106" s="229">
        <f t="shared" si="20"/>
        <v>74812.990000000005</v>
      </c>
      <c r="R106" s="119">
        <f>Q106/Q140</f>
        <v>1.5666841776746456E-2</v>
      </c>
      <c r="S106" s="107">
        <v>27097.619999999995</v>
      </c>
      <c r="T106" s="119">
        <f>S106/S140</f>
        <v>1.8213795763837033E-2</v>
      </c>
      <c r="U106" s="107">
        <v>27117.149999999994</v>
      </c>
      <c r="V106" s="119">
        <f>U106/U140</f>
        <v>1.429063236391416E-2</v>
      </c>
      <c r="W106" s="107">
        <v>27396.830000000016</v>
      </c>
      <c r="X106" s="119">
        <f>W106/W140</f>
        <v>1.493691620329291E-2</v>
      </c>
      <c r="Y106" s="229">
        <f t="shared" si="21"/>
        <v>81611.600000000006</v>
      </c>
      <c r="Z106" s="119">
        <f>Y106/Y140</f>
        <v>1.5635997227779204E-2</v>
      </c>
      <c r="AA106" s="107">
        <v>27396.829999999987</v>
      </c>
      <c r="AB106" s="119">
        <f>AA106/AA140</f>
        <v>1.7508964812411876E-2</v>
      </c>
      <c r="AC106" s="107">
        <v>26927.829999999987</v>
      </c>
      <c r="AD106" s="119">
        <f>AC106/AC140</f>
        <v>1.6326402793840566E-2</v>
      </c>
      <c r="AE106" s="107">
        <v>26459.830000000016</v>
      </c>
      <c r="AF106" s="119">
        <f>AE106/AE140</f>
        <v>1.8549146798961032E-2</v>
      </c>
      <c r="AG106" s="229">
        <f t="shared" si="22"/>
        <v>80784.489999999991</v>
      </c>
      <c r="AH106" s="119">
        <f>AG106/AG140</f>
        <v>1.7408403405391806E-2</v>
      </c>
      <c r="AI106" s="273">
        <f t="shared" si="23"/>
        <v>-1.013471124202947E-2</v>
      </c>
      <c r="AJ106" s="229">
        <f t="shared" si="24"/>
        <v>314083.56</v>
      </c>
      <c r="AK106" s="119">
        <f>AJ106/AJ140</f>
        <v>1.6151688895129416E-2</v>
      </c>
    </row>
    <row r="107" spans="1:37" s="66" customFormat="1" hidden="1" outlineLevel="1" x14ac:dyDescent="0.2">
      <c r="A107" s="62">
        <v>63010218</v>
      </c>
      <c r="B107" s="62" t="s">
        <v>124</v>
      </c>
      <c r="C107" s="107">
        <v>2093.59</v>
      </c>
      <c r="D107" s="119">
        <f>C107/C140</f>
        <v>1.0882266619383818E-3</v>
      </c>
      <c r="E107" s="107">
        <v>2424.83</v>
      </c>
      <c r="F107" s="119">
        <f>E107/E140</f>
        <v>2.0715378391332477E-3</v>
      </c>
      <c r="G107" s="107">
        <v>2756.0699999999997</v>
      </c>
      <c r="H107" s="119">
        <f>G107/G140</f>
        <v>1.6059085772708221E-3</v>
      </c>
      <c r="I107" s="229">
        <f t="shared" si="19"/>
        <v>7274.49</v>
      </c>
      <c r="J107" s="119">
        <f>I107/I140</f>
        <v>1.5121772792645323E-3</v>
      </c>
      <c r="K107" s="107">
        <v>2424.83</v>
      </c>
      <c r="L107" s="119">
        <f>K107/K140</f>
        <v>1.756698665624638E-3</v>
      </c>
      <c r="M107" s="107">
        <v>2424.83</v>
      </c>
      <c r="N107" s="119">
        <f>M107/M140</f>
        <v>1.6227034877320699E-3</v>
      </c>
      <c r="O107" s="107">
        <v>2424.83</v>
      </c>
      <c r="P107" s="119">
        <f>O107/O140</f>
        <v>1.2758264650604475E-3</v>
      </c>
      <c r="Q107" s="229">
        <f t="shared" si="20"/>
        <v>7274.49</v>
      </c>
      <c r="R107" s="119">
        <f>Q107/Q140</f>
        <v>1.5233756041099855E-3</v>
      </c>
      <c r="S107" s="107">
        <v>1741.5400000000009</v>
      </c>
      <c r="T107" s="119">
        <f>S107/S140</f>
        <v>1.1705844968876518E-3</v>
      </c>
      <c r="U107" s="107">
        <v>1741.5400000000009</v>
      </c>
      <c r="V107" s="119">
        <f>U107/U140</f>
        <v>9.177847925409228E-4</v>
      </c>
      <c r="W107" s="107">
        <v>1741.5399999999972</v>
      </c>
      <c r="X107" s="119">
        <f>W107/W140</f>
        <v>9.4949806399801284E-4</v>
      </c>
      <c r="Y107" s="229">
        <f t="shared" si="21"/>
        <v>5224.619999999999</v>
      </c>
      <c r="Z107" s="119">
        <f>Y107/Y140</f>
        <v>1.0009869165192174E-3</v>
      </c>
      <c r="AA107" s="107">
        <v>1741.5400000000009</v>
      </c>
      <c r="AB107" s="119">
        <f>AA107/AA140</f>
        <v>1.1129960137507809E-3</v>
      </c>
      <c r="AC107" s="107">
        <v>1741.5400000000009</v>
      </c>
      <c r="AD107" s="119">
        <f>AC107/AC140</f>
        <v>1.0558995478501287E-3</v>
      </c>
      <c r="AE107" s="107">
        <v>41049.78</v>
      </c>
      <c r="AF107" s="119">
        <f>AE107/AE140</f>
        <v>2.8777146160238142E-2</v>
      </c>
      <c r="AG107" s="229">
        <f t="shared" si="22"/>
        <v>44532.86</v>
      </c>
      <c r="AH107" s="119">
        <f>AG107/AG140</f>
        <v>9.5964707046592313E-3</v>
      </c>
      <c r="AI107" s="273">
        <f t="shared" si="23"/>
        <v>7.5236553089028497</v>
      </c>
      <c r="AJ107" s="229">
        <f t="shared" si="24"/>
        <v>64306.46</v>
      </c>
      <c r="AK107" s="119">
        <f>AJ107/AJ140</f>
        <v>3.3069477939790416E-3</v>
      </c>
    </row>
    <row r="108" spans="1:37" s="66" customFormat="1" hidden="1" outlineLevel="1" x14ac:dyDescent="0.2">
      <c r="A108" s="62">
        <v>63010219</v>
      </c>
      <c r="B108" s="62" t="s">
        <v>161</v>
      </c>
      <c r="C108" s="107">
        <v>15932.19</v>
      </c>
      <c r="D108" s="119">
        <f>C108/C140</f>
        <v>8.2813893556369991E-3</v>
      </c>
      <c r="E108" s="107">
        <v>23409.35</v>
      </c>
      <c r="F108" s="119">
        <f>E108/E140</f>
        <v>1.9998661479160969E-2</v>
      </c>
      <c r="G108" s="107">
        <v>30886.499999999993</v>
      </c>
      <c r="H108" s="119">
        <f>G108/G140</f>
        <v>1.7996964979799222E-2</v>
      </c>
      <c r="I108" s="229">
        <f t="shared" si="19"/>
        <v>70228.039999999994</v>
      </c>
      <c r="J108" s="119">
        <f>I108/I140</f>
        <v>1.4598583056032895E-2</v>
      </c>
      <c r="K108" s="107">
        <v>23409.350000000006</v>
      </c>
      <c r="L108" s="119">
        <f>K108/K140</f>
        <v>1.6959198751310453E-2</v>
      </c>
      <c r="M108" s="107">
        <v>23409.350000000006</v>
      </c>
      <c r="N108" s="119">
        <f>M108/M140</f>
        <v>1.5665607028344561E-2</v>
      </c>
      <c r="O108" s="107">
        <v>23409.349999999991</v>
      </c>
      <c r="P108" s="119">
        <f>O108/O140</f>
        <v>1.2316850360587247E-2</v>
      </c>
      <c r="Q108" s="229">
        <f t="shared" si="20"/>
        <v>70228.05</v>
      </c>
      <c r="R108" s="119">
        <f>Q108/Q140</f>
        <v>1.4706693953007877E-2</v>
      </c>
      <c r="S108" s="107">
        <v>16812.800000000017</v>
      </c>
      <c r="T108" s="119">
        <f>S108/S140</f>
        <v>1.1300804477228615E-2</v>
      </c>
      <c r="U108" s="107">
        <v>16812.799999999988</v>
      </c>
      <c r="V108" s="119">
        <f>U108/U140</f>
        <v>8.8602800739759121E-3</v>
      </c>
      <c r="W108" s="107">
        <v>16812.799999999988</v>
      </c>
      <c r="X108" s="119">
        <f>W108/W140</f>
        <v>9.166439502041759E-3</v>
      </c>
      <c r="Y108" s="229">
        <f t="shared" si="21"/>
        <v>50438.399999999994</v>
      </c>
      <c r="Z108" s="119">
        <f>Y108/Y140</f>
        <v>9.6635120812925916E-3</v>
      </c>
      <c r="AA108" s="107">
        <v>16812.800000000017</v>
      </c>
      <c r="AB108" s="119">
        <f>AA108/AA140</f>
        <v>1.0744846159140266E-2</v>
      </c>
      <c r="AC108" s="107">
        <v>16812.799999999988</v>
      </c>
      <c r="AD108" s="119">
        <f>AC108/AC140</f>
        <v>1.0193637767777153E-2</v>
      </c>
      <c r="AE108" s="107">
        <v>16812.800000000017</v>
      </c>
      <c r="AF108" s="119">
        <f>AE108/AE140</f>
        <v>1.1786284919501453E-2</v>
      </c>
      <c r="AG108" s="229">
        <f t="shared" si="22"/>
        <v>50438.400000000023</v>
      </c>
      <c r="AH108" s="119">
        <f>AG108/AG140</f>
        <v>1.0869066751829647E-2</v>
      </c>
      <c r="AI108" s="273">
        <f t="shared" si="23"/>
        <v>6.6613381477509392E-16</v>
      </c>
      <c r="AJ108" s="229">
        <f t="shared" si="24"/>
        <v>241332.89</v>
      </c>
      <c r="AK108" s="119">
        <f>AJ108/AJ140</f>
        <v>1.2410499166026037E-2</v>
      </c>
    </row>
    <row r="109" spans="1:37" s="66" customFormat="1" hidden="1" outlineLevel="1" x14ac:dyDescent="0.2">
      <c r="A109" s="62">
        <v>63010231</v>
      </c>
      <c r="B109" s="62" t="s">
        <v>271</v>
      </c>
      <c r="C109" s="107">
        <v>15738.9</v>
      </c>
      <c r="D109" s="119">
        <f>C109/C140</f>
        <v>8.1809191912370592E-3</v>
      </c>
      <c r="E109" s="107">
        <v>5646.1200000000008</v>
      </c>
      <c r="F109" s="119">
        <f>E109/E140</f>
        <v>4.8234932858332398E-3</v>
      </c>
      <c r="G109" s="107">
        <v>5187.119999999999</v>
      </c>
      <c r="H109" s="119">
        <f>G109/G140</f>
        <v>3.0224342993222329E-3</v>
      </c>
      <c r="I109" s="229">
        <f t="shared" si="19"/>
        <v>26572.14</v>
      </c>
      <c r="J109" s="119">
        <f>I109/I140</f>
        <v>5.5236568294734405E-3</v>
      </c>
      <c r="K109" s="107">
        <v>5187.119999999999</v>
      </c>
      <c r="L109" s="119">
        <f>K109/K140</f>
        <v>3.7578744829265846E-3</v>
      </c>
      <c r="M109" s="107">
        <v>864.51000000000204</v>
      </c>
      <c r="N109" s="119">
        <f>M109/M140</f>
        <v>5.7853267741625393E-4</v>
      </c>
      <c r="O109" s="107">
        <v>0</v>
      </c>
      <c r="P109" s="119">
        <f>O109/O140</f>
        <v>0</v>
      </c>
      <c r="Q109" s="229">
        <f t="shared" si="20"/>
        <v>6051.630000000001</v>
      </c>
      <c r="R109" s="119">
        <f>Q109/Q140</f>
        <v>1.2672923472436025E-3</v>
      </c>
      <c r="S109" s="107">
        <v>2357.9999999999964</v>
      </c>
      <c r="T109" s="119">
        <f>S109/S140</f>
        <v>1.5849410542744223E-3</v>
      </c>
      <c r="U109" s="107">
        <v>2129</v>
      </c>
      <c r="V109" s="119">
        <f>U109/U140</f>
        <v>1.1219747024585273E-3</v>
      </c>
      <c r="W109" s="107">
        <v>0</v>
      </c>
      <c r="X109" s="119">
        <f>W109/W140</f>
        <v>0</v>
      </c>
      <c r="Y109" s="229">
        <f t="shared" si="21"/>
        <v>4486.9999999999964</v>
      </c>
      <c r="Z109" s="119">
        <f>Y109/Y140</f>
        <v>8.5966602249000425E-4</v>
      </c>
      <c r="AA109" s="107">
        <v>0</v>
      </c>
      <c r="AB109" s="119">
        <f>AA109/AA140</f>
        <v>0</v>
      </c>
      <c r="AC109" s="107">
        <v>0</v>
      </c>
      <c r="AD109" s="119">
        <f>AC109/AC140</f>
        <v>0</v>
      </c>
      <c r="AE109" s="107">
        <v>0</v>
      </c>
      <c r="AF109" s="119">
        <f>AE109/AE140</f>
        <v>0</v>
      </c>
      <c r="AG109" s="229">
        <f t="shared" si="22"/>
        <v>0</v>
      </c>
      <c r="AH109" s="119">
        <f>AG109/AG140</f>
        <v>0</v>
      </c>
      <c r="AI109" s="273">
        <f t="shared" si="23"/>
        <v>-1</v>
      </c>
      <c r="AJ109" s="229">
        <f t="shared" si="24"/>
        <v>37110.769999999997</v>
      </c>
      <c r="AK109" s="119">
        <f>AJ109/AJ140</f>
        <v>1.9084144732016595E-3</v>
      </c>
    </row>
    <row r="110" spans="1:37" s="66" customFormat="1" hidden="1" outlineLevel="1" x14ac:dyDescent="0.2">
      <c r="A110" s="62">
        <v>63010234</v>
      </c>
      <c r="B110" s="62" t="s">
        <v>162</v>
      </c>
      <c r="C110" s="107">
        <v>65407.26</v>
      </c>
      <c r="D110" s="119">
        <f>C110/C140</f>
        <v>3.3998024549379696E-2</v>
      </c>
      <c r="E110" s="107">
        <v>70394.16</v>
      </c>
      <c r="F110" s="119">
        <f>E110/E140</f>
        <v>6.0137892592058047E-2</v>
      </c>
      <c r="G110" s="107">
        <v>80571.679999999993</v>
      </c>
      <c r="H110" s="119">
        <f>G110/G140</f>
        <v>4.6947556483369422E-2</v>
      </c>
      <c r="I110" s="229">
        <f t="shared" si="19"/>
        <v>216373.1</v>
      </c>
      <c r="J110" s="119">
        <f>I110/I140</f>
        <v>4.4978340153609749E-2</v>
      </c>
      <c r="K110" s="107">
        <v>58365.329999999987</v>
      </c>
      <c r="L110" s="119">
        <f>K110/K140</f>
        <v>4.2283499185403361E-2</v>
      </c>
      <c r="M110" s="107">
        <v>80000.87</v>
      </c>
      <c r="N110" s="119">
        <f>M110/M140</f>
        <v>5.3536821455772127E-2</v>
      </c>
      <c r="O110" s="107">
        <v>62793.94</v>
      </c>
      <c r="P110" s="119">
        <f>O110/O140</f>
        <v>3.3039087481356567E-2</v>
      </c>
      <c r="Q110" s="229">
        <f t="shared" si="20"/>
        <v>201160.13999999998</v>
      </c>
      <c r="R110" s="119">
        <f>Q110/Q140</f>
        <v>4.212562664810169E-2</v>
      </c>
      <c r="S110" s="107">
        <v>210059.41000000003</v>
      </c>
      <c r="T110" s="119">
        <f>S110/S140</f>
        <v>0.14119244391249519</v>
      </c>
      <c r="U110" s="107">
        <v>200597.30999999994</v>
      </c>
      <c r="V110" s="119">
        <f>U110/U140</f>
        <v>0.10571400056422306</v>
      </c>
      <c r="W110" s="107">
        <v>468338.6100000001</v>
      </c>
      <c r="X110" s="119">
        <f>W110/W140</f>
        <v>0.25534102202103953</v>
      </c>
      <c r="Y110" s="229">
        <f t="shared" si="21"/>
        <v>878995.33000000007</v>
      </c>
      <c r="Z110" s="119">
        <f>Y110/Y140</f>
        <v>0.16840704683048571</v>
      </c>
      <c r="AA110" s="107">
        <v>143863.71999999997</v>
      </c>
      <c r="AB110" s="119">
        <f>AA110/AA140</f>
        <v>9.1941469551866967E-2</v>
      </c>
      <c r="AC110" s="107">
        <v>140520.77000000002</v>
      </c>
      <c r="AD110" s="119">
        <f>AC110/AC140</f>
        <v>8.519805316360915E-2</v>
      </c>
      <c r="AE110" s="107">
        <v>-52728.820000000065</v>
      </c>
      <c r="AF110" s="119">
        <f>AE110/AE140</f>
        <v>-3.6964508944917367E-2</v>
      </c>
      <c r="AG110" s="229">
        <f t="shared" si="22"/>
        <v>231655.66999999993</v>
      </c>
      <c r="AH110" s="119">
        <f>AG110/AG140</f>
        <v>4.991992094653714E-2</v>
      </c>
      <c r="AI110" s="273">
        <f t="shared" si="23"/>
        <v>-0.73645403781610552</v>
      </c>
      <c r="AJ110" s="229">
        <f t="shared" si="24"/>
        <v>1528184.24</v>
      </c>
      <c r="AK110" s="119">
        <f>AJ110/AJ140</f>
        <v>7.8586591475592632E-2</v>
      </c>
    </row>
    <row r="111" spans="1:37" s="66" customFormat="1" hidden="1" outlineLevel="1" x14ac:dyDescent="0.2">
      <c r="A111" s="62">
        <v>63010300</v>
      </c>
      <c r="B111" s="62" t="s">
        <v>272</v>
      </c>
      <c r="C111" s="107">
        <v>6389.02</v>
      </c>
      <c r="D111" s="119">
        <f>C111/C140</f>
        <v>3.3209472282813542E-3</v>
      </c>
      <c r="E111" s="107">
        <v>436</v>
      </c>
      <c r="F111" s="119">
        <f>E111/E140</f>
        <v>3.7247580154571499E-4</v>
      </c>
      <c r="G111" s="107">
        <v>893.8799999999992</v>
      </c>
      <c r="H111" s="119">
        <f>G111/G140</f>
        <v>5.2084655289990505E-4</v>
      </c>
      <c r="I111" s="229">
        <f t="shared" si="19"/>
        <v>7718.9</v>
      </c>
      <c r="J111" s="119">
        <f>I111/I140</f>
        <v>1.6045585602447727E-3</v>
      </c>
      <c r="K111" s="107">
        <v>0</v>
      </c>
      <c r="L111" s="119">
        <f>K111/K140</f>
        <v>0</v>
      </c>
      <c r="M111" s="107">
        <v>0</v>
      </c>
      <c r="N111" s="119">
        <f>M111/M140</f>
        <v>0</v>
      </c>
      <c r="O111" s="107">
        <v>450</v>
      </c>
      <c r="P111" s="119">
        <f>O111/O140</f>
        <v>2.3676790095685115E-4</v>
      </c>
      <c r="Q111" s="229">
        <f t="shared" si="20"/>
        <v>450</v>
      </c>
      <c r="R111" s="119">
        <f>Q111/Q140</f>
        <v>9.4236025047734418E-5</v>
      </c>
      <c r="S111" s="107">
        <v>831.93000000000029</v>
      </c>
      <c r="T111" s="119">
        <f>S111/S140</f>
        <v>5.5918575542091714E-4</v>
      </c>
      <c r="U111" s="107">
        <v>4873.0300000000007</v>
      </c>
      <c r="V111" s="119">
        <f>U111/U140</f>
        <v>2.5680678179058141E-3</v>
      </c>
      <c r="W111" s="107">
        <v>0</v>
      </c>
      <c r="X111" s="119">
        <f>W111/W140</f>
        <v>0</v>
      </c>
      <c r="Y111" s="229">
        <f t="shared" si="21"/>
        <v>5704.9600000000009</v>
      </c>
      <c r="Z111" s="119">
        <f>Y111/Y140</f>
        <v>1.0930154383027814E-3</v>
      </c>
      <c r="AA111" s="107">
        <v>0</v>
      </c>
      <c r="AB111" s="119">
        <f>AA111/AA140</f>
        <v>0</v>
      </c>
      <c r="AC111" s="107">
        <v>67777.66</v>
      </c>
      <c r="AD111" s="119">
        <f>AC111/AC140</f>
        <v>4.1093744931692482E-2</v>
      </c>
      <c r="AE111" s="107">
        <v>56512.309999999983</v>
      </c>
      <c r="AF111" s="119">
        <f>AE111/AE140</f>
        <v>3.9616850680385791E-2</v>
      </c>
      <c r="AG111" s="229">
        <f t="shared" si="22"/>
        <v>124289.96999999999</v>
      </c>
      <c r="AH111" s="119">
        <f>AG111/AG140</f>
        <v>2.6783482039733686E-2</v>
      </c>
      <c r="AI111" s="273">
        <f t="shared" si="23"/>
        <v>20.786299991586262</v>
      </c>
      <c r="AJ111" s="229">
        <f t="shared" si="24"/>
        <v>138163.82999999999</v>
      </c>
      <c r="AK111" s="119">
        <f>AJ111/AJ140</f>
        <v>7.1050493655877697E-3</v>
      </c>
    </row>
    <row r="112" spans="1:37" s="66" customFormat="1" hidden="1" outlineLevel="1" x14ac:dyDescent="0.2">
      <c r="A112" s="62">
        <v>63010302</v>
      </c>
      <c r="B112" s="62" t="s">
        <v>273</v>
      </c>
      <c r="C112" s="107">
        <v>472.13</v>
      </c>
      <c r="D112" s="119">
        <f>C112/C140</f>
        <v>2.454083435156684E-4</v>
      </c>
      <c r="E112" s="107">
        <v>367.13</v>
      </c>
      <c r="F112" s="119">
        <f>E112/E140</f>
        <v>3.1364000234284024E-4</v>
      </c>
      <c r="G112" s="107">
        <v>2251.63</v>
      </c>
      <c r="H112" s="119">
        <f>G112/G140</f>
        <v>1.3119811651519382E-3</v>
      </c>
      <c r="I112" s="229">
        <f t="shared" si="19"/>
        <v>3090.8900000000003</v>
      </c>
      <c r="J112" s="119">
        <f>I112/I140</f>
        <v>6.4251564449273432E-4</v>
      </c>
      <c r="K112" s="107">
        <v>1403.1300000000006</v>
      </c>
      <c r="L112" s="119">
        <f>K112/K140</f>
        <v>1.0165152190866574E-3</v>
      </c>
      <c r="M112" s="107">
        <v>478.1299999999992</v>
      </c>
      <c r="N112" s="119">
        <f>M112/M140</f>
        <v>3.1996602590257184E-4</v>
      </c>
      <c r="O112" s="107">
        <v>334.13000000000011</v>
      </c>
      <c r="P112" s="119">
        <f>O112/O140</f>
        <v>1.758027972149171E-4</v>
      </c>
      <c r="Q112" s="229">
        <f t="shared" si="20"/>
        <v>2215.39</v>
      </c>
      <c r="R112" s="119">
        <f>Q112/Q140</f>
        <v>4.6393232784555627E-4</v>
      </c>
      <c r="S112" s="107">
        <v>478.13000000000011</v>
      </c>
      <c r="T112" s="119">
        <f>S112/S140</f>
        <v>3.2137738179823189E-4</v>
      </c>
      <c r="U112" s="107">
        <v>334.13000000000011</v>
      </c>
      <c r="V112" s="119">
        <f>U112/U140</f>
        <v>1.7608520776536771E-4</v>
      </c>
      <c r="W112" s="107">
        <v>334.13000000000011</v>
      </c>
      <c r="X112" s="119">
        <f>W112/W140</f>
        <v>1.8216968207658546E-4</v>
      </c>
      <c r="Y112" s="229">
        <f t="shared" si="21"/>
        <v>1146.3900000000003</v>
      </c>
      <c r="Z112" s="119">
        <f>Y112/Y140</f>
        <v>2.196372925166742E-4</v>
      </c>
      <c r="AA112" s="107">
        <v>2674.7299999999996</v>
      </c>
      <c r="AB112" s="119">
        <f>AA112/AA140</f>
        <v>1.7093858469283648E-3</v>
      </c>
      <c r="AC112" s="107">
        <v>584.13000000000102</v>
      </c>
      <c r="AD112" s="119">
        <f>AC112/AC140</f>
        <v>3.5415930893674359E-4</v>
      </c>
      <c r="AE112" s="107">
        <v>595.1299999999992</v>
      </c>
      <c r="AF112" s="119">
        <f>AE112/AE140</f>
        <v>4.1720425771691114E-4</v>
      </c>
      <c r="AG112" s="229">
        <f t="shared" si="22"/>
        <v>3853.99</v>
      </c>
      <c r="AH112" s="119">
        <f>AG112/AG140</f>
        <v>8.3050363554125267E-4</v>
      </c>
      <c r="AI112" s="273">
        <f t="shared" si="23"/>
        <v>2.3618489344812836</v>
      </c>
      <c r="AJ112" s="229">
        <f t="shared" si="24"/>
        <v>10306.66</v>
      </c>
      <c r="AK112" s="119">
        <f>AJ112/AJ140</f>
        <v>5.3001808139169888E-4</v>
      </c>
    </row>
    <row r="113" spans="1:37" s="66" customFormat="1" hidden="1" outlineLevel="1" x14ac:dyDescent="0.2">
      <c r="A113" s="62">
        <v>63010303</v>
      </c>
      <c r="B113" s="62" t="s">
        <v>274</v>
      </c>
      <c r="C113" s="107">
        <v>77376.13</v>
      </c>
      <c r="D113" s="119">
        <f>C113/C140</f>
        <v>4.0219320718770282E-2</v>
      </c>
      <c r="E113" s="107">
        <v>114023.04000000001</v>
      </c>
      <c r="F113" s="119">
        <f>E113/E140</f>
        <v>9.7410144996970469E-2</v>
      </c>
      <c r="G113" s="107">
        <v>106858.82999999999</v>
      </c>
      <c r="H113" s="119">
        <f>G113/G140</f>
        <v>6.2264569352057333E-2</v>
      </c>
      <c r="I113" s="229">
        <f t="shared" si="19"/>
        <v>298258</v>
      </c>
      <c r="J113" s="119">
        <f>I113/I140</f>
        <v>6.2000081237156265E-2</v>
      </c>
      <c r="K113" s="107">
        <v>73772.659999999974</v>
      </c>
      <c r="L113" s="119">
        <f>K113/K140</f>
        <v>5.3445533658681252E-2</v>
      </c>
      <c r="M113" s="107">
        <v>103514.95000000001</v>
      </c>
      <c r="N113" s="119">
        <f>M113/M140</f>
        <v>6.927251411332376E-2</v>
      </c>
      <c r="O113" s="107">
        <v>89433.599999999977</v>
      </c>
      <c r="P113" s="119">
        <f>O113/O140</f>
        <v>4.7055568326699194E-2</v>
      </c>
      <c r="Q113" s="229">
        <f t="shared" si="20"/>
        <v>266721.20999999996</v>
      </c>
      <c r="R113" s="119">
        <f>Q113/Q140</f>
        <v>5.5854992502937836E-2</v>
      </c>
      <c r="S113" s="107">
        <v>102104.90000000002</v>
      </c>
      <c r="T113" s="119">
        <f>S113/S140</f>
        <v>6.8630300191935847E-2</v>
      </c>
      <c r="U113" s="107">
        <v>86103.140000000014</v>
      </c>
      <c r="V113" s="119">
        <f>U113/U140</f>
        <v>4.5376019202557509E-2</v>
      </c>
      <c r="W113" s="107">
        <v>93911.459999999963</v>
      </c>
      <c r="X113" s="119">
        <f>W113/W140</f>
        <v>5.1201091825181691E-2</v>
      </c>
      <c r="Y113" s="229">
        <f t="shared" si="21"/>
        <v>282119.5</v>
      </c>
      <c r="Z113" s="119">
        <f>Y113/Y140</f>
        <v>5.4051381420073312E-2</v>
      </c>
      <c r="AA113" s="107">
        <v>75335.050000000047</v>
      </c>
      <c r="AB113" s="119">
        <f>AA113/AA140</f>
        <v>4.8145670122831392E-2</v>
      </c>
      <c r="AC113" s="107">
        <v>99344.079999999958</v>
      </c>
      <c r="AD113" s="119">
        <f>AC113/AC140</f>
        <v>6.0232535085950889E-2</v>
      </c>
      <c r="AE113" s="107">
        <v>85407.359999999986</v>
      </c>
      <c r="AF113" s="119">
        <f>AE113/AE140</f>
        <v>5.9873160876381712E-2</v>
      </c>
      <c r="AG113" s="229">
        <f t="shared" si="22"/>
        <v>260086.49</v>
      </c>
      <c r="AH113" s="119">
        <f>AG113/AG140</f>
        <v>5.6046532424880106E-2</v>
      </c>
      <c r="AI113" s="273">
        <f t="shared" si="23"/>
        <v>-7.8098146352875375E-2</v>
      </c>
      <c r="AJ113" s="229">
        <f t="shared" si="24"/>
        <v>1107185.2</v>
      </c>
      <c r="AK113" s="119">
        <f>AJ113/AJ140</f>
        <v>5.6936793825476381E-2</v>
      </c>
    </row>
    <row r="114" spans="1:37" s="66" customFormat="1" hidden="1" outlineLevel="1" x14ac:dyDescent="0.2">
      <c r="A114" s="62">
        <v>63010304</v>
      </c>
      <c r="B114" s="62" t="s">
        <v>275</v>
      </c>
      <c r="C114" s="107">
        <v>11185.92</v>
      </c>
      <c r="D114" s="119">
        <f>C114/C140</f>
        <v>5.8143267699548541E-3</v>
      </c>
      <c r="E114" s="107">
        <v>18947.57</v>
      </c>
      <c r="F114" s="119">
        <f>E114/E140</f>
        <v>1.6186952575902622E-2</v>
      </c>
      <c r="G114" s="107">
        <v>16804.45</v>
      </c>
      <c r="H114" s="119">
        <f>G114/G140</f>
        <v>9.7916273502917824E-3</v>
      </c>
      <c r="I114" s="229">
        <f t="shared" si="19"/>
        <v>46937.94</v>
      </c>
      <c r="J114" s="119">
        <f>I114/I140</f>
        <v>9.7571769847070878E-3</v>
      </c>
      <c r="K114" s="107">
        <v>15463.86</v>
      </c>
      <c r="L114" s="119">
        <f>K114/K140</f>
        <v>1.1202988344505064E-2</v>
      </c>
      <c r="M114" s="107">
        <v>11341.959999999992</v>
      </c>
      <c r="N114" s="119">
        <f>M114/M140</f>
        <v>7.5900735514314883E-3</v>
      </c>
      <c r="O114" s="107">
        <v>13906.540000000008</v>
      </c>
      <c r="P114" s="119">
        <f>O114/O140</f>
        <v>7.3169384119388678E-3</v>
      </c>
      <c r="Q114" s="229">
        <f t="shared" si="20"/>
        <v>40712.36</v>
      </c>
      <c r="R114" s="119">
        <f>Q114/Q140</f>
        <v>8.5257132815830684E-3</v>
      </c>
      <c r="S114" s="107">
        <v>14342.86</v>
      </c>
      <c r="T114" s="119">
        <f>S114/S140</f>
        <v>9.6406224129391323E-3</v>
      </c>
      <c r="U114" s="107">
        <v>14750.279999999999</v>
      </c>
      <c r="V114" s="119">
        <f>U114/U140</f>
        <v>7.7733400724189598E-3</v>
      </c>
      <c r="W114" s="107">
        <v>15281.579999999987</v>
      </c>
      <c r="X114" s="119">
        <f>W114/W140</f>
        <v>8.3316091647798862E-3</v>
      </c>
      <c r="Y114" s="229">
        <f t="shared" si="21"/>
        <v>44374.719999999987</v>
      </c>
      <c r="Z114" s="119">
        <f>Y114/Y140</f>
        <v>8.5017693428811377E-3</v>
      </c>
      <c r="AA114" s="107">
        <v>14332.029999999999</v>
      </c>
      <c r="AB114" s="119">
        <f>AA114/AA140</f>
        <v>9.1594176757103466E-3</v>
      </c>
      <c r="AC114" s="107">
        <v>13360.830000000016</v>
      </c>
      <c r="AD114" s="119">
        <f>AC114/AC140</f>
        <v>8.1007007337772583E-3</v>
      </c>
      <c r="AE114" s="107">
        <v>13782.799999999988</v>
      </c>
      <c r="AF114" s="119">
        <f>AE114/AE140</f>
        <v>9.6621626254106592E-3</v>
      </c>
      <c r="AG114" s="229">
        <f t="shared" si="22"/>
        <v>41475.660000000003</v>
      </c>
      <c r="AH114" s="119">
        <f>AG114/AG140</f>
        <v>8.9376688617440418E-3</v>
      </c>
      <c r="AI114" s="273">
        <f t="shared" si="23"/>
        <v>-6.5331341809029664E-2</v>
      </c>
      <c r="AJ114" s="229">
        <f t="shared" si="24"/>
        <v>173500.68</v>
      </c>
      <c r="AK114" s="119">
        <f>AJ114/AJ140</f>
        <v>8.9222403313736071E-3</v>
      </c>
    </row>
    <row r="115" spans="1:37" s="66" customFormat="1" hidden="1" outlineLevel="1" x14ac:dyDescent="0.2">
      <c r="A115" s="62">
        <v>63010308</v>
      </c>
      <c r="B115" s="62" t="s">
        <v>276</v>
      </c>
      <c r="C115" s="107">
        <v>4947.41</v>
      </c>
      <c r="D115" s="119">
        <f>C115/C140</f>
        <v>2.5716130997667018E-3</v>
      </c>
      <c r="E115" s="107">
        <v>8958</v>
      </c>
      <c r="F115" s="119">
        <f>E115/E140</f>
        <v>7.6528399776296212E-3</v>
      </c>
      <c r="G115" s="107">
        <v>1080</v>
      </c>
      <c r="H115" s="119">
        <f>G115/G140</f>
        <v>6.292950699555846E-4</v>
      </c>
      <c r="I115" s="229">
        <f t="shared" si="19"/>
        <v>14985.41</v>
      </c>
      <c r="J115" s="119">
        <f>I115/I140</f>
        <v>3.1150770050496343E-3</v>
      </c>
      <c r="K115" s="107">
        <v>0</v>
      </c>
      <c r="L115" s="119">
        <f>K115/K140</f>
        <v>0</v>
      </c>
      <c r="M115" s="107">
        <v>7814.4700000000012</v>
      </c>
      <c r="N115" s="119">
        <f>M115/M140</f>
        <v>5.2294666940682979E-3</v>
      </c>
      <c r="O115" s="107">
        <v>0</v>
      </c>
      <c r="P115" s="119">
        <f>O115/O140</f>
        <v>0</v>
      </c>
      <c r="Q115" s="229">
        <f t="shared" si="20"/>
        <v>7814.4700000000012</v>
      </c>
      <c r="R115" s="119">
        <f>Q115/Q140</f>
        <v>1.6364546458994872E-3</v>
      </c>
      <c r="S115" s="107">
        <v>-16088.690000000002</v>
      </c>
      <c r="T115" s="119">
        <f>S115/S140</f>
        <v>-1.0814090453984054E-2</v>
      </c>
      <c r="U115" s="107">
        <v>15803.41</v>
      </c>
      <c r="V115" s="119">
        <f>U115/U140</f>
        <v>8.3283354779615376E-3</v>
      </c>
      <c r="W115" s="107">
        <v>0</v>
      </c>
      <c r="X115" s="119">
        <f>W115/W140</f>
        <v>0</v>
      </c>
      <c r="Y115" s="229">
        <f t="shared" si="21"/>
        <v>-285.28000000000247</v>
      </c>
      <c r="Z115" s="119">
        <f>Y115/Y140</f>
        <v>-5.4656902807209884E-5</v>
      </c>
      <c r="AA115" s="107">
        <v>0</v>
      </c>
      <c r="AB115" s="119">
        <f>AA115/AA140</f>
        <v>0</v>
      </c>
      <c r="AC115" s="107">
        <v>0</v>
      </c>
      <c r="AD115" s="119">
        <f>AC115/AC140</f>
        <v>0</v>
      </c>
      <c r="AE115" s="107">
        <v>0</v>
      </c>
      <c r="AF115" s="119">
        <f>AE115/AE140</f>
        <v>0</v>
      </c>
      <c r="AG115" s="229">
        <f t="shared" si="22"/>
        <v>0</v>
      </c>
      <c r="AH115" s="119">
        <f>AG115/AG140</f>
        <v>0</v>
      </c>
      <c r="AI115" s="273">
        <f t="shared" si="23"/>
        <v>-1</v>
      </c>
      <c r="AJ115" s="229">
        <f t="shared" si="24"/>
        <v>22514.6</v>
      </c>
      <c r="AK115" s="119">
        <f>AJ115/AJ140</f>
        <v>1.1578091346082576E-3</v>
      </c>
    </row>
    <row r="116" spans="1:37" s="66" customFormat="1" hidden="1" outlineLevel="1" x14ac:dyDescent="0.2">
      <c r="A116" s="62">
        <v>63010311</v>
      </c>
      <c r="B116" s="62" t="s">
        <v>277</v>
      </c>
      <c r="C116" s="107">
        <v>6625.8</v>
      </c>
      <c r="D116" s="119">
        <f>C116/C140</f>
        <v>3.4440230497238379E-3</v>
      </c>
      <c r="E116" s="107">
        <v>9409</v>
      </c>
      <c r="F116" s="119">
        <f>E116/E140</f>
        <v>8.0381303136321837E-3</v>
      </c>
      <c r="G116" s="107">
        <v>3931.4300000000003</v>
      </c>
      <c r="H116" s="119">
        <f>G116/G140</f>
        <v>2.2907680711810041E-3</v>
      </c>
      <c r="I116" s="229">
        <f t="shared" si="19"/>
        <v>19966.23</v>
      </c>
      <c r="J116" s="119">
        <f>I116/I140</f>
        <v>4.1504599440744137E-3</v>
      </c>
      <c r="K116" s="107">
        <v>7241.6700000000019</v>
      </c>
      <c r="L116" s="119">
        <f>K116/K140</f>
        <v>5.2463191340811422E-3</v>
      </c>
      <c r="M116" s="107">
        <v>8637.1199999999953</v>
      </c>
      <c r="N116" s="119">
        <f>M116/M140</f>
        <v>5.7799865342974179E-3</v>
      </c>
      <c r="O116" s="107">
        <v>5977.7900000000009</v>
      </c>
      <c r="P116" s="119">
        <f>O116/O140</f>
        <v>3.145219534801901E-3</v>
      </c>
      <c r="Q116" s="229">
        <f t="shared" si="20"/>
        <v>21856.579999999998</v>
      </c>
      <c r="R116" s="119">
        <f>Q116/Q140</f>
        <v>4.5770604896395797E-3</v>
      </c>
      <c r="S116" s="107">
        <v>-28491.239999999998</v>
      </c>
      <c r="T116" s="119">
        <f>S116/S140</f>
        <v>-1.9150524157415461E-2</v>
      </c>
      <c r="U116" s="107">
        <v>37739.64</v>
      </c>
      <c r="V116" s="119">
        <f>U116/U140</f>
        <v>1.9888643193937031E-2</v>
      </c>
      <c r="W116" s="107">
        <v>620.30999999999767</v>
      </c>
      <c r="X116" s="119">
        <f>W116/W140</f>
        <v>3.3819673626710043E-4</v>
      </c>
      <c r="Y116" s="229">
        <f t="shared" si="21"/>
        <v>9868.7099999999991</v>
      </c>
      <c r="Z116" s="119">
        <f>Y116/Y140</f>
        <v>1.8907498713633467E-3</v>
      </c>
      <c r="AA116" s="107">
        <v>5138.6600000000035</v>
      </c>
      <c r="AB116" s="119">
        <f>AA116/AA140</f>
        <v>3.2840521010258673E-3</v>
      </c>
      <c r="AC116" s="107">
        <v>1811.9800000000032</v>
      </c>
      <c r="AD116" s="119">
        <f>AC116/AC140</f>
        <v>1.0986074754030792E-3</v>
      </c>
      <c r="AE116" s="107">
        <v>970</v>
      </c>
      <c r="AF116" s="119">
        <f>AE116/AE140</f>
        <v>6.799995462930861E-4</v>
      </c>
      <c r="AG116" s="229">
        <f t="shared" si="22"/>
        <v>7920.6400000000067</v>
      </c>
      <c r="AH116" s="119">
        <f>AG116/AG140</f>
        <v>1.7068337789702293E-3</v>
      </c>
      <c r="AI116" s="273">
        <f t="shared" si="23"/>
        <v>-0.19739864683428665</v>
      </c>
      <c r="AJ116" s="229">
        <f t="shared" si="24"/>
        <v>59612.160000000003</v>
      </c>
      <c r="AK116" s="119">
        <f>AJ116/AJ140</f>
        <v>3.0655442860068128E-3</v>
      </c>
    </row>
    <row r="117" spans="1:37" s="66" customFormat="1" hidden="1" outlineLevel="1" x14ac:dyDescent="0.2">
      <c r="A117" s="62">
        <v>63010312</v>
      </c>
      <c r="B117" s="62" t="s">
        <v>278</v>
      </c>
      <c r="C117" s="107">
        <v>1498.05</v>
      </c>
      <c r="D117" s="119">
        <f>C117/C140</f>
        <v>7.7867106306239177E-4</v>
      </c>
      <c r="E117" s="107">
        <v>1498.05</v>
      </c>
      <c r="F117" s="119">
        <f>E117/E140</f>
        <v>1.2797875562054089E-3</v>
      </c>
      <c r="G117" s="107">
        <v>1498.0499999999997</v>
      </c>
      <c r="H117" s="119">
        <f>G117/G140</f>
        <v>8.7288470328422533E-4</v>
      </c>
      <c r="I117" s="229">
        <f t="shared" si="19"/>
        <v>4494.1499999999996</v>
      </c>
      <c r="J117" s="119">
        <f>I117/I140</f>
        <v>9.3421690312402617E-4</v>
      </c>
      <c r="K117" s="107">
        <v>1498.0500000000002</v>
      </c>
      <c r="L117" s="119">
        <f>K117/K140</f>
        <v>1.0852812098328499E-3</v>
      </c>
      <c r="M117" s="107">
        <v>1498.0500000000002</v>
      </c>
      <c r="N117" s="119">
        <f>M117/M140</f>
        <v>1.0024995400902447E-3</v>
      </c>
      <c r="O117" s="107">
        <v>1498.0499999999993</v>
      </c>
      <c r="P117" s="119">
        <f>O117/O140</f>
        <v>7.8820034228535704E-4</v>
      </c>
      <c r="Q117" s="229">
        <f t="shared" si="20"/>
        <v>4494.1499999999996</v>
      </c>
      <c r="R117" s="119">
        <f>Q117/Q140</f>
        <v>9.4113518215172356E-4</v>
      </c>
      <c r="S117" s="107">
        <v>1498.0500000000011</v>
      </c>
      <c r="T117" s="119">
        <f>S117/S140</f>
        <v>1.0069215209312144E-3</v>
      </c>
      <c r="U117" s="107">
        <v>1498.0499999999993</v>
      </c>
      <c r="V117" s="119">
        <f>U117/U140</f>
        <v>7.8946651151620294E-4</v>
      </c>
      <c r="W117" s="107">
        <v>1498.0500000000011</v>
      </c>
      <c r="X117" s="119">
        <f>W117/W140</f>
        <v>8.1674585411315641E-4</v>
      </c>
      <c r="Y117" s="229">
        <f t="shared" si="21"/>
        <v>4494.1500000000015</v>
      </c>
      <c r="Z117" s="119">
        <f>Y117/Y140</f>
        <v>8.6103589368697502E-4</v>
      </c>
      <c r="AA117" s="107">
        <v>1498.0499999999993</v>
      </c>
      <c r="AB117" s="119">
        <f>AA117/AA140</f>
        <v>9.5738465863509062E-4</v>
      </c>
      <c r="AC117" s="107">
        <v>1498.0499999999993</v>
      </c>
      <c r="AD117" s="119">
        <f>AC117/AC140</f>
        <v>9.082710231501336E-4</v>
      </c>
      <c r="AE117" s="107">
        <v>1498.0499999999993</v>
      </c>
      <c r="AF117" s="119">
        <f>AE117/AE140</f>
        <v>1.0501786807467599E-3</v>
      </c>
      <c r="AG117" s="229">
        <f t="shared" si="22"/>
        <v>4494.1499999999978</v>
      </c>
      <c r="AH117" s="119">
        <f>AG117/AG140</f>
        <v>9.6845293155086527E-4</v>
      </c>
      <c r="AI117" s="273">
        <f t="shared" si="23"/>
        <v>-7.7715611723760958E-16</v>
      </c>
      <c r="AJ117" s="229">
        <f t="shared" si="24"/>
        <v>17976.599999999999</v>
      </c>
      <c r="AK117" s="119">
        <f>AJ117/AJ140</f>
        <v>9.2444332518449364E-4</v>
      </c>
    </row>
    <row r="118" spans="1:37" s="66" customFormat="1" hidden="1" outlineLevel="1" x14ac:dyDescent="0.2">
      <c r="A118" s="62">
        <v>63010314</v>
      </c>
      <c r="B118" s="62" t="s">
        <v>279</v>
      </c>
      <c r="C118" s="107">
        <v>78436.539999999994</v>
      </c>
      <c r="D118" s="119">
        <f>C118/C140</f>
        <v>4.0770510987440875E-2</v>
      </c>
      <c r="E118" s="107">
        <v>63824.08</v>
      </c>
      <c r="F118" s="119">
        <f>E118/E140</f>
        <v>5.4525058155774853E-2</v>
      </c>
      <c r="G118" s="107">
        <v>109488.81</v>
      </c>
      <c r="H118" s="119">
        <f>G118/G140</f>
        <v>6.3797007729910843E-2</v>
      </c>
      <c r="I118" s="229">
        <f t="shared" si="19"/>
        <v>251749.43</v>
      </c>
      <c r="J118" s="119">
        <f>I118/I140</f>
        <v>5.2332159108583118E-2</v>
      </c>
      <c r="K118" s="107">
        <v>93351.200000000012</v>
      </c>
      <c r="L118" s="119">
        <f>K118/K140</f>
        <v>6.7629453806847789E-2</v>
      </c>
      <c r="M118" s="107">
        <v>94852.020000000019</v>
      </c>
      <c r="N118" s="119">
        <f>M118/M140</f>
        <v>6.3475255449838577E-2</v>
      </c>
      <c r="O118" s="107">
        <v>96123.12</v>
      </c>
      <c r="P118" s="119">
        <f>O118/O140</f>
        <v>5.0575265235163369E-2</v>
      </c>
      <c r="Q118" s="229">
        <f t="shared" si="20"/>
        <v>284326.34000000003</v>
      </c>
      <c r="R118" s="119">
        <f>Q118/Q140</f>
        <v>5.9541742439934785E-2</v>
      </c>
      <c r="S118" s="107">
        <v>100066.73999999999</v>
      </c>
      <c r="T118" s="119">
        <f>S118/S140</f>
        <v>6.7260341133759421E-2</v>
      </c>
      <c r="U118" s="107">
        <v>103070.20999999996</v>
      </c>
      <c r="V118" s="119">
        <f>U118/U140</f>
        <v>5.4317598965283181E-2</v>
      </c>
      <c r="W118" s="107">
        <v>96374.330000000075</v>
      </c>
      <c r="X118" s="119">
        <f>W118/W140</f>
        <v>5.2543863335958875E-2</v>
      </c>
      <c r="Y118" s="229">
        <f t="shared" si="21"/>
        <v>299511.28000000003</v>
      </c>
      <c r="Z118" s="119">
        <f>Y118/Y140</f>
        <v>5.7383479110427946E-2</v>
      </c>
      <c r="AA118" s="107">
        <v>97082.659999999916</v>
      </c>
      <c r="AB118" s="119">
        <f>AA118/AA140</f>
        <v>6.2044290446571566E-2</v>
      </c>
      <c r="AC118" s="107">
        <v>96875.710000000079</v>
      </c>
      <c r="AD118" s="119">
        <f>AC118/AC140</f>
        <v>5.8735956904039079E-2</v>
      </c>
      <c r="AE118" s="107">
        <v>95897.63</v>
      </c>
      <c r="AF118" s="119">
        <f>AE118/AE140</f>
        <v>6.722715968101263E-2</v>
      </c>
      <c r="AG118" s="229">
        <f t="shared" si="22"/>
        <v>289856</v>
      </c>
      <c r="AH118" s="119">
        <f>AG118/AG140</f>
        <v>6.2461620757564333E-2</v>
      </c>
      <c r="AI118" s="273">
        <f t="shared" si="23"/>
        <v>-3.2236782534534325E-2</v>
      </c>
      <c r="AJ118" s="229">
        <f t="shared" si="24"/>
        <v>1125443.05</v>
      </c>
      <c r="AK118" s="119">
        <f>AJ118/AJ140</f>
        <v>5.7875700379814786E-2</v>
      </c>
    </row>
    <row r="119" spans="1:37" s="66" customFormat="1" hidden="1" outlineLevel="1" x14ac:dyDescent="0.2">
      <c r="A119" s="62">
        <v>63010316</v>
      </c>
      <c r="B119" s="62" t="s">
        <v>280</v>
      </c>
      <c r="C119" s="107">
        <v>76853.789999999994</v>
      </c>
      <c r="D119" s="119">
        <f>C119/C140</f>
        <v>3.9947813730966127E-2</v>
      </c>
      <c r="E119" s="107">
        <v>60069.050000001196</v>
      </c>
      <c r="F119" s="119">
        <f>E119/E140</f>
        <v>5.1317127401009348E-2</v>
      </c>
      <c r="G119" s="107">
        <v>211028.6499999988</v>
      </c>
      <c r="H119" s="119">
        <f>G119/G140</f>
        <v>0.12296230468924244</v>
      </c>
      <c r="I119" s="229">
        <f t="shared" si="19"/>
        <v>347951.49</v>
      </c>
      <c r="J119" s="119">
        <f>I119/I140</f>
        <v>7.2330065401731272E-2</v>
      </c>
      <c r="K119" s="107">
        <v>66914.660000000033</v>
      </c>
      <c r="L119" s="119">
        <f>K119/K140</f>
        <v>4.8477169093390629E-2</v>
      </c>
      <c r="M119" s="107">
        <v>66459.339999999967</v>
      </c>
      <c r="N119" s="119">
        <f>M119/M140</f>
        <v>4.4474789082274389E-2</v>
      </c>
      <c r="O119" s="107">
        <v>100712.47999999998</v>
      </c>
      <c r="P119" s="119">
        <f>O119/O140</f>
        <v>5.2989961088352994E-2</v>
      </c>
      <c r="Q119" s="229">
        <f t="shared" si="20"/>
        <v>234086.47999999998</v>
      </c>
      <c r="R119" s="119">
        <f>Q119/Q140</f>
        <v>4.9020843094702178E-2</v>
      </c>
      <c r="S119" s="107">
        <v>134575.22999999998</v>
      </c>
      <c r="T119" s="119">
        <f>S119/S140</f>
        <v>9.0455388853020846E-2</v>
      </c>
      <c r="U119" s="107">
        <v>66862.670000000042</v>
      </c>
      <c r="V119" s="119">
        <f>U119/U140</f>
        <v>3.5236366500156296E-2</v>
      </c>
      <c r="W119" s="107">
        <v>152901.18000000005</v>
      </c>
      <c r="X119" s="119">
        <f>W119/W140</f>
        <v>8.3362641336410276E-2</v>
      </c>
      <c r="Y119" s="229">
        <f t="shared" si="21"/>
        <v>354339.08000000007</v>
      </c>
      <c r="Z119" s="119">
        <f>Y119/Y140</f>
        <v>6.7887957993395975E-2</v>
      </c>
      <c r="AA119" s="107">
        <v>111439.54999999993</v>
      </c>
      <c r="AB119" s="119">
        <f>AA119/AA140</f>
        <v>7.1219595831379531E-2</v>
      </c>
      <c r="AC119" s="107">
        <v>184610.59999999998</v>
      </c>
      <c r="AD119" s="119">
        <f>AC119/AC140</f>
        <v>0.11192981445636668</v>
      </c>
      <c r="AE119" s="107">
        <v>49055.239999999991</v>
      </c>
      <c r="AF119" s="119">
        <f>AE119/AE140</f>
        <v>3.4389217467317983E-2</v>
      </c>
      <c r="AG119" s="229">
        <f t="shared" si="22"/>
        <v>345105.3899999999</v>
      </c>
      <c r="AH119" s="119">
        <f>AG119/AG140</f>
        <v>7.4367416895187013E-2</v>
      </c>
      <c r="AI119" s="273">
        <f t="shared" si="23"/>
        <v>-2.6058909449107825E-2</v>
      </c>
      <c r="AJ119" s="229">
        <f t="shared" si="24"/>
        <v>1281482.44</v>
      </c>
      <c r="AK119" s="119">
        <f>AJ119/AJ140</f>
        <v>6.5899997107302738E-2</v>
      </c>
    </row>
    <row r="120" spans="1:37" s="66" customFormat="1" hidden="1" outlineLevel="1" x14ac:dyDescent="0.2">
      <c r="A120" s="62">
        <v>63010317</v>
      </c>
      <c r="B120" s="62" t="s">
        <v>281</v>
      </c>
      <c r="C120" s="107">
        <v>743892.55999999866</v>
      </c>
      <c r="D120" s="119">
        <f>C120/C140</f>
        <v>0.38666774173051832</v>
      </c>
      <c r="E120" s="107">
        <v>0</v>
      </c>
      <c r="F120" s="119">
        <f>E120/E140</f>
        <v>0</v>
      </c>
      <c r="G120" s="107">
        <v>0</v>
      </c>
      <c r="H120" s="119">
        <f>G120/G140</f>
        <v>0</v>
      </c>
      <c r="I120" s="229">
        <f t="shared" si="19"/>
        <v>743892.55999999866</v>
      </c>
      <c r="J120" s="119">
        <f>I120/I140</f>
        <v>0.1546359163935789</v>
      </c>
      <c r="K120" s="107">
        <v>0</v>
      </c>
      <c r="L120" s="119">
        <f>K120/K140</f>
        <v>0</v>
      </c>
      <c r="M120" s="107">
        <v>0</v>
      </c>
      <c r="N120" s="119">
        <f>M120/M140</f>
        <v>0</v>
      </c>
      <c r="O120" s="107">
        <v>0</v>
      </c>
      <c r="P120" s="119">
        <f>O120/O140</f>
        <v>0</v>
      </c>
      <c r="Q120" s="229">
        <f t="shared" si="20"/>
        <v>0</v>
      </c>
      <c r="R120" s="119">
        <f>Q120/Q140</f>
        <v>0</v>
      </c>
      <c r="S120" s="107">
        <v>0</v>
      </c>
      <c r="T120" s="119">
        <f>S120/S140</f>
        <v>0</v>
      </c>
      <c r="U120" s="107">
        <v>0</v>
      </c>
      <c r="V120" s="119">
        <f>U120/U140</f>
        <v>0</v>
      </c>
      <c r="W120" s="107">
        <v>0</v>
      </c>
      <c r="X120" s="119">
        <f>W120/W140</f>
        <v>0</v>
      </c>
      <c r="Y120" s="229">
        <f t="shared" si="21"/>
        <v>0</v>
      </c>
      <c r="Z120" s="119">
        <f>Y120/Y140</f>
        <v>0</v>
      </c>
      <c r="AA120" s="107">
        <v>0</v>
      </c>
      <c r="AB120" s="119">
        <f>AA120/AA140</f>
        <v>0</v>
      </c>
      <c r="AC120" s="107">
        <v>0</v>
      </c>
      <c r="AD120" s="119">
        <f>AC120/AC140</f>
        <v>0</v>
      </c>
      <c r="AE120" s="107">
        <v>0</v>
      </c>
      <c r="AF120" s="119">
        <f>AE120/AE140</f>
        <v>0</v>
      </c>
      <c r="AG120" s="229">
        <f t="shared" si="22"/>
        <v>0</v>
      </c>
      <c r="AH120" s="119">
        <f>AG120/AG140</f>
        <v>0</v>
      </c>
      <c r="AI120" s="273" t="str">
        <f t="shared" si="23"/>
        <v>0</v>
      </c>
      <c r="AJ120" s="229">
        <f t="shared" si="24"/>
        <v>743892.55999999866</v>
      </c>
      <c r="AK120" s="119">
        <f>AJ120/AJ140</f>
        <v>3.8254537106371854E-2</v>
      </c>
    </row>
    <row r="121" spans="1:37" s="66" customFormat="1" hidden="1" outlineLevel="1" x14ac:dyDescent="0.2">
      <c r="A121" s="62">
        <v>63010318</v>
      </c>
      <c r="B121" s="62" t="s">
        <v>282</v>
      </c>
      <c r="C121" s="107">
        <v>30468.799999999999</v>
      </c>
      <c r="D121" s="119">
        <f>C121/C140</f>
        <v>1.5837370505814494E-2</v>
      </c>
      <c r="E121" s="107">
        <v>38086</v>
      </c>
      <c r="F121" s="119">
        <f>E121/E140</f>
        <v>3.2536957288234178E-2</v>
      </c>
      <c r="G121" s="107">
        <v>39990</v>
      </c>
      <c r="H121" s="119">
        <f>G121/G140</f>
        <v>2.3301398006966508E-2</v>
      </c>
      <c r="I121" s="229">
        <f t="shared" si="19"/>
        <v>108544.8</v>
      </c>
      <c r="J121" s="119">
        <f>I121/I140</f>
        <v>2.2563640934596486E-2</v>
      </c>
      <c r="K121" s="107">
        <v>39989.999999999985</v>
      </c>
      <c r="L121" s="119">
        <f>K121/K140</f>
        <v>2.897125969174303E-2</v>
      </c>
      <c r="M121" s="107">
        <v>39609</v>
      </c>
      <c r="N121" s="119">
        <f>M121/M140</f>
        <v>2.6506461255254826E-2</v>
      </c>
      <c r="O121" s="107">
        <v>39609</v>
      </c>
      <c r="P121" s="119">
        <f>O121/O140</f>
        <v>2.0840310642222037E-2</v>
      </c>
      <c r="Q121" s="229">
        <f t="shared" si="20"/>
        <v>119207.99999999999</v>
      </c>
      <c r="R121" s="119">
        <f>Q121/Q140</f>
        <v>2.4963751275311828E-2</v>
      </c>
      <c r="S121" s="107">
        <v>39609</v>
      </c>
      <c r="T121" s="119">
        <f>S121/S140</f>
        <v>2.6623380075808178E-2</v>
      </c>
      <c r="U121" s="107">
        <v>39609</v>
      </c>
      <c r="V121" s="119">
        <f>U121/U140</f>
        <v>2.0873788628313673E-2</v>
      </c>
      <c r="W121" s="107">
        <v>39609</v>
      </c>
      <c r="X121" s="119">
        <f>W121/W140</f>
        <v>2.1595064607702004E-2</v>
      </c>
      <c r="Y121" s="229">
        <f t="shared" si="21"/>
        <v>118827</v>
      </c>
      <c r="Z121" s="119">
        <f>Y121/Y140</f>
        <v>2.2766109751375045E-2</v>
      </c>
      <c r="AA121" s="107">
        <v>39609</v>
      </c>
      <c r="AB121" s="119">
        <f>AA121/AA140</f>
        <v>2.5313606984998713E-2</v>
      </c>
      <c r="AC121" s="107">
        <v>39609</v>
      </c>
      <c r="AD121" s="119">
        <f>AC121/AC140</f>
        <v>2.4015024168721779E-2</v>
      </c>
      <c r="AE121" s="107">
        <v>39609</v>
      </c>
      <c r="AF121" s="119">
        <f>AE121/AE140</f>
        <v>2.7767115493941081E-2</v>
      </c>
      <c r="AG121" s="229">
        <f t="shared" si="22"/>
        <v>118827</v>
      </c>
      <c r="AH121" s="119">
        <f>AG121/AG140</f>
        <v>2.5606256243648904E-2</v>
      </c>
      <c r="AI121" s="273">
        <f t="shared" si="23"/>
        <v>0</v>
      </c>
      <c r="AJ121" s="229">
        <f t="shared" si="24"/>
        <v>465406.8</v>
      </c>
      <c r="AK121" s="119">
        <f>AJ121/AJ140</f>
        <v>2.3933458482442431E-2</v>
      </c>
    </row>
    <row r="122" spans="1:37" s="66" customFormat="1" hidden="1" outlineLevel="1" x14ac:dyDescent="0.2">
      <c r="A122" s="62">
        <v>63010321</v>
      </c>
      <c r="B122" s="62" t="s">
        <v>283</v>
      </c>
      <c r="C122" s="107">
        <v>8408.85</v>
      </c>
      <c r="D122" s="119">
        <f>C122/C140</f>
        <v>4.3708341968774029E-3</v>
      </c>
      <c r="E122" s="107">
        <v>6280</v>
      </c>
      <c r="F122" s="119">
        <f>E122/E140</f>
        <v>5.3650184259336929E-3</v>
      </c>
      <c r="G122" s="107">
        <v>20671.61</v>
      </c>
      <c r="H122" s="119">
        <f>G122/G140</f>
        <v>1.2044946538004225E-2</v>
      </c>
      <c r="I122" s="229">
        <f t="shared" si="19"/>
        <v>35360.46</v>
      </c>
      <c r="J122" s="119">
        <f>I122/I140</f>
        <v>7.3505199947133506E-3</v>
      </c>
      <c r="K122" s="107">
        <v>14459.46</v>
      </c>
      <c r="L122" s="119">
        <f>K122/K140</f>
        <v>1.0475338101084541E-2</v>
      </c>
      <c r="M122" s="107">
        <v>9015.9599999999991</v>
      </c>
      <c r="N122" s="119">
        <f>M122/M140</f>
        <v>6.0335073952618671E-3</v>
      </c>
      <c r="O122" s="107">
        <v>25740.739999999998</v>
      </c>
      <c r="P122" s="119">
        <f>O122/O140</f>
        <v>1.3543513286391235E-2</v>
      </c>
      <c r="Q122" s="229">
        <f t="shared" si="20"/>
        <v>49216.159999999996</v>
      </c>
      <c r="R122" s="119">
        <f>Q122/Q140</f>
        <v>1.0306522858918454E-2</v>
      </c>
      <c r="S122" s="107">
        <v>10730.64</v>
      </c>
      <c r="T122" s="119">
        <f>S122/S140</f>
        <v>7.2126513463271038E-3</v>
      </c>
      <c r="U122" s="107">
        <v>8260.64</v>
      </c>
      <c r="V122" s="119">
        <f>U122/U140</f>
        <v>4.3533250850713986E-3</v>
      </c>
      <c r="W122" s="107">
        <v>10510.010000000009</v>
      </c>
      <c r="X122" s="119">
        <f>W122/W140</f>
        <v>5.7301205528439078E-3</v>
      </c>
      <c r="Y122" s="229">
        <f t="shared" si="21"/>
        <v>29501.290000000008</v>
      </c>
      <c r="Z122" s="119">
        <f>Y122/Y140</f>
        <v>5.6521632789445437E-3</v>
      </c>
      <c r="AA122" s="107">
        <v>7844.3999999999942</v>
      </c>
      <c r="AB122" s="119">
        <f>AA122/AA140</f>
        <v>5.01325604365482E-3</v>
      </c>
      <c r="AC122" s="107">
        <v>8650</v>
      </c>
      <c r="AD122" s="119">
        <f>AC122/AC140</f>
        <v>5.2445141018314873E-3</v>
      </c>
      <c r="AE122" s="107">
        <v>13028.080000000016</v>
      </c>
      <c r="AF122" s="119">
        <f>AE122/AE140</f>
        <v>9.1330809165670514E-3</v>
      </c>
      <c r="AG122" s="229">
        <f t="shared" si="22"/>
        <v>29522.48000000001</v>
      </c>
      <c r="AH122" s="119">
        <f>AG122/AG140</f>
        <v>6.3618553681234081E-3</v>
      </c>
      <c r="AI122" s="273">
        <f t="shared" si="23"/>
        <v>7.1827367549026633E-4</v>
      </c>
      <c r="AJ122" s="229">
        <f t="shared" si="24"/>
        <v>143600.39000000001</v>
      </c>
      <c r="AK122" s="119">
        <f>AJ122/AJ140</f>
        <v>7.3846234565707715E-3</v>
      </c>
    </row>
    <row r="123" spans="1:37" s="66" customFormat="1" hidden="1" outlineLevel="1" x14ac:dyDescent="0.2">
      <c r="A123" s="62">
        <v>63010322</v>
      </c>
      <c r="B123" s="62" t="s">
        <v>284</v>
      </c>
      <c r="C123" s="107">
        <v>3080</v>
      </c>
      <c r="D123" s="119">
        <f>C123/C140</f>
        <v>1.6009524877221499E-3</v>
      </c>
      <c r="E123" s="107">
        <v>26876.1</v>
      </c>
      <c r="F123" s="119">
        <f>E123/E140</f>
        <v>2.2960313967712819E-2</v>
      </c>
      <c r="G123" s="107">
        <v>1250.4000000000015</v>
      </c>
      <c r="H123" s="119">
        <f>G123/G140</f>
        <v>7.2858384765968885E-4</v>
      </c>
      <c r="I123" s="229">
        <f t="shared" si="19"/>
        <v>31206.5</v>
      </c>
      <c r="J123" s="119">
        <f>I123/I140</f>
        <v>6.4870197450774729E-3</v>
      </c>
      <c r="K123" s="107">
        <v>1250.4000000000015</v>
      </c>
      <c r="L123" s="119">
        <f>K123/K140</f>
        <v>9.0586804497513223E-4</v>
      </c>
      <c r="M123" s="107">
        <v>7019.6199999999953</v>
      </c>
      <c r="N123" s="119">
        <f>M123/M140</f>
        <v>4.6975506969782563E-3</v>
      </c>
      <c r="O123" s="107">
        <v>1250.4000000000015</v>
      </c>
      <c r="P123" s="119">
        <f>O123/O140</f>
        <v>6.5789907412543776E-4</v>
      </c>
      <c r="Q123" s="229">
        <f t="shared" si="20"/>
        <v>9520.4199999999983</v>
      </c>
      <c r="R123" s="119">
        <f>Q123/Q140</f>
        <v>1.9937034168554476E-3</v>
      </c>
      <c r="S123" s="107">
        <v>-1829.5999999999985</v>
      </c>
      <c r="T123" s="119">
        <f>S123/S140</f>
        <v>-1.229774449915388E-3</v>
      </c>
      <c r="U123" s="107">
        <v>4330.4000000000015</v>
      </c>
      <c r="V123" s="119">
        <f>U123/U140</f>
        <v>2.282103922746082E-3</v>
      </c>
      <c r="W123" s="107">
        <v>1250.4000000000015</v>
      </c>
      <c r="X123" s="119">
        <f>W123/W140</f>
        <v>6.8172558725215532E-4</v>
      </c>
      <c r="Y123" s="229">
        <f t="shared" si="21"/>
        <v>3751.2000000000044</v>
      </c>
      <c r="Z123" s="119">
        <f>Y123/Y140</f>
        <v>7.1869382294729447E-4</v>
      </c>
      <c r="AA123" s="107">
        <v>1250.3999999999942</v>
      </c>
      <c r="AB123" s="119">
        <f>AA123/AA140</f>
        <v>7.9911470054892179E-4</v>
      </c>
      <c r="AC123" s="107">
        <v>1250.4000000000015</v>
      </c>
      <c r="AD123" s="119">
        <f>AC123/AC140</f>
        <v>7.5812028126359535E-4</v>
      </c>
      <c r="AE123" s="107">
        <v>1250.4000000000015</v>
      </c>
      <c r="AF123" s="119">
        <f>AE123/AE140</f>
        <v>8.7656848730399575E-4</v>
      </c>
      <c r="AG123" s="229">
        <f t="shared" si="22"/>
        <v>3751.1999999999971</v>
      </c>
      <c r="AH123" s="119">
        <f>AG123/AG140</f>
        <v>8.0835322293061087E-4</v>
      </c>
      <c r="AI123" s="273">
        <f t="shared" si="23"/>
        <v>-1.8873791418627661E-15</v>
      </c>
      <c r="AJ123" s="229">
        <f t="shared" si="24"/>
        <v>48229.32</v>
      </c>
      <c r="AK123" s="119">
        <f>AJ123/AJ140</f>
        <v>2.4801838474565272E-3</v>
      </c>
    </row>
    <row r="124" spans="1:37" s="66" customFormat="1" hidden="1" outlineLevel="1" x14ac:dyDescent="0.2">
      <c r="A124" s="62">
        <v>63010323</v>
      </c>
      <c r="B124" s="62" t="s">
        <v>285</v>
      </c>
      <c r="C124" s="107">
        <v>23812.46</v>
      </c>
      <c r="D124" s="119">
        <f>C124/C140</f>
        <v>1.2377473076553307E-2</v>
      </c>
      <c r="E124" s="107">
        <v>445.26000000000204</v>
      </c>
      <c r="F124" s="119">
        <f>E124/E140</f>
        <v>3.8038664081707754E-4</v>
      </c>
      <c r="G124" s="107">
        <v>713.93000000000029</v>
      </c>
      <c r="H124" s="119">
        <f>G124/G140</f>
        <v>4.1599317527165811E-4</v>
      </c>
      <c r="I124" s="229">
        <f t="shared" si="19"/>
        <v>24971.65</v>
      </c>
      <c r="J124" s="119">
        <f>I124/I140</f>
        <v>5.1909565833132163E-3</v>
      </c>
      <c r="K124" s="107">
        <v>19227.75</v>
      </c>
      <c r="L124" s="119">
        <f>K124/K140</f>
        <v>1.3929785909925286E-2</v>
      </c>
      <c r="M124" s="107">
        <v>8886.239999999998</v>
      </c>
      <c r="N124" s="119">
        <f>M124/M140</f>
        <v>5.9466983833193366E-3</v>
      </c>
      <c r="O124" s="107">
        <v>2000</v>
      </c>
      <c r="P124" s="119">
        <f>O124/O140</f>
        <v>1.0523017820304496E-3</v>
      </c>
      <c r="Q124" s="229">
        <f t="shared" si="20"/>
        <v>30113.989999999998</v>
      </c>
      <c r="R124" s="119">
        <f>Q124/Q140</f>
        <v>6.3062727020604965E-3</v>
      </c>
      <c r="S124" s="107">
        <v>-27893.07</v>
      </c>
      <c r="T124" s="119">
        <f>S124/S140</f>
        <v>-1.8748461311598949E-2</v>
      </c>
      <c r="U124" s="107">
        <v>24439.93</v>
      </c>
      <c r="V124" s="119">
        <f>U124/U140</f>
        <v>1.2879747858082309E-2</v>
      </c>
      <c r="W124" s="107">
        <v>5238.6200000000026</v>
      </c>
      <c r="X124" s="119">
        <f>W124/W140</f>
        <v>2.8561270760483711E-3</v>
      </c>
      <c r="Y124" s="229">
        <f t="shared" si="21"/>
        <v>1785.4800000000032</v>
      </c>
      <c r="Z124" s="119">
        <f>Y124/Y140</f>
        <v>3.4208078668051189E-4</v>
      </c>
      <c r="AA124" s="107">
        <v>4161.3499999999985</v>
      </c>
      <c r="AB124" s="119">
        <f>AA124/AA140</f>
        <v>2.6594657382671707E-3</v>
      </c>
      <c r="AC124" s="107">
        <v>5431.0399999999936</v>
      </c>
      <c r="AD124" s="119">
        <f>AC124/AC140</f>
        <v>3.2928515453885371E-3</v>
      </c>
      <c r="AE124" s="107">
        <v>3171.5500000000029</v>
      </c>
      <c r="AF124" s="119">
        <f>AE124/AE140</f>
        <v>2.22335315571736E-3</v>
      </c>
      <c r="AG124" s="229">
        <f t="shared" si="22"/>
        <v>12763.939999999995</v>
      </c>
      <c r="AH124" s="119">
        <f>AG124/AG140</f>
        <v>2.7505257081181875E-3</v>
      </c>
      <c r="AI124" s="273">
        <f t="shared" si="23"/>
        <v>6.1487443152541461</v>
      </c>
      <c r="AJ124" s="229">
        <f t="shared" si="24"/>
        <v>69635.06</v>
      </c>
      <c r="AK124" s="119">
        <f>AJ124/AJ140</f>
        <v>3.5809700619595323E-3</v>
      </c>
    </row>
    <row r="125" spans="1:37" s="66" customFormat="1" hidden="1" outlineLevel="1" x14ac:dyDescent="0.2">
      <c r="A125" s="62">
        <v>63010324</v>
      </c>
      <c r="B125" s="62" t="s">
        <v>286</v>
      </c>
      <c r="C125" s="107">
        <v>19241.009999999998</v>
      </c>
      <c r="D125" s="119">
        <f>C125/C140</f>
        <v>1.0001280138242455E-2</v>
      </c>
      <c r="E125" s="107">
        <v>24395.02</v>
      </c>
      <c r="F125" s="119">
        <f>E125/E140</f>
        <v>2.0840721624366395E-2</v>
      </c>
      <c r="G125" s="107">
        <v>32428.03</v>
      </c>
      <c r="H125" s="119">
        <f>G125/G140</f>
        <v>1.8895184636455366E-2</v>
      </c>
      <c r="I125" s="229">
        <f t="shared" si="19"/>
        <v>76064.06</v>
      </c>
      <c r="J125" s="119">
        <f>I125/I140</f>
        <v>1.5811739833392326E-2</v>
      </c>
      <c r="K125" s="107">
        <v>22474.180000000008</v>
      </c>
      <c r="L125" s="119">
        <f>K125/K140</f>
        <v>1.6281703054238005E-2</v>
      </c>
      <c r="M125" s="107">
        <v>23360.47</v>
      </c>
      <c r="N125" s="119">
        <f>M125/M140</f>
        <v>1.5632896386163313E-2</v>
      </c>
      <c r="O125" s="107">
        <v>28614.050000000003</v>
      </c>
      <c r="P125" s="119">
        <f>O125/O140</f>
        <v>1.5055307903054194E-2</v>
      </c>
      <c r="Q125" s="229">
        <f t="shared" si="20"/>
        <v>74448.700000000012</v>
      </c>
      <c r="R125" s="119">
        <f>Q125/Q140</f>
        <v>1.559055457326948E-2</v>
      </c>
      <c r="S125" s="107">
        <v>-135237.56</v>
      </c>
      <c r="T125" s="119">
        <f>S125/S140</f>
        <v>-9.0900577151781486E-2</v>
      </c>
      <c r="U125" s="107">
        <v>166022.84</v>
      </c>
      <c r="V125" s="119">
        <f>U125/U140</f>
        <v>8.7493389624386894E-2</v>
      </c>
      <c r="W125" s="107">
        <v>37712.359999999986</v>
      </c>
      <c r="X125" s="119">
        <f>W125/W140</f>
        <v>2.0561005092502121E-2</v>
      </c>
      <c r="Y125" s="229">
        <f t="shared" si="21"/>
        <v>68497.639999999985</v>
      </c>
      <c r="Z125" s="119">
        <f>Y125/Y140</f>
        <v>1.312348868481218E-2</v>
      </c>
      <c r="AA125" s="107">
        <v>22970.190000000002</v>
      </c>
      <c r="AB125" s="119">
        <f>AA125/AA140</f>
        <v>1.4679955616924124E-2</v>
      </c>
      <c r="AC125" s="107">
        <v>25635.870000000024</v>
      </c>
      <c r="AD125" s="119">
        <f>AC125/AC140</f>
        <v>1.5543084592799872E-2</v>
      </c>
      <c r="AE125" s="107">
        <v>41390.880000000005</v>
      </c>
      <c r="AF125" s="119">
        <f>AE125/AE140</f>
        <v>2.9016267650176879E-2</v>
      </c>
      <c r="AG125" s="229">
        <f t="shared" si="22"/>
        <v>89996.940000000031</v>
      </c>
      <c r="AH125" s="119">
        <f>AG125/AG140</f>
        <v>1.9393611778335703E-2</v>
      </c>
      <c r="AI125" s="273">
        <f t="shared" si="23"/>
        <v>0.31386920775664762</v>
      </c>
      <c r="AJ125" s="229">
        <f t="shared" si="24"/>
        <v>309007.34000000003</v>
      </c>
      <c r="AK125" s="119">
        <f>AJ125/AJ140</f>
        <v>1.5890645221900441E-2</v>
      </c>
    </row>
    <row r="126" spans="1:37" s="66" customFormat="1" hidden="1" outlineLevel="1" x14ac:dyDescent="0.2">
      <c r="A126" s="62">
        <v>63010326</v>
      </c>
      <c r="B126" s="62" t="s">
        <v>287</v>
      </c>
      <c r="C126" s="107">
        <v>0</v>
      </c>
      <c r="D126" s="119">
        <f>C126/C140</f>
        <v>0</v>
      </c>
      <c r="E126" s="107">
        <v>0</v>
      </c>
      <c r="F126" s="119">
        <f>E126/E140</f>
        <v>0</v>
      </c>
      <c r="G126" s="107">
        <v>0</v>
      </c>
      <c r="H126" s="119">
        <f>G126/G140</f>
        <v>0</v>
      </c>
      <c r="I126" s="229">
        <f t="shared" si="19"/>
        <v>0</v>
      </c>
      <c r="J126" s="119">
        <f>I126/I140</f>
        <v>0</v>
      </c>
      <c r="K126" s="107">
        <v>0</v>
      </c>
      <c r="L126" s="119">
        <f>K126/K140</f>
        <v>0</v>
      </c>
      <c r="M126" s="107">
        <v>0</v>
      </c>
      <c r="N126" s="119">
        <f>M126/M140</f>
        <v>0</v>
      </c>
      <c r="O126" s="107">
        <v>0</v>
      </c>
      <c r="P126" s="119">
        <f>O126/O140</f>
        <v>0</v>
      </c>
      <c r="Q126" s="229">
        <f t="shared" si="20"/>
        <v>0</v>
      </c>
      <c r="R126" s="119">
        <f>Q126/Q140</f>
        <v>0</v>
      </c>
      <c r="S126" s="107">
        <v>0</v>
      </c>
      <c r="T126" s="119">
        <f>S126/S140</f>
        <v>0</v>
      </c>
      <c r="U126" s="107">
        <v>0</v>
      </c>
      <c r="V126" s="119">
        <f>U126/U140</f>
        <v>0</v>
      </c>
      <c r="W126" s="107">
        <v>0</v>
      </c>
      <c r="X126" s="119">
        <f>W126/W140</f>
        <v>0</v>
      </c>
      <c r="Y126" s="229">
        <f t="shared" si="21"/>
        <v>0</v>
      </c>
      <c r="Z126" s="119">
        <f>Y126/Y140</f>
        <v>0</v>
      </c>
      <c r="AA126" s="107">
        <v>0</v>
      </c>
      <c r="AB126" s="119">
        <f>AA126/AA140</f>
        <v>0</v>
      </c>
      <c r="AC126" s="107">
        <v>0</v>
      </c>
      <c r="AD126" s="119">
        <f>AC126/AC140</f>
        <v>0</v>
      </c>
      <c r="AE126" s="107">
        <v>0</v>
      </c>
      <c r="AF126" s="119">
        <f>AE126/AE140</f>
        <v>0</v>
      </c>
      <c r="AG126" s="229">
        <f t="shared" si="22"/>
        <v>0</v>
      </c>
      <c r="AH126" s="119">
        <f>AG126/AG140</f>
        <v>0</v>
      </c>
      <c r="AI126" s="273" t="str">
        <f t="shared" si="23"/>
        <v>0</v>
      </c>
      <c r="AJ126" s="229">
        <f t="shared" si="24"/>
        <v>0</v>
      </c>
      <c r="AK126" s="119">
        <f>AJ126/AJ140</f>
        <v>0</v>
      </c>
    </row>
    <row r="127" spans="1:37" s="66" customFormat="1" hidden="1" outlineLevel="1" x14ac:dyDescent="0.2">
      <c r="A127" s="62">
        <v>63010328</v>
      </c>
      <c r="B127" s="62" t="s">
        <v>163</v>
      </c>
      <c r="C127" s="107">
        <v>55957.32</v>
      </c>
      <c r="D127" s="119">
        <f>C127/C140</f>
        <v>2.9086042422163769E-2</v>
      </c>
      <c r="E127" s="107">
        <v>67952.760000000009</v>
      </c>
      <c r="F127" s="119">
        <f>E127/E140</f>
        <v>5.8052198963861469E-2</v>
      </c>
      <c r="G127" s="107">
        <v>69159.749999999985</v>
      </c>
      <c r="H127" s="119">
        <f>G127/G140</f>
        <v>4.0298046031815499E-2</v>
      </c>
      <c r="I127" s="229">
        <f t="shared" si="19"/>
        <v>193069.83000000002</v>
      </c>
      <c r="J127" s="119">
        <f>I127/I140</f>
        <v>4.0134196381803509E-2</v>
      </c>
      <c r="K127" s="107">
        <v>64097.260000000009</v>
      </c>
      <c r="L127" s="119">
        <f>K127/K140</f>
        <v>4.6436068141764784E-2</v>
      </c>
      <c r="M127" s="107">
        <v>65153.670000000013</v>
      </c>
      <c r="N127" s="119">
        <f>M127/M140</f>
        <v>4.3601030813518619E-2</v>
      </c>
      <c r="O127" s="107">
        <v>66560.69</v>
      </c>
      <c r="P127" s="119">
        <f>O127/O140</f>
        <v>3.502096635008816E-2</v>
      </c>
      <c r="Q127" s="229">
        <f t="shared" si="20"/>
        <v>195811.62000000002</v>
      </c>
      <c r="R127" s="119">
        <f>Q127/Q140</f>
        <v>4.1005574948794345E-2</v>
      </c>
      <c r="S127" s="107">
        <v>67343.469999999972</v>
      </c>
      <c r="T127" s="119">
        <f>S127/S140</f>
        <v>4.5265237633714185E-2</v>
      </c>
      <c r="U127" s="107">
        <v>65440.150000000023</v>
      </c>
      <c r="V127" s="119">
        <f>U127/U140</f>
        <v>3.4486704004270279E-2</v>
      </c>
      <c r="W127" s="107">
        <v>67215.450000000012</v>
      </c>
      <c r="X127" s="119">
        <f>W127/W140</f>
        <v>3.6646266893528338E-2</v>
      </c>
      <c r="Y127" s="229">
        <f t="shared" si="21"/>
        <v>199999.07</v>
      </c>
      <c r="Z127" s="119">
        <f>Y127/Y140</f>
        <v>3.831789726066416E-2</v>
      </c>
      <c r="AA127" s="107">
        <v>68507.819999999949</v>
      </c>
      <c r="AB127" s="119">
        <f>AA127/AA140</f>
        <v>4.3782474459820579E-2</v>
      </c>
      <c r="AC127" s="107">
        <v>64519.570000000065</v>
      </c>
      <c r="AD127" s="119">
        <f>AC127/AC140</f>
        <v>3.911835776983863E-2</v>
      </c>
      <c r="AE127" s="107">
        <v>65465.089999999967</v>
      </c>
      <c r="AF127" s="119">
        <f>AE127/AE140</f>
        <v>4.5893022162923736E-2</v>
      </c>
      <c r="AG127" s="229">
        <f t="shared" si="22"/>
        <v>198492.47999999998</v>
      </c>
      <c r="AH127" s="119">
        <f>AG127/AG140</f>
        <v>4.2773522055739477E-2</v>
      </c>
      <c r="AI127" s="273">
        <f t="shared" si="23"/>
        <v>-7.5329850283805122E-3</v>
      </c>
      <c r="AJ127" s="229">
        <f t="shared" si="24"/>
        <v>787373</v>
      </c>
      <c r="AK127" s="119">
        <f>AJ127/AJ140</f>
        <v>4.0490510679466102E-2</v>
      </c>
    </row>
    <row r="128" spans="1:37" s="66" customFormat="1" hidden="1" outlineLevel="1" x14ac:dyDescent="0.2">
      <c r="A128" s="62">
        <v>63010332</v>
      </c>
      <c r="B128" s="62" t="s">
        <v>288</v>
      </c>
      <c r="C128" s="107">
        <v>29120.480000000593</v>
      </c>
      <c r="D128" s="119">
        <f>C128/C140</f>
        <v>1.5136527564825994E-2</v>
      </c>
      <c r="E128" s="107">
        <v>0</v>
      </c>
      <c r="F128" s="119">
        <f>E128/E140</f>
        <v>0</v>
      </c>
      <c r="G128" s="107">
        <v>204576.51999999941</v>
      </c>
      <c r="H128" s="119">
        <f>G128/G140</f>
        <v>0.11920277357839786</v>
      </c>
      <c r="I128" s="229">
        <f t="shared" si="19"/>
        <v>233697</v>
      </c>
      <c r="J128" s="119">
        <f>I128/I140</f>
        <v>4.8579528411240289E-2</v>
      </c>
      <c r="K128" s="107">
        <v>228864</v>
      </c>
      <c r="L128" s="119">
        <f>K128/K140</f>
        <v>0.16580341030485318</v>
      </c>
      <c r="M128" s="107">
        <v>235795</v>
      </c>
      <c r="N128" s="119">
        <f>M128/M140</f>
        <v>0.15779471917197635</v>
      </c>
      <c r="O128" s="107">
        <v>372913.8600000001</v>
      </c>
      <c r="P128" s="119">
        <f>O128/O140</f>
        <v>0.19620895971092683</v>
      </c>
      <c r="Q128" s="229">
        <f t="shared" si="20"/>
        <v>837572.8600000001</v>
      </c>
      <c r="R128" s="119">
        <f>Q128/Q140</f>
        <v>0.1753989711428057</v>
      </c>
      <c r="S128" s="107">
        <v>229338.1399999999</v>
      </c>
      <c r="T128" s="119">
        <f>S128/S140</f>
        <v>0.15415073511320418</v>
      </c>
      <c r="U128" s="107">
        <v>256920.87999999989</v>
      </c>
      <c r="V128" s="119">
        <f>U128/U140</f>
        <v>0.13539630243935316</v>
      </c>
      <c r="W128" s="107">
        <v>231566.4600000002</v>
      </c>
      <c r="X128" s="119">
        <f>W128/W140</f>
        <v>0.12625142428934955</v>
      </c>
      <c r="Y128" s="229">
        <f t="shared" si="21"/>
        <v>717825.48</v>
      </c>
      <c r="Z128" s="119">
        <f>Y128/Y140</f>
        <v>0.13752845447594797</v>
      </c>
      <c r="AA128" s="107">
        <v>155992.26</v>
      </c>
      <c r="AB128" s="119">
        <f>AA128/AA140</f>
        <v>9.9692664857525704E-2</v>
      </c>
      <c r="AC128" s="107">
        <v>155992.25999999978</v>
      </c>
      <c r="AD128" s="119">
        <f>AC128/AC140</f>
        <v>9.4578451716365627E-2</v>
      </c>
      <c r="AE128" s="107">
        <v>155992.26000000024</v>
      </c>
      <c r="AF128" s="119">
        <f>AE128/AE140</f>
        <v>0.10935532579920958</v>
      </c>
      <c r="AG128" s="229">
        <f t="shared" si="22"/>
        <v>467976.78</v>
      </c>
      <c r="AH128" s="119">
        <f>AG128/AG140</f>
        <v>0.10084520643252552</v>
      </c>
      <c r="AI128" s="273">
        <f t="shared" si="23"/>
        <v>-0.34806329248719337</v>
      </c>
      <c r="AJ128" s="229">
        <f t="shared" si="24"/>
        <v>2257072.12</v>
      </c>
      <c r="AK128" s="119">
        <f>AJ128/AJ140</f>
        <v>0.11606951569228968</v>
      </c>
    </row>
    <row r="129" spans="1:37" s="66" customFormat="1" hidden="1" outlineLevel="1" x14ac:dyDescent="0.2">
      <c r="A129" s="62">
        <v>63010334</v>
      </c>
      <c r="B129" s="62" t="s">
        <v>289</v>
      </c>
      <c r="C129" s="107">
        <v>0</v>
      </c>
      <c r="D129" s="119">
        <f>C129/C140</f>
        <v>0</v>
      </c>
      <c r="E129" s="107">
        <v>0</v>
      </c>
      <c r="F129" s="119">
        <f>E129/E140</f>
        <v>0</v>
      </c>
      <c r="G129" s="107">
        <v>0</v>
      </c>
      <c r="H129" s="119">
        <f>G129/G140</f>
        <v>0</v>
      </c>
      <c r="I129" s="229">
        <f t="shared" si="19"/>
        <v>0</v>
      </c>
      <c r="J129" s="119">
        <f>I129/I140</f>
        <v>0</v>
      </c>
      <c r="K129" s="107">
        <v>0</v>
      </c>
      <c r="L129" s="119">
        <f>K129/K140</f>
        <v>0</v>
      </c>
      <c r="M129" s="107">
        <v>0</v>
      </c>
      <c r="N129" s="119">
        <f>M129/M140</f>
        <v>0</v>
      </c>
      <c r="O129" s="107">
        <v>0</v>
      </c>
      <c r="P129" s="119">
        <f>O129/O140</f>
        <v>0</v>
      </c>
      <c r="Q129" s="229">
        <f t="shared" si="20"/>
        <v>0</v>
      </c>
      <c r="R129" s="119">
        <f>Q129/Q140</f>
        <v>0</v>
      </c>
      <c r="S129" s="107">
        <v>680</v>
      </c>
      <c r="T129" s="119">
        <f>S129/S140</f>
        <v>4.5706527434546598E-4</v>
      </c>
      <c r="U129" s="107">
        <v>680</v>
      </c>
      <c r="V129" s="119">
        <f>U129/U140</f>
        <v>3.5835734977538683E-4</v>
      </c>
      <c r="W129" s="107">
        <v>0</v>
      </c>
      <c r="X129" s="119">
        <f>W129/W140</f>
        <v>0</v>
      </c>
      <c r="Y129" s="229">
        <f t="shared" si="21"/>
        <v>1360</v>
      </c>
      <c r="Z129" s="119">
        <f>Y129/Y140</f>
        <v>2.6056291299006169E-4</v>
      </c>
      <c r="AA129" s="107">
        <v>12999.25</v>
      </c>
      <c r="AB129" s="119">
        <f>AA129/AA140</f>
        <v>8.3076549672989608E-3</v>
      </c>
      <c r="AC129" s="107">
        <v>0</v>
      </c>
      <c r="AD129" s="119">
        <f>AC129/AC140</f>
        <v>0</v>
      </c>
      <c r="AE129" s="107">
        <v>172.42000000000007</v>
      </c>
      <c r="AF129" s="119">
        <f>AE129/AE140</f>
        <v>1.2087167192974634E-4</v>
      </c>
      <c r="AG129" s="229">
        <f t="shared" si="22"/>
        <v>13171.67</v>
      </c>
      <c r="AH129" s="119">
        <f>AG129/AG140</f>
        <v>2.8383882213367582E-3</v>
      </c>
      <c r="AI129" s="273">
        <f t="shared" si="23"/>
        <v>8.6850514705882347</v>
      </c>
      <c r="AJ129" s="229">
        <f t="shared" si="24"/>
        <v>14531.67</v>
      </c>
      <c r="AK129" s="119">
        <f>AJ129/AJ140</f>
        <v>7.4728843804077252E-4</v>
      </c>
    </row>
    <row r="130" spans="1:37" s="66" customFormat="1" hidden="1" outlineLevel="1" x14ac:dyDescent="0.2">
      <c r="A130" s="62">
        <v>63010336</v>
      </c>
      <c r="B130" s="62" t="s">
        <v>290</v>
      </c>
      <c r="C130" s="107">
        <v>0</v>
      </c>
      <c r="D130" s="119">
        <f>C130/C140</f>
        <v>0</v>
      </c>
      <c r="E130" s="107">
        <v>0</v>
      </c>
      <c r="F130" s="119">
        <f>E130/E140</f>
        <v>0</v>
      </c>
      <c r="G130" s="107">
        <v>0</v>
      </c>
      <c r="H130" s="119">
        <f>G130/G140</f>
        <v>0</v>
      </c>
      <c r="I130" s="229">
        <f t="shared" si="19"/>
        <v>0</v>
      </c>
      <c r="J130" s="119">
        <f>I130/I140</f>
        <v>0</v>
      </c>
      <c r="K130" s="107">
        <v>0</v>
      </c>
      <c r="L130" s="119">
        <f>K130/K140</f>
        <v>0</v>
      </c>
      <c r="M130" s="107">
        <v>0</v>
      </c>
      <c r="N130" s="119">
        <f>M130/M140</f>
        <v>0</v>
      </c>
      <c r="O130" s="107">
        <v>3816.2</v>
      </c>
      <c r="P130" s="119">
        <f>O130/O140</f>
        <v>2.0078970302923006E-3</v>
      </c>
      <c r="Q130" s="229">
        <f t="shared" si="20"/>
        <v>3816.2</v>
      </c>
      <c r="R130" s="119">
        <f>Q130/Q140</f>
        <v>7.9916337508258682E-4</v>
      </c>
      <c r="S130" s="107">
        <v>0</v>
      </c>
      <c r="T130" s="119">
        <f>S130/S140</f>
        <v>0</v>
      </c>
      <c r="U130" s="107">
        <v>0</v>
      </c>
      <c r="V130" s="119">
        <f>U130/U140</f>
        <v>0</v>
      </c>
      <c r="W130" s="107">
        <v>0</v>
      </c>
      <c r="X130" s="119">
        <f>W130/W140</f>
        <v>0</v>
      </c>
      <c r="Y130" s="229">
        <f t="shared" si="21"/>
        <v>0</v>
      </c>
      <c r="Z130" s="119">
        <f>Y130/Y140</f>
        <v>0</v>
      </c>
      <c r="AA130" s="107">
        <v>0</v>
      </c>
      <c r="AB130" s="119">
        <f>AA130/AA140</f>
        <v>0</v>
      </c>
      <c r="AC130" s="107">
        <v>0</v>
      </c>
      <c r="AD130" s="119">
        <f>AC130/AC140</f>
        <v>0</v>
      </c>
      <c r="AE130" s="107">
        <v>0</v>
      </c>
      <c r="AF130" s="119">
        <f>AE130/AE140</f>
        <v>0</v>
      </c>
      <c r="AG130" s="229">
        <f t="shared" si="22"/>
        <v>0</v>
      </c>
      <c r="AH130" s="119">
        <f>AG130/AG140</f>
        <v>0</v>
      </c>
      <c r="AI130" s="273" t="str">
        <f t="shared" si="23"/>
        <v>0</v>
      </c>
      <c r="AJ130" s="229">
        <f t="shared" si="24"/>
        <v>3816.2</v>
      </c>
      <c r="AK130" s="119">
        <f>AJ130/AJ140</f>
        <v>1.9624737812317484E-4</v>
      </c>
    </row>
    <row r="131" spans="1:37" s="66" customFormat="1" hidden="1" outlineLevel="1" x14ac:dyDescent="0.2">
      <c r="A131" s="62">
        <v>63010337</v>
      </c>
      <c r="B131" s="62" t="s">
        <v>291</v>
      </c>
      <c r="C131" s="107">
        <v>5063.3900000000003</v>
      </c>
      <c r="D131" s="119">
        <f>C131/C140</f>
        <v>2.6318983171452781E-3</v>
      </c>
      <c r="E131" s="107">
        <v>6335.06</v>
      </c>
      <c r="F131" s="119">
        <f>E131/E140</f>
        <v>5.4120563104132959E-3</v>
      </c>
      <c r="G131" s="107">
        <v>5699.23</v>
      </c>
      <c r="H131" s="119">
        <f>G131/G140</f>
        <v>3.320830871799043E-3</v>
      </c>
      <c r="I131" s="229">
        <f t="shared" si="19"/>
        <v>17097.68</v>
      </c>
      <c r="J131" s="119">
        <f>I131/I140</f>
        <v>3.5541630030607794E-3</v>
      </c>
      <c r="K131" s="107">
        <v>6005.6100000000006</v>
      </c>
      <c r="L131" s="119">
        <f>K131/K140</f>
        <v>4.3508398829039492E-3</v>
      </c>
      <c r="M131" s="107">
        <v>6005.6100000000006</v>
      </c>
      <c r="N131" s="119">
        <f>M131/M140</f>
        <v>4.0189721724651203E-3</v>
      </c>
      <c r="O131" s="107">
        <v>8601.8499999999985</v>
      </c>
      <c r="P131" s="119">
        <f>O131/O140</f>
        <v>4.5258710418793107E-3</v>
      </c>
      <c r="Q131" s="229">
        <f t="shared" si="20"/>
        <v>20613.07</v>
      </c>
      <c r="R131" s="119">
        <f>Q131/Q140</f>
        <v>4.3166528462904507E-3</v>
      </c>
      <c r="S131" s="107">
        <v>-27057.360000000001</v>
      </c>
      <c r="T131" s="119">
        <f>S131/S140</f>
        <v>-1.8186734810976525E-2</v>
      </c>
      <c r="U131" s="107">
        <v>45592.56</v>
      </c>
      <c r="V131" s="119">
        <f>U131/U140</f>
        <v>2.4027101428051926E-2</v>
      </c>
      <c r="W131" s="107">
        <v>10426.400000000009</v>
      </c>
      <c r="X131" s="119">
        <f>W131/W140</f>
        <v>5.6845358788594601E-3</v>
      </c>
      <c r="Y131" s="229">
        <f t="shared" si="21"/>
        <v>28961.600000000006</v>
      </c>
      <c r="Z131" s="119">
        <f>Y131/Y140</f>
        <v>5.5487638682742441E-3</v>
      </c>
      <c r="AA131" s="107">
        <v>10838.739999999991</v>
      </c>
      <c r="AB131" s="119">
        <f>AA131/AA140</f>
        <v>6.926900567360568E-3</v>
      </c>
      <c r="AC131" s="107">
        <v>12615.410000000003</v>
      </c>
      <c r="AD131" s="119">
        <f>AC131/AC140</f>
        <v>7.6487509416631192E-3</v>
      </c>
      <c r="AE131" s="107">
        <v>13806.789999999994</v>
      </c>
      <c r="AF131" s="119">
        <f>AE131/AE140</f>
        <v>9.6789803461483654E-3</v>
      </c>
      <c r="AG131" s="229">
        <f t="shared" si="22"/>
        <v>37260.939999999988</v>
      </c>
      <c r="AH131" s="119">
        <f>AG131/AG140</f>
        <v>8.0294308323800734E-3</v>
      </c>
      <c r="AI131" s="273">
        <f t="shared" si="23"/>
        <v>0.28656358764709067</v>
      </c>
      <c r="AJ131" s="229">
        <f t="shared" si="24"/>
        <v>103933.29</v>
      </c>
      <c r="AK131" s="119">
        <f>AJ131/AJ140</f>
        <v>5.3447501866295231E-3</v>
      </c>
    </row>
    <row r="132" spans="1:37" s="66" customFormat="1" hidden="1" outlineLevel="1" x14ac:dyDescent="0.2">
      <c r="A132" s="62">
        <v>63010347</v>
      </c>
      <c r="B132" s="62" t="s">
        <v>292</v>
      </c>
      <c r="C132" s="107">
        <v>2144.84</v>
      </c>
      <c r="D132" s="119">
        <f>C132/C140</f>
        <v>1.1148658875863558E-3</v>
      </c>
      <c r="E132" s="107">
        <v>989.48</v>
      </c>
      <c r="F132" s="119">
        <f>E132/E140</f>
        <v>8.4531503695746337E-4</v>
      </c>
      <c r="G132" s="107">
        <v>963.67999999999984</v>
      </c>
      <c r="H132" s="119">
        <f>G132/G140</f>
        <v>5.6151766019888675E-4</v>
      </c>
      <c r="I132" s="229">
        <f t="shared" si="19"/>
        <v>4098</v>
      </c>
      <c r="J132" s="119">
        <f>I132/I140</f>
        <v>8.5186762101893785E-4</v>
      </c>
      <c r="K132" s="107">
        <v>793.02999999999975</v>
      </c>
      <c r="L132" s="119">
        <f>K132/K140</f>
        <v>5.7452058197906913E-4</v>
      </c>
      <c r="M132" s="107">
        <v>237.10000000000036</v>
      </c>
      <c r="N132" s="119">
        <f>M132/M140</f>
        <v>1.586680290747287E-4</v>
      </c>
      <c r="O132" s="107">
        <v>608.61999999999989</v>
      </c>
      <c r="P132" s="119">
        <f>O132/O140</f>
        <v>3.2022595528968605E-4</v>
      </c>
      <c r="Q132" s="229">
        <f t="shared" si="20"/>
        <v>1638.75</v>
      </c>
      <c r="R132" s="119">
        <f>Q132/Q140</f>
        <v>3.4317619121549948E-4</v>
      </c>
      <c r="S132" s="107">
        <v>1048.9399999999996</v>
      </c>
      <c r="T132" s="119">
        <f>S132/S140</f>
        <v>7.0505007187048952E-4</v>
      </c>
      <c r="U132" s="107">
        <v>1354.5300000000007</v>
      </c>
      <c r="V132" s="119">
        <f>U132/U140</f>
        <v>7.1383203086949258E-4</v>
      </c>
      <c r="W132" s="107">
        <v>278.48000000000047</v>
      </c>
      <c r="X132" s="119">
        <f>W132/W140</f>
        <v>1.5182896796063684E-4</v>
      </c>
      <c r="Y132" s="229">
        <f t="shared" si="21"/>
        <v>2681.9500000000007</v>
      </c>
      <c r="Z132" s="119">
        <f>Y132/Y140</f>
        <v>5.1383581212771775E-4</v>
      </c>
      <c r="AA132" s="107">
        <v>1731.2199999999993</v>
      </c>
      <c r="AB132" s="119">
        <f>AA132/AA140</f>
        <v>1.1064006333047908E-3</v>
      </c>
      <c r="AC132" s="107">
        <v>0</v>
      </c>
      <c r="AD132" s="119">
        <f>AC132/AC140</f>
        <v>0</v>
      </c>
      <c r="AE132" s="107">
        <v>1802.2299999999996</v>
      </c>
      <c r="AF132" s="119">
        <f>AE132/AE140</f>
        <v>1.2634181260987509E-3</v>
      </c>
      <c r="AG132" s="229">
        <f t="shared" si="22"/>
        <v>3533.4499999999989</v>
      </c>
      <c r="AH132" s="119">
        <f>AG132/AG140</f>
        <v>7.6142986126150785E-4</v>
      </c>
      <c r="AI132" s="273">
        <f t="shared" si="23"/>
        <v>0.31749286899457418</v>
      </c>
      <c r="AJ132" s="229">
        <f t="shared" si="24"/>
        <v>11952.15</v>
      </c>
      <c r="AK132" s="119">
        <f>AJ132/AJ140</f>
        <v>6.1463709984668107E-4</v>
      </c>
    </row>
    <row r="133" spans="1:37" s="66" customFormat="1" hidden="1" outlineLevel="1" x14ac:dyDescent="0.2">
      <c r="A133" s="62">
        <v>63010352</v>
      </c>
      <c r="B133" s="62" t="s">
        <v>293</v>
      </c>
      <c r="C133" s="107">
        <v>11676</v>
      </c>
      <c r="D133" s="119">
        <f>C133/C140</f>
        <v>6.0690653398194228E-3</v>
      </c>
      <c r="E133" s="107">
        <v>0</v>
      </c>
      <c r="F133" s="119">
        <f>E133/E140</f>
        <v>0</v>
      </c>
      <c r="G133" s="107">
        <v>0</v>
      </c>
      <c r="H133" s="119">
        <f>G133/G140</f>
        <v>0</v>
      </c>
      <c r="I133" s="229">
        <f t="shared" si="19"/>
        <v>11676</v>
      </c>
      <c r="J133" s="119">
        <f>I133/I140</f>
        <v>2.4271367357289208E-3</v>
      </c>
      <c r="K133" s="107">
        <v>0</v>
      </c>
      <c r="L133" s="119">
        <f>K133/K140</f>
        <v>0</v>
      </c>
      <c r="M133" s="107">
        <v>0</v>
      </c>
      <c r="N133" s="119">
        <f>M133/M140</f>
        <v>0</v>
      </c>
      <c r="O133" s="107">
        <v>3758</v>
      </c>
      <c r="P133" s="119">
        <f>O133/O140</f>
        <v>1.9772750484352147E-3</v>
      </c>
      <c r="Q133" s="229">
        <f t="shared" si="20"/>
        <v>3758</v>
      </c>
      <c r="R133" s="119">
        <f>Q133/Q140</f>
        <v>7.8697551584307982E-4</v>
      </c>
      <c r="S133" s="107">
        <v>0</v>
      </c>
      <c r="T133" s="119">
        <f>S133/S140</f>
        <v>0</v>
      </c>
      <c r="U133" s="107">
        <v>0</v>
      </c>
      <c r="V133" s="119">
        <f>U133/U140</f>
        <v>0</v>
      </c>
      <c r="W133" s="107">
        <v>0</v>
      </c>
      <c r="X133" s="119">
        <f>W133/W140</f>
        <v>0</v>
      </c>
      <c r="Y133" s="229">
        <f t="shared" si="21"/>
        <v>0</v>
      </c>
      <c r="Z133" s="119">
        <f>Y133/Y140</f>
        <v>0</v>
      </c>
      <c r="AA133" s="107">
        <v>0</v>
      </c>
      <c r="AB133" s="119">
        <f>AA133/AA140</f>
        <v>0</v>
      </c>
      <c r="AC133" s="107">
        <v>0</v>
      </c>
      <c r="AD133" s="119">
        <f>AC133/AC140</f>
        <v>0</v>
      </c>
      <c r="AE133" s="107">
        <v>0</v>
      </c>
      <c r="AF133" s="119">
        <f>AE133/AE140</f>
        <v>0</v>
      </c>
      <c r="AG133" s="229">
        <f t="shared" si="22"/>
        <v>0</v>
      </c>
      <c r="AH133" s="119">
        <f>AG133/AG140</f>
        <v>0</v>
      </c>
      <c r="AI133" s="273" t="str">
        <f t="shared" si="23"/>
        <v>0</v>
      </c>
      <c r="AJ133" s="229">
        <f t="shared" si="24"/>
        <v>15434</v>
      </c>
      <c r="AK133" s="119">
        <f>AJ133/AJ140</f>
        <v>7.9369059115169031E-4</v>
      </c>
    </row>
    <row r="134" spans="1:37" s="66" customFormat="1" hidden="1" outlineLevel="1" x14ac:dyDescent="0.2">
      <c r="A134" s="62">
        <v>63010355</v>
      </c>
      <c r="B134" s="62" t="s">
        <v>164</v>
      </c>
      <c r="C134" s="107">
        <v>10790.4</v>
      </c>
      <c r="D134" s="119">
        <f>C134/C140</f>
        <v>5.6087395206224303E-3</v>
      </c>
      <c r="E134" s="107">
        <v>10790.4</v>
      </c>
      <c r="F134" s="119">
        <f>E134/E140</f>
        <v>9.2182635068781705E-3</v>
      </c>
      <c r="G134" s="107">
        <v>21899.399999999998</v>
      </c>
      <c r="H134" s="119">
        <f>G134/G140</f>
        <v>1.2760355976838268E-2</v>
      </c>
      <c r="I134" s="229">
        <f t="shared" si="19"/>
        <v>43480.2</v>
      </c>
      <c r="J134" s="119">
        <f>I134/I140</f>
        <v>9.0384027660877549E-3</v>
      </c>
      <c r="K134" s="107">
        <v>11189.800000000003</v>
      </c>
      <c r="L134" s="119">
        <f>K134/K140</f>
        <v>8.106591690389256E-3</v>
      </c>
      <c r="M134" s="107">
        <v>11935</v>
      </c>
      <c r="N134" s="119">
        <f>M134/M140</f>
        <v>7.9869376929855938E-3</v>
      </c>
      <c r="O134" s="107">
        <v>10699</v>
      </c>
      <c r="P134" s="119">
        <f>O134/O140</f>
        <v>5.62928838297189E-3</v>
      </c>
      <c r="Q134" s="229">
        <f t="shared" si="20"/>
        <v>33823.800000000003</v>
      </c>
      <c r="R134" s="119">
        <f>Q134/Q140</f>
        <v>7.0831565866879102E-3</v>
      </c>
      <c r="S134" s="107">
        <v>7516.5299999999988</v>
      </c>
      <c r="T134" s="119">
        <f>S134/S140</f>
        <v>5.052271833199889E-3</v>
      </c>
      <c r="U134" s="107">
        <v>7164.570000000007</v>
      </c>
      <c r="V134" s="119">
        <f>U134/U140</f>
        <v>3.7757004668827142E-3</v>
      </c>
      <c r="W134" s="107">
        <v>8375.5999999999913</v>
      </c>
      <c r="X134" s="119">
        <f>W134/W140</f>
        <v>4.5664274061013588E-3</v>
      </c>
      <c r="Y134" s="229">
        <f t="shared" si="21"/>
        <v>23056.699999999997</v>
      </c>
      <c r="Z134" s="119">
        <f>Y134/Y140</f>
        <v>4.417441849954378E-3</v>
      </c>
      <c r="AA134" s="107">
        <v>7641.5400000000081</v>
      </c>
      <c r="AB134" s="119">
        <f>AA134/AA140</f>
        <v>4.8836108036089598E-3</v>
      </c>
      <c r="AC134" s="107">
        <v>7623.1299999999901</v>
      </c>
      <c r="AD134" s="119">
        <f>AC134/AC140</f>
        <v>4.621920553190129E-3</v>
      </c>
      <c r="AE134" s="107">
        <v>13352.48000000001</v>
      </c>
      <c r="AF134" s="119">
        <f>AE134/AE140</f>
        <v>9.3604951978221787E-3</v>
      </c>
      <c r="AG134" s="229">
        <f t="shared" si="22"/>
        <v>28617.150000000009</v>
      </c>
      <c r="AH134" s="119">
        <f>AG134/AG140</f>
        <v>6.1667640844499773E-3</v>
      </c>
      <c r="AI134" s="273">
        <f t="shared" si="23"/>
        <v>0.24116417353741038</v>
      </c>
      <c r="AJ134" s="229">
        <f t="shared" si="24"/>
        <v>128977.85</v>
      </c>
      <c r="AK134" s="119">
        <f>AJ134/AJ140</f>
        <v>6.6326620456118989E-3</v>
      </c>
    </row>
    <row r="135" spans="1:37" s="66" customFormat="1" hidden="1" outlineLevel="1" x14ac:dyDescent="0.2">
      <c r="A135" s="62">
        <v>63010356</v>
      </c>
      <c r="B135" s="62" t="s">
        <v>295</v>
      </c>
      <c r="C135" s="107">
        <v>2407.48</v>
      </c>
      <c r="D135" s="119">
        <f>C135/C140</f>
        <v>1.251383472448481E-3</v>
      </c>
      <c r="E135" s="107">
        <v>8239.4600000000009</v>
      </c>
      <c r="F135" s="119">
        <f>E135/E140</f>
        <v>7.038989605054718E-3</v>
      </c>
      <c r="G135" s="107">
        <v>6328.0199999999986</v>
      </c>
      <c r="H135" s="119">
        <f>G135/G140</f>
        <v>3.6872146190558685E-3</v>
      </c>
      <c r="I135" s="229">
        <f t="shared" si="19"/>
        <v>16974.96</v>
      </c>
      <c r="J135" s="119">
        <f>I135/I140</f>
        <v>3.5286527067085478E-3</v>
      </c>
      <c r="K135" s="107">
        <v>17441.239999999998</v>
      </c>
      <c r="L135" s="119">
        <f>K135/K140</f>
        <v>1.2635526216204458E-2</v>
      </c>
      <c r="M135" s="107">
        <v>3156.9100000000035</v>
      </c>
      <c r="N135" s="119">
        <f>M135/M140</f>
        <v>2.1126136131012297E-3</v>
      </c>
      <c r="O135" s="107">
        <v>4828.5800000000017</v>
      </c>
      <c r="P135" s="119">
        <f>O135/O140</f>
        <v>2.5405616693382951E-3</v>
      </c>
      <c r="Q135" s="229">
        <f t="shared" si="20"/>
        <v>25426.730000000003</v>
      </c>
      <c r="R135" s="119">
        <f>Q135/Q140</f>
        <v>5.3246977003599564E-3</v>
      </c>
      <c r="S135" s="107">
        <v>2501.2799999999988</v>
      </c>
      <c r="T135" s="119">
        <f>S135/S140</f>
        <v>1.6812473961982744E-3</v>
      </c>
      <c r="U135" s="107">
        <v>3554.6900000000023</v>
      </c>
      <c r="V135" s="119">
        <f>U135/U140</f>
        <v>1.8733077759898098E-3</v>
      </c>
      <c r="W135" s="107">
        <v>3180.929999999993</v>
      </c>
      <c r="X135" s="119">
        <f>W135/W140</f>
        <v>1.7342621339235373E-3</v>
      </c>
      <c r="Y135" s="229">
        <f t="shared" si="21"/>
        <v>9236.8999999999942</v>
      </c>
      <c r="Z135" s="119">
        <f>Y135/Y140</f>
        <v>1.7697011551455141E-3</v>
      </c>
      <c r="AA135" s="107">
        <v>4238.18</v>
      </c>
      <c r="AB135" s="119">
        <f>AA135/AA140</f>
        <v>2.7085668118781553E-3</v>
      </c>
      <c r="AC135" s="107">
        <v>5423.9200000000055</v>
      </c>
      <c r="AD135" s="119">
        <f>AC135/AC140</f>
        <v>3.2885346736654187E-3</v>
      </c>
      <c r="AE135" s="107">
        <v>8408.6699999999983</v>
      </c>
      <c r="AF135" s="119">
        <f>AE135/AE140</f>
        <v>5.8947337988951376E-3</v>
      </c>
      <c r="AG135" s="229">
        <f t="shared" si="22"/>
        <v>18070.770000000004</v>
      </c>
      <c r="AH135" s="119">
        <f>AG135/AG140</f>
        <v>3.8941045986185248E-3</v>
      </c>
      <c r="AI135" s="273">
        <f t="shared" si="23"/>
        <v>0.95636739598783316</v>
      </c>
      <c r="AJ135" s="229">
        <f t="shared" si="24"/>
        <v>69709.36</v>
      </c>
      <c r="AK135" s="119">
        <f>AJ135/AJ140</f>
        <v>3.5847909256969028E-3</v>
      </c>
    </row>
    <row r="136" spans="1:37" s="66" customFormat="1" hidden="1" outlineLevel="1" x14ac:dyDescent="0.2">
      <c r="A136" s="62">
        <v>63010357</v>
      </c>
      <c r="B136" s="62" t="s">
        <v>296</v>
      </c>
      <c r="C136" s="107">
        <v>16968.86</v>
      </c>
      <c r="D136" s="119">
        <f>C136/C140</f>
        <v>8.8202398151976877E-3</v>
      </c>
      <c r="E136" s="107">
        <v>16452.809999999998</v>
      </c>
      <c r="F136" s="119">
        <f>E136/E140</f>
        <v>1.4055673377131546E-2</v>
      </c>
      <c r="G136" s="107">
        <v>26622.15</v>
      </c>
      <c r="H136" s="119">
        <f>G136/G140</f>
        <v>1.5512210876498211E-2</v>
      </c>
      <c r="I136" s="229">
        <f t="shared" si="19"/>
        <v>60043.82</v>
      </c>
      <c r="J136" s="119">
        <f>I136/I140</f>
        <v>1.2481548584746052E-2</v>
      </c>
      <c r="K136" s="107">
        <v>11951.799999999996</v>
      </c>
      <c r="L136" s="119">
        <f>K136/K140</f>
        <v>8.6586321976437688E-3</v>
      </c>
      <c r="M136" s="107">
        <v>16513.300000000003</v>
      </c>
      <c r="N136" s="119">
        <f>M136/M140</f>
        <v>1.1050749744916549E-2</v>
      </c>
      <c r="O136" s="107">
        <v>14942.430000000008</v>
      </c>
      <c r="P136" s="119">
        <f>O136/O140</f>
        <v>7.8619728584326289E-3</v>
      </c>
      <c r="Q136" s="229">
        <f t="shared" si="20"/>
        <v>43407.530000000006</v>
      </c>
      <c r="R136" s="119">
        <f>Q136/Q140</f>
        <v>9.0901179652006295E-3</v>
      </c>
      <c r="S136" s="107">
        <v>25951.689999999988</v>
      </c>
      <c r="T136" s="119">
        <f>S136/S140</f>
        <v>1.7443553396438941E-2</v>
      </c>
      <c r="U136" s="107">
        <v>15493.60000000002</v>
      </c>
      <c r="V136" s="119">
        <f>U136/U140</f>
        <v>8.1650668154116778E-3</v>
      </c>
      <c r="W136" s="107">
        <v>21240.559999999998</v>
      </c>
      <c r="X136" s="119">
        <f>W136/W140</f>
        <v>1.1580480837783605E-2</v>
      </c>
      <c r="Y136" s="229">
        <f t="shared" si="21"/>
        <v>62685.850000000006</v>
      </c>
      <c r="Z136" s="119">
        <f>Y136/Y140</f>
        <v>1.2010005646513279E-2</v>
      </c>
      <c r="AA136" s="107">
        <v>36076.599999999977</v>
      </c>
      <c r="AB136" s="119">
        <f>AA136/AA140</f>
        <v>2.3056095174202935E-2</v>
      </c>
      <c r="AC136" s="107">
        <v>29233.559999999998</v>
      </c>
      <c r="AD136" s="119">
        <f>AC136/AC140</f>
        <v>1.772437198459386E-2</v>
      </c>
      <c r="AE136" s="107">
        <v>20578.24000000002</v>
      </c>
      <c r="AF136" s="119">
        <f>AE136/AE140</f>
        <v>1.4425973055165206E-2</v>
      </c>
      <c r="AG136" s="229">
        <f t="shared" si="22"/>
        <v>85888.4</v>
      </c>
      <c r="AH136" s="119">
        <f>AG136/AG140</f>
        <v>1.8508254679130285E-2</v>
      </c>
      <c r="AI136" s="273">
        <f t="shared" si="23"/>
        <v>0.37014015124625388</v>
      </c>
      <c r="AJ136" s="229">
        <f t="shared" si="24"/>
        <v>252025.60000000001</v>
      </c>
      <c r="AK136" s="119">
        <f>AJ136/AJ140</f>
        <v>1.2960369797159482E-2</v>
      </c>
    </row>
    <row r="137" spans="1:37" s="66" customFormat="1" hidden="1" outlineLevel="1" x14ac:dyDescent="0.2">
      <c r="A137" s="62">
        <v>63010360</v>
      </c>
      <c r="B137" s="62" t="s">
        <v>297</v>
      </c>
      <c r="C137" s="107">
        <v>38836.83</v>
      </c>
      <c r="D137" s="119">
        <f>C137/C140</f>
        <v>2.0186986884331889E-2</v>
      </c>
      <c r="E137" s="107">
        <v>67810.02</v>
      </c>
      <c r="F137" s="119">
        <f>E137/E140</f>
        <v>5.7930255853970103E-2</v>
      </c>
      <c r="G137" s="107">
        <v>67803.649999999994</v>
      </c>
      <c r="H137" s="119">
        <f>G137/G140</f>
        <v>3.9507872842587013E-2</v>
      </c>
      <c r="I137" s="229">
        <f t="shared" si="19"/>
        <v>174450.5</v>
      </c>
      <c r="J137" s="119">
        <f>I137/I140</f>
        <v>3.6263721918146467E-2</v>
      </c>
      <c r="K137" s="107">
        <v>37633.260000000009</v>
      </c>
      <c r="L137" s="119">
        <f>K137/K140</f>
        <v>2.7263889685093422E-2</v>
      </c>
      <c r="M137" s="107">
        <v>63095</v>
      </c>
      <c r="N137" s="119">
        <f>M137/M140</f>
        <v>4.2223362692829995E-2</v>
      </c>
      <c r="O137" s="107">
        <v>42407.339999999967</v>
      </c>
      <c r="P137" s="119">
        <f>O137/O140</f>
        <v>2.2312659726585565E-2</v>
      </c>
      <c r="Q137" s="229">
        <f t="shared" si="20"/>
        <v>143135.59999999998</v>
      </c>
      <c r="R137" s="119">
        <f>Q137/Q140</f>
        <v>2.9974511081827759E-2</v>
      </c>
      <c r="S137" s="107">
        <v>63196.130000000005</v>
      </c>
      <c r="T137" s="119">
        <f>S137/S140</f>
        <v>4.2477583082384904E-2</v>
      </c>
      <c r="U137" s="107">
        <v>63196.160000000033</v>
      </c>
      <c r="V137" s="119">
        <f>U137/U140</f>
        <v>3.3304130019972532E-2</v>
      </c>
      <c r="W137" s="107">
        <v>63215.299999999988</v>
      </c>
      <c r="X137" s="119">
        <f>W137/W140</f>
        <v>3.4465361097105816E-2</v>
      </c>
      <c r="Y137" s="229">
        <f t="shared" si="21"/>
        <v>189607.59000000003</v>
      </c>
      <c r="Z137" s="119">
        <f>Y137/Y140</f>
        <v>3.632698968781272E-2</v>
      </c>
      <c r="AA137" s="107">
        <v>63232.76999999996</v>
      </c>
      <c r="AB137" s="119">
        <f>AA137/AA140</f>
        <v>4.0411257248423746E-2</v>
      </c>
      <c r="AC137" s="107">
        <v>63159.660000000033</v>
      </c>
      <c r="AD137" s="119">
        <f>AC137/AC140</f>
        <v>3.8293841333743618E-2</v>
      </c>
      <c r="AE137" s="107">
        <v>63213.839999999967</v>
      </c>
      <c r="AF137" s="119">
        <f>AE137/AE140</f>
        <v>4.4314827339632698E-2</v>
      </c>
      <c r="AG137" s="229">
        <f t="shared" si="22"/>
        <v>189606.26999999996</v>
      </c>
      <c r="AH137" s="119">
        <f>AG137/AG140</f>
        <v>4.0858615760916955E-2</v>
      </c>
      <c r="AI137" s="273">
        <f t="shared" si="23"/>
        <v>-6.9617466266214123E-6</v>
      </c>
      <c r="AJ137" s="229">
        <f t="shared" si="24"/>
        <v>696799.96</v>
      </c>
      <c r="AK137" s="119">
        <f>AJ137/AJ140</f>
        <v>3.5832808874360127E-2</v>
      </c>
    </row>
    <row r="138" spans="1:37" s="66" customFormat="1" hidden="1" outlineLevel="1" x14ac:dyDescent="0.2">
      <c r="A138" s="62">
        <v>63010361</v>
      </c>
      <c r="B138" s="62" t="s">
        <v>172</v>
      </c>
      <c r="C138" s="107">
        <v>126667</v>
      </c>
      <c r="D138" s="119">
        <f>C138/C140</f>
        <v>6.5840210637110888E-2</v>
      </c>
      <c r="E138" s="107">
        <v>97546.519999992743</v>
      </c>
      <c r="F138" s="119">
        <f>E138/E140</f>
        <v>8.3334216112367923E-2</v>
      </c>
      <c r="G138" s="107">
        <v>298342.51000000729</v>
      </c>
      <c r="H138" s="119">
        <f>G138/G140</f>
        <v>0.17383839879738824</v>
      </c>
      <c r="I138" s="229">
        <f t="shared" si="19"/>
        <v>522556.03</v>
      </c>
      <c r="J138" s="119">
        <f>I138/I140</f>
        <v>0.10862580822967319</v>
      </c>
      <c r="K138" s="107">
        <v>167666</v>
      </c>
      <c r="L138" s="119">
        <f>K138/K140</f>
        <v>0.12146774762380066</v>
      </c>
      <c r="M138" s="107">
        <v>167666.87</v>
      </c>
      <c r="N138" s="119">
        <f>M138/M140</f>
        <v>0.11220317083099415</v>
      </c>
      <c r="O138" s="107">
        <v>475146.87</v>
      </c>
      <c r="P138" s="119">
        <f>O138/O140</f>
        <v>0.24999894901359518</v>
      </c>
      <c r="Q138" s="229">
        <f t="shared" si="20"/>
        <v>810479.74</v>
      </c>
      <c r="R138" s="119">
        <f>Q138/Q140</f>
        <v>0.1697253090651584</v>
      </c>
      <c r="S138" s="107">
        <v>222000</v>
      </c>
      <c r="T138" s="119">
        <f>S138/S140</f>
        <v>0.14921836897749036</v>
      </c>
      <c r="U138" s="107">
        <v>222000</v>
      </c>
      <c r="V138" s="119">
        <f>U138/U140</f>
        <v>0.11699313477961158</v>
      </c>
      <c r="W138" s="107">
        <v>-64275.689999999944</v>
      </c>
      <c r="X138" s="119">
        <f>W138/W140</f>
        <v>-3.5043492091560616E-2</v>
      </c>
      <c r="Y138" s="229">
        <f t="shared" si="21"/>
        <v>379724.31000000006</v>
      </c>
      <c r="Z138" s="119">
        <f>Y138/Y140</f>
        <v>7.2751523784368541E-2</v>
      </c>
      <c r="AA138" s="107">
        <v>166000</v>
      </c>
      <c r="AB138" s="119">
        <f>AA138/AA140</f>
        <v>0.10608848391804354</v>
      </c>
      <c r="AC138" s="107">
        <v>166000</v>
      </c>
      <c r="AD138" s="119">
        <f>AC138/AC140</f>
        <v>0.10064616657850022</v>
      </c>
      <c r="AE138" s="107">
        <v>321059.66999999993</v>
      </c>
      <c r="AF138" s="119">
        <f>AE138/AE140</f>
        <v>0.22507260817835864</v>
      </c>
      <c r="AG138" s="229">
        <f t="shared" si="22"/>
        <v>653059.66999999993</v>
      </c>
      <c r="AH138" s="119">
        <f>AG138/AG140</f>
        <v>0.14072907043359498</v>
      </c>
      <c r="AI138" s="273">
        <f t="shared" si="23"/>
        <v>0.7198258125743906</v>
      </c>
      <c r="AJ138" s="229">
        <f t="shared" si="24"/>
        <v>2365819.75</v>
      </c>
      <c r="AK138" s="119">
        <f>AJ138/AJ140</f>
        <v>0.12166184242165635</v>
      </c>
    </row>
    <row r="139" spans="1:37" s="66" customFormat="1" hidden="1" outlineLevel="1" x14ac:dyDescent="0.2">
      <c r="A139" s="62"/>
      <c r="B139" s="62" t="s">
        <v>2</v>
      </c>
      <c r="C139" s="107" t="s">
        <v>264</v>
      </c>
      <c r="D139" s="119"/>
      <c r="E139" s="63" t="s">
        <v>264</v>
      </c>
      <c r="F139" s="119"/>
      <c r="G139" s="63" t="s">
        <v>264</v>
      </c>
      <c r="H139" s="119"/>
      <c r="I139" s="230" t="s">
        <v>264</v>
      </c>
      <c r="J139" s="119"/>
      <c r="K139" s="63" t="s">
        <v>264</v>
      </c>
      <c r="L139" s="119"/>
      <c r="M139" s="63" t="s">
        <v>264</v>
      </c>
      <c r="N139" s="119"/>
      <c r="O139" s="63" t="s">
        <v>264</v>
      </c>
      <c r="P139" s="119"/>
      <c r="Q139" s="230" t="s">
        <v>264</v>
      </c>
      <c r="R139" s="119"/>
      <c r="S139" s="63" t="s">
        <v>264</v>
      </c>
      <c r="T139" s="119"/>
      <c r="U139" s="63" t="s">
        <v>264</v>
      </c>
      <c r="V139" s="119"/>
      <c r="W139" s="63" t="s">
        <v>264</v>
      </c>
      <c r="X139" s="119"/>
      <c r="Y139" s="230" t="s">
        <v>264</v>
      </c>
      <c r="Z139" s="119"/>
      <c r="AA139" s="63" t="s">
        <v>264</v>
      </c>
      <c r="AB139" s="119"/>
      <c r="AC139" s="63" t="s">
        <v>264</v>
      </c>
      <c r="AD139" s="119"/>
      <c r="AE139" s="63" t="s">
        <v>264</v>
      </c>
      <c r="AF139" s="119"/>
      <c r="AG139" s="230" t="s">
        <v>264</v>
      </c>
      <c r="AH139" s="119"/>
      <c r="AI139" s="275"/>
      <c r="AJ139" s="230" t="s">
        <v>264</v>
      </c>
      <c r="AK139" s="119"/>
    </row>
    <row r="140" spans="1:37" s="66" customFormat="1" collapsed="1" x14ac:dyDescent="0.2">
      <c r="A140" s="64" t="s">
        <v>166</v>
      </c>
      <c r="B140" s="64" t="s">
        <v>165</v>
      </c>
      <c r="C140" s="108">
        <f>SUM(C101:C138)</f>
        <v>1923854.72</v>
      </c>
      <c r="D140" s="119">
        <f>C140/C31</f>
        <v>0.17842980151022689</v>
      </c>
      <c r="E140" s="108">
        <f>SUM(E101:E138)</f>
        <v>1170545.839999994</v>
      </c>
      <c r="F140" s="119">
        <f>E140/E31</f>
        <v>9.1011874424551303E-2</v>
      </c>
      <c r="G140" s="108">
        <f>SUM(G101:G138)</f>
        <v>1716206.0400000049</v>
      </c>
      <c r="H140" s="119">
        <f>G140/G31</f>
        <v>0.11350531955702153</v>
      </c>
      <c r="I140" s="231">
        <f>SUM(I101:I138)</f>
        <v>4810606.5999999987</v>
      </c>
      <c r="J140" s="119">
        <f>I140/I31</f>
        <v>0.12410097053164219</v>
      </c>
      <c r="K140" s="108">
        <f>SUM(K101:K138)</f>
        <v>1380333.4900000002</v>
      </c>
      <c r="L140" s="119">
        <f>K140/K31</f>
        <v>9.8660450030721616E-2</v>
      </c>
      <c r="M140" s="108">
        <f>SUM(M101:M138)</f>
        <v>1494314.9000000004</v>
      </c>
      <c r="N140" s="119">
        <f>M140/M31</f>
        <v>0.12356491762541273</v>
      </c>
      <c r="O140" s="108">
        <f>SUM(O101:O138)</f>
        <v>1900595.4700000002</v>
      </c>
      <c r="P140" s="119">
        <f>O140/O31</f>
        <v>8.9542348967136989E-2</v>
      </c>
      <c r="Q140" s="231">
        <f>SUM(Q101:Q138)</f>
        <v>4775243.8600000003</v>
      </c>
      <c r="R140" s="119">
        <f>Q140/Q31</f>
        <v>0.10093568742251167</v>
      </c>
      <c r="S140" s="108">
        <f>SUM(S101:S138)</f>
        <v>1487752.4899999998</v>
      </c>
      <c r="T140" s="119">
        <f>S140/S31</f>
        <v>0.10093284924118001</v>
      </c>
      <c r="U140" s="108">
        <f>SUM(U101:U138)</f>
        <v>1897547.2400000002</v>
      </c>
      <c r="V140" s="119">
        <f>U140/U31</f>
        <v>0.16486040875604197</v>
      </c>
      <c r="W140" s="108">
        <f>SUM(W101:W138)</f>
        <v>1834169.0900000003</v>
      </c>
      <c r="X140" s="119">
        <f>W140/W31</f>
        <v>9.0960034697786421E-2</v>
      </c>
      <c r="Y140" s="231">
        <f>SUM(Y101:Y138)</f>
        <v>5219468.82</v>
      </c>
      <c r="Z140" s="119">
        <f>Y140/Y31</f>
        <v>0.11245315190295338</v>
      </c>
      <c r="AA140" s="108">
        <f>SUM(AA101:AA138)</f>
        <v>1564731.5699999998</v>
      </c>
      <c r="AB140" s="119">
        <f>AA140/AA31</f>
        <v>0.14026735118741054</v>
      </c>
      <c r="AC140" s="108">
        <f>SUM(AC101:AC138)</f>
        <v>1649342.5</v>
      </c>
      <c r="AD140" s="119">
        <f>AC140/AC31</f>
        <v>0.12208265764146885</v>
      </c>
      <c r="AE140" s="108">
        <f>SUM(AE101:AE138)</f>
        <v>1426471.5400000003</v>
      </c>
      <c r="AF140" s="119">
        <f>AE140/AE31</f>
        <v>8.8755158242859067E-2</v>
      </c>
      <c r="AG140" s="231">
        <f>SUM(AG101:AG138)</f>
        <v>4640545.6099999994</v>
      </c>
      <c r="AH140" s="119">
        <f>AG140/AG31</f>
        <v>0.11391368881329975</v>
      </c>
      <c r="AI140" s="273">
        <f t="shared" si="23"/>
        <v>-0.11091611617290986</v>
      </c>
      <c r="AJ140" s="231">
        <f>SUM(AJ101:AJ138)</f>
        <v>19445864.890000001</v>
      </c>
      <c r="AK140" s="119">
        <f>AJ140/AJ31</f>
        <v>0.11225757929988978</v>
      </c>
    </row>
    <row r="141" spans="1:37" s="62" customFormat="1" hidden="1" outlineLevel="1" x14ac:dyDescent="0.2">
      <c r="B141" s="62" t="s">
        <v>2</v>
      </c>
      <c r="C141" s="107"/>
      <c r="D141" s="119"/>
      <c r="E141" s="63"/>
      <c r="F141" s="119"/>
      <c r="G141" s="63"/>
      <c r="H141" s="119"/>
      <c r="I141" s="230"/>
      <c r="J141" s="119"/>
      <c r="K141" s="63"/>
      <c r="L141" s="119"/>
      <c r="M141" s="63"/>
      <c r="N141" s="119"/>
      <c r="O141" s="63"/>
      <c r="P141" s="119"/>
      <c r="Q141" s="230"/>
      <c r="R141" s="119"/>
      <c r="S141" s="63"/>
      <c r="T141" s="119"/>
      <c r="U141" s="63"/>
      <c r="V141" s="119"/>
      <c r="W141" s="63"/>
      <c r="X141" s="119"/>
      <c r="Y141" s="230"/>
      <c r="Z141" s="119"/>
      <c r="AA141" s="63"/>
      <c r="AB141" s="119"/>
      <c r="AC141" s="63"/>
      <c r="AD141" s="119"/>
      <c r="AE141" s="63"/>
      <c r="AF141" s="119"/>
      <c r="AG141" s="230"/>
      <c r="AH141" s="119"/>
      <c r="AI141" s="275"/>
      <c r="AJ141" s="230"/>
      <c r="AK141" s="119"/>
    </row>
    <row r="142" spans="1:37" s="66" customFormat="1" hidden="1" outlineLevel="1" x14ac:dyDescent="0.2">
      <c r="A142" s="62">
        <v>6501</v>
      </c>
      <c r="B142" s="62" t="s">
        <v>168</v>
      </c>
      <c r="C142" s="107"/>
      <c r="D142" s="119"/>
      <c r="E142" s="107"/>
      <c r="F142" s="119"/>
      <c r="G142" s="107"/>
      <c r="H142" s="119"/>
      <c r="I142" s="229"/>
      <c r="J142" s="119"/>
      <c r="K142" s="107"/>
      <c r="L142" s="119"/>
      <c r="M142" s="107"/>
      <c r="N142" s="119"/>
      <c r="O142" s="107"/>
      <c r="P142" s="119"/>
      <c r="Q142" s="229"/>
      <c r="R142" s="119"/>
      <c r="S142" s="107"/>
      <c r="T142" s="119"/>
      <c r="U142" s="107"/>
      <c r="V142" s="119"/>
      <c r="W142" s="107"/>
      <c r="X142" s="119"/>
      <c r="Y142" s="229"/>
      <c r="Z142" s="119"/>
      <c r="AA142" s="107"/>
      <c r="AB142" s="119"/>
      <c r="AC142" s="107"/>
      <c r="AD142" s="119"/>
      <c r="AE142" s="107"/>
      <c r="AF142" s="119"/>
      <c r="AG142" s="229"/>
      <c r="AH142" s="119"/>
      <c r="AI142" s="274"/>
      <c r="AJ142" s="229"/>
      <c r="AK142" s="119"/>
    </row>
    <row r="143" spans="1:37" s="66" customFormat="1" hidden="1" outlineLevel="1" x14ac:dyDescent="0.2">
      <c r="A143" s="62">
        <v>65010111</v>
      </c>
      <c r="B143" s="62" t="s">
        <v>268</v>
      </c>
      <c r="C143" s="107">
        <v>526184.99</v>
      </c>
      <c r="D143" s="119">
        <f>C143/C179</f>
        <v>0.65778147847234558</v>
      </c>
      <c r="E143" s="107">
        <v>757085.89999999991</v>
      </c>
      <c r="F143" s="119">
        <f>E143/E179</f>
        <v>0.67879051820201175</v>
      </c>
      <c r="G143" s="107">
        <v>647492.87000000011</v>
      </c>
      <c r="H143" s="119">
        <f>G143/G179</f>
        <v>0.3446411368395168</v>
      </c>
      <c r="I143" s="229">
        <f t="shared" ref="I143:I177" si="25">+C143+E143+G143</f>
        <v>1930763.76</v>
      </c>
      <c r="J143" s="119">
        <f>I143/I179</f>
        <v>0.5088952959925005</v>
      </c>
      <c r="K143" s="107">
        <v>611395.67000000016</v>
      </c>
      <c r="L143" s="119">
        <f>K143/K179</f>
        <v>0.58732866429039821</v>
      </c>
      <c r="M143" s="107">
        <v>760572.33999999985</v>
      </c>
      <c r="N143" s="119">
        <f>M143/M179</f>
        <v>0.67641497591283006</v>
      </c>
      <c r="O143" s="107">
        <v>762166.06</v>
      </c>
      <c r="P143" s="119">
        <f>O143/O179</f>
        <v>0.5515899952733273</v>
      </c>
      <c r="Q143" s="229">
        <f t="shared" ref="Q143:Q177" si="26">+K143+M143+O143</f>
        <v>2134134.0700000003</v>
      </c>
      <c r="R143" s="119">
        <f>Q143/Q179</f>
        <v>0.60164656100675051</v>
      </c>
      <c r="S143" s="107">
        <v>729463.28000000026</v>
      </c>
      <c r="T143" s="119">
        <f>S143/S179</f>
        <v>0.53667708292020122</v>
      </c>
      <c r="U143" s="107">
        <v>841171.27999999933</v>
      </c>
      <c r="V143" s="119">
        <f>U143/U179</f>
        <v>0.63370943819355396</v>
      </c>
      <c r="W143" s="107">
        <v>822105.03000000026</v>
      </c>
      <c r="X143" s="119">
        <f>W143/W179</f>
        <v>0.78795061222749163</v>
      </c>
      <c r="Y143" s="229">
        <f t="shared" ref="Y143:Y177" si="27">+S143+U143+W143</f>
        <v>2392739.59</v>
      </c>
      <c r="Z143" s="119">
        <f>Y143/Y179</f>
        <v>0.64149464347179552</v>
      </c>
      <c r="AA143" s="107">
        <v>779156</v>
      </c>
      <c r="AB143" s="119">
        <f>AA143/AA179</f>
        <v>0.60590897582811165</v>
      </c>
      <c r="AC143" s="107">
        <v>782217.86000000034</v>
      </c>
      <c r="AD143" s="119">
        <f>AC143/AC179</f>
        <v>0.58973717305783091</v>
      </c>
      <c r="AE143" s="107">
        <v>567257.37000000011</v>
      </c>
      <c r="AF143" s="119">
        <f>AE143/AE179</f>
        <v>0.55029344830335147</v>
      </c>
      <c r="AG143" s="229">
        <f t="shared" ref="AG143:AG177" si="28">+AA143+AC143+AE143</f>
        <v>2128631.2300000004</v>
      </c>
      <c r="AH143" s="119">
        <f>AG143/AG179</f>
        <v>0.58428477046701843</v>
      </c>
      <c r="AI143" s="273">
        <f t="shared" ref="AI143:AI183" si="29">+IFERROR(AG143/Y143-1,"0")</f>
        <v>-0.1103790655296506</v>
      </c>
      <c r="AJ143" s="229">
        <f t="shared" ref="AJ143:AJ177" si="30">+I143+Q143+Y143+AG143</f>
        <v>8586268.6500000004</v>
      </c>
      <c r="AK143" s="119">
        <f>AJ143/AJ179</f>
        <v>0.58353344218103131</v>
      </c>
    </row>
    <row r="144" spans="1:37" s="66" customFormat="1" hidden="1" outlineLevel="1" x14ac:dyDescent="0.2">
      <c r="A144" s="62">
        <v>65010212</v>
      </c>
      <c r="B144" s="62" t="s">
        <v>270</v>
      </c>
      <c r="C144" s="107">
        <v>730.82</v>
      </c>
      <c r="D144" s="119">
        <f>C144/C179</f>
        <v>9.1359477984569572E-4</v>
      </c>
      <c r="E144" s="107">
        <v>635.4</v>
      </c>
      <c r="F144" s="119">
        <f>E144/E179</f>
        <v>5.6968898148223115E-4</v>
      </c>
      <c r="G144" s="107">
        <v>539.99</v>
      </c>
      <c r="H144" s="119">
        <f>G144/G179</f>
        <v>2.8742056647198394E-4</v>
      </c>
      <c r="I144" s="229">
        <f t="shared" si="25"/>
        <v>1906.21</v>
      </c>
      <c r="J144" s="119">
        <f>I144/I179</f>
        <v>5.0242361197719212E-4</v>
      </c>
      <c r="K144" s="107">
        <v>635.40000000000009</v>
      </c>
      <c r="L144" s="119">
        <f>K144/K179</f>
        <v>6.1038808680165984E-4</v>
      </c>
      <c r="M144" s="107">
        <v>635.40000000000009</v>
      </c>
      <c r="N144" s="119">
        <f>M144/M179</f>
        <v>5.6509296103906745E-4</v>
      </c>
      <c r="O144" s="107">
        <v>635.39999999999964</v>
      </c>
      <c r="P144" s="119">
        <f>O144/O179</f>
        <v>4.5984766495200789E-4</v>
      </c>
      <c r="Q144" s="229">
        <f t="shared" si="26"/>
        <v>1906.1999999999998</v>
      </c>
      <c r="R144" s="119">
        <f>Q144/Q179</f>
        <v>5.3738829753609036E-4</v>
      </c>
      <c r="S144" s="107">
        <v>4138.4000000000005</v>
      </c>
      <c r="T144" s="119">
        <f>S144/S179</f>
        <v>3.0446829893301277E-3</v>
      </c>
      <c r="U144" s="107">
        <v>2737.7</v>
      </c>
      <c r="V144" s="119">
        <f>U144/U179</f>
        <v>2.0624887822400378E-3</v>
      </c>
      <c r="W144" s="107">
        <v>3438.0499999999993</v>
      </c>
      <c r="X144" s="119">
        <f>W144/W179</f>
        <v>3.2952159438420247E-3</v>
      </c>
      <c r="Y144" s="229">
        <f t="shared" si="27"/>
        <v>10314.15</v>
      </c>
      <c r="Z144" s="119">
        <f>Y144/Y179</f>
        <v>2.7652286126818421E-3</v>
      </c>
      <c r="AA144" s="107">
        <v>3438.0500000000011</v>
      </c>
      <c r="AB144" s="119">
        <f>AA144/AA179</f>
        <v>2.6735921360367372E-3</v>
      </c>
      <c r="AC144" s="107">
        <v>3438.0499999999993</v>
      </c>
      <c r="AD144" s="119">
        <f>AC144/AC179</f>
        <v>2.5920475503224565E-3</v>
      </c>
      <c r="AE144" s="107">
        <v>70860.649999999994</v>
      </c>
      <c r="AF144" s="119">
        <f>AE144/AE179</f>
        <v>6.8741551013284982E-2</v>
      </c>
      <c r="AG144" s="229">
        <f t="shared" si="28"/>
        <v>77736.75</v>
      </c>
      <c r="AH144" s="119">
        <f>AG144/AG179</f>
        <v>2.1337843065753568E-2</v>
      </c>
      <c r="AI144" s="273">
        <f t="shared" si="29"/>
        <v>6.5369031863992673</v>
      </c>
      <c r="AJ144" s="229">
        <f t="shared" si="30"/>
        <v>91863.31</v>
      </c>
      <c r="AK144" s="119">
        <f>AJ144/AJ179</f>
        <v>6.2431442200964853E-3</v>
      </c>
    </row>
    <row r="145" spans="1:37" s="66" customFormat="1" hidden="1" outlineLevel="1" x14ac:dyDescent="0.2">
      <c r="A145" s="62">
        <v>65010213</v>
      </c>
      <c r="B145" s="62" t="s">
        <v>158</v>
      </c>
      <c r="C145" s="107">
        <v>6167</v>
      </c>
      <c r="D145" s="119">
        <f>C145/C179</f>
        <v>7.709338834881921E-3</v>
      </c>
      <c r="E145" s="107">
        <v>5212</v>
      </c>
      <c r="F145" s="119">
        <f>E145/E179</f>
        <v>4.6729917713021546E-3</v>
      </c>
      <c r="G145" s="107">
        <v>5308</v>
      </c>
      <c r="H145" s="119">
        <f>G145/G179</f>
        <v>2.8252900365438077E-3</v>
      </c>
      <c r="I145" s="229">
        <f t="shared" si="25"/>
        <v>16687</v>
      </c>
      <c r="J145" s="119">
        <f>I145/I179</f>
        <v>4.3982262253704496E-3</v>
      </c>
      <c r="K145" s="107">
        <v>6932</v>
      </c>
      <c r="L145" s="119">
        <f>K145/K179</f>
        <v>6.6591284509114031E-3</v>
      </c>
      <c r="M145" s="107">
        <v>5360</v>
      </c>
      <c r="N145" s="119">
        <f>M145/M179</f>
        <v>4.7669157556962565E-3</v>
      </c>
      <c r="O145" s="107">
        <v>6384</v>
      </c>
      <c r="P145" s="119">
        <f>O145/O179</f>
        <v>4.6201880595744729E-3</v>
      </c>
      <c r="Q145" s="229">
        <f t="shared" si="26"/>
        <v>18676</v>
      </c>
      <c r="R145" s="119">
        <f>Q145/Q179</f>
        <v>5.2650633956478985E-3</v>
      </c>
      <c r="S145" s="107">
        <v>38456.449999999997</v>
      </c>
      <c r="T145" s="119">
        <f>S145/S179</f>
        <v>2.8292987421473171E-2</v>
      </c>
      <c r="U145" s="107">
        <v>34718.320000000007</v>
      </c>
      <c r="V145" s="119">
        <f>U145/U179</f>
        <v>2.6155585176688447E-2</v>
      </c>
      <c r="W145" s="107">
        <v>28516.409999999989</v>
      </c>
      <c r="X145" s="119">
        <f>W145/W179</f>
        <v>2.7331693516131569E-2</v>
      </c>
      <c r="Y145" s="229">
        <f t="shared" si="27"/>
        <v>101691.18</v>
      </c>
      <c r="Z145" s="119">
        <f>Y145/Y179</f>
        <v>2.7263454632071422E-2</v>
      </c>
      <c r="AA145" s="107">
        <v>40975.820000000007</v>
      </c>
      <c r="AB145" s="119">
        <f>AA145/AA179</f>
        <v>3.186475767358149E-2</v>
      </c>
      <c r="AC145" s="107">
        <v>35672.410000000003</v>
      </c>
      <c r="AD145" s="119">
        <f>AC145/AC179</f>
        <v>2.6894484651066253E-2</v>
      </c>
      <c r="AE145" s="107">
        <v>40778.149999999994</v>
      </c>
      <c r="AF145" s="119">
        <f>AE145/AE179</f>
        <v>3.9558672951100313E-2</v>
      </c>
      <c r="AG145" s="229">
        <f t="shared" si="28"/>
        <v>117426.38</v>
      </c>
      <c r="AH145" s="119">
        <f>AG145/AG179</f>
        <v>3.2232189642859309E-2</v>
      </c>
      <c r="AI145" s="273">
        <f t="shared" si="29"/>
        <v>0.15473515008872951</v>
      </c>
      <c r="AJ145" s="229">
        <f t="shared" si="30"/>
        <v>254480.56</v>
      </c>
      <c r="AK145" s="119">
        <f>AJ145/AJ179</f>
        <v>1.7294813754162756E-2</v>
      </c>
    </row>
    <row r="146" spans="1:37" s="66" customFormat="1" hidden="1" outlineLevel="1" x14ac:dyDescent="0.2">
      <c r="A146" s="62">
        <v>65010214</v>
      </c>
      <c r="B146" s="62" t="s">
        <v>159</v>
      </c>
      <c r="C146" s="107">
        <v>7360.8</v>
      </c>
      <c r="D146" s="119">
        <f>C146/C179</f>
        <v>9.2017028207878777E-3</v>
      </c>
      <c r="E146" s="107">
        <v>8967.7000000000007</v>
      </c>
      <c r="F146" s="119">
        <f>E146/E179</f>
        <v>8.0402893913097337E-3</v>
      </c>
      <c r="G146" s="107">
        <v>9262.14</v>
      </c>
      <c r="H146" s="119">
        <f>G146/G179</f>
        <v>4.9299607873161001E-3</v>
      </c>
      <c r="I146" s="229">
        <f t="shared" si="25"/>
        <v>25590.639999999999</v>
      </c>
      <c r="J146" s="119">
        <f>I146/I179</f>
        <v>6.7449765669092129E-3</v>
      </c>
      <c r="K146" s="107">
        <v>9673.64</v>
      </c>
      <c r="L146" s="119">
        <f>K146/K179</f>
        <v>9.2928464148693858E-3</v>
      </c>
      <c r="M146" s="107">
        <v>9719.3099999999977</v>
      </c>
      <c r="N146" s="119">
        <f>M146/M179</f>
        <v>8.6438679055030158E-3</v>
      </c>
      <c r="O146" s="107">
        <v>9282.2200000000012</v>
      </c>
      <c r="P146" s="119">
        <f>O146/O179</f>
        <v>6.7176694878357405E-3</v>
      </c>
      <c r="Q146" s="229">
        <f t="shared" si="26"/>
        <v>28675.17</v>
      </c>
      <c r="R146" s="119">
        <f>Q146/Q179</f>
        <v>8.0839895015517634E-3</v>
      </c>
      <c r="S146" s="107">
        <v>25261.550000000003</v>
      </c>
      <c r="T146" s="119">
        <f>S146/S179</f>
        <v>1.8585301461703192E-2</v>
      </c>
      <c r="U146" s="107">
        <v>18560.440000000002</v>
      </c>
      <c r="V146" s="119">
        <f>U146/U179</f>
        <v>1.3982795519391933E-2</v>
      </c>
      <c r="W146" s="107">
        <v>20377.009999999995</v>
      </c>
      <c r="X146" s="119">
        <f>W146/W179</f>
        <v>1.9530445525756862E-2</v>
      </c>
      <c r="Y146" s="229">
        <f t="shared" si="27"/>
        <v>64199</v>
      </c>
      <c r="Z146" s="119">
        <f>Y146/Y179</f>
        <v>1.7211783007379338E-2</v>
      </c>
      <c r="AA146" s="107">
        <v>21224.860000000015</v>
      </c>
      <c r="AB146" s="119">
        <f>AA146/AA179</f>
        <v>1.6505466408132725E-2</v>
      </c>
      <c r="AC146" s="107">
        <v>18643.659999999974</v>
      </c>
      <c r="AD146" s="119">
        <f>AC146/AC179</f>
        <v>1.4056006524641793E-2</v>
      </c>
      <c r="AE146" s="107">
        <v>21644.300000000017</v>
      </c>
      <c r="AF146" s="119">
        <f>AE146/AE179</f>
        <v>2.0997023772669956E-2</v>
      </c>
      <c r="AG146" s="229">
        <f t="shared" si="28"/>
        <v>61512.820000000007</v>
      </c>
      <c r="AH146" s="119">
        <f>AG146/AG179</f>
        <v>1.6884561030554371E-2</v>
      </c>
      <c r="AI146" s="273">
        <f t="shared" si="29"/>
        <v>-4.1841461705010907E-2</v>
      </c>
      <c r="AJ146" s="229">
        <f t="shared" si="30"/>
        <v>179977.63</v>
      </c>
      <c r="AK146" s="119">
        <f>AJ146/AJ179</f>
        <v>1.22315024407586E-2</v>
      </c>
    </row>
    <row r="147" spans="1:37" s="66" customFormat="1" hidden="1" outlineLevel="1" x14ac:dyDescent="0.2">
      <c r="A147" s="62">
        <v>65010215</v>
      </c>
      <c r="B147" s="62" t="s">
        <v>160</v>
      </c>
      <c r="C147" s="107">
        <v>11895.97</v>
      </c>
      <c r="D147" s="119">
        <f>C147/C179</f>
        <v>1.4871098345968911E-2</v>
      </c>
      <c r="E147" s="107">
        <v>16682.629999999997</v>
      </c>
      <c r="F147" s="119">
        <f>E147/E179</f>
        <v>1.4957366215210753E-2</v>
      </c>
      <c r="G147" s="107">
        <v>16437.190000000002</v>
      </c>
      <c r="H147" s="119">
        <f>G147/G179</f>
        <v>8.7490258356777532E-3</v>
      </c>
      <c r="I147" s="229">
        <f t="shared" si="25"/>
        <v>45015.79</v>
      </c>
      <c r="J147" s="119">
        <f>I147/I179</f>
        <v>1.1864902506967628E-2</v>
      </c>
      <c r="K147" s="107">
        <v>17687.339999999997</v>
      </c>
      <c r="L147" s="119">
        <f>K147/K179</f>
        <v>1.6991094779997586E-2</v>
      </c>
      <c r="M147" s="107">
        <v>17617.989999999998</v>
      </c>
      <c r="N147" s="119">
        <f>M147/M179</f>
        <v>1.5668558603488633E-2</v>
      </c>
      <c r="O147" s="107">
        <v>17238.740000000005</v>
      </c>
      <c r="P147" s="119">
        <f>O147/O179</f>
        <v>1.2475911765367931E-2</v>
      </c>
      <c r="Q147" s="229">
        <f t="shared" si="26"/>
        <v>52544.07</v>
      </c>
      <c r="R147" s="119">
        <f>Q147/Q179</f>
        <v>1.4813014543551129E-2</v>
      </c>
      <c r="S147" s="107">
        <v>-9019.4799999999959</v>
      </c>
      <c r="T147" s="119">
        <f>S147/S179</f>
        <v>-6.6357668008416989E-3</v>
      </c>
      <c r="U147" s="107">
        <v>47723.699999999983</v>
      </c>
      <c r="V147" s="119">
        <f>U147/U179</f>
        <v>3.5953390034331324E-2</v>
      </c>
      <c r="W147" s="107">
        <v>18762.340000000026</v>
      </c>
      <c r="X147" s="119">
        <f>W147/W179</f>
        <v>1.7982857117198724E-2</v>
      </c>
      <c r="Y147" s="229">
        <f t="shared" si="27"/>
        <v>57466.560000000012</v>
      </c>
      <c r="Z147" s="119">
        <f>Y147/Y179</f>
        <v>1.5406812581201346E-2</v>
      </c>
      <c r="AA147" s="107">
        <v>20791.869999999995</v>
      </c>
      <c r="AB147" s="119">
        <f>AA147/AA179</f>
        <v>1.6168752672444591E-2</v>
      </c>
      <c r="AC147" s="107">
        <v>37723.739999999991</v>
      </c>
      <c r="AD147" s="119">
        <f>AC147/AC179</f>
        <v>2.8441042991230864E-2</v>
      </c>
      <c r="AE147" s="107">
        <v>-5049.359999999986</v>
      </c>
      <c r="AF147" s="119">
        <f>AE147/AE179</f>
        <v>-4.898358087661342E-3</v>
      </c>
      <c r="AG147" s="229">
        <f t="shared" si="28"/>
        <v>53466.25</v>
      </c>
      <c r="AH147" s="119">
        <f>AG147/AG179</f>
        <v>1.4675870187708473E-2</v>
      </c>
      <c r="AI147" s="273">
        <f t="shared" si="29"/>
        <v>-6.9611092085553938E-2</v>
      </c>
      <c r="AJ147" s="229">
        <f t="shared" si="30"/>
        <v>208492.67</v>
      </c>
      <c r="AK147" s="119">
        <f>AJ147/AJ179</f>
        <v>1.4169419843928811E-2</v>
      </c>
    </row>
    <row r="148" spans="1:37" s="66" customFormat="1" hidden="1" outlineLevel="1" x14ac:dyDescent="0.2">
      <c r="A148" s="62">
        <v>65010216</v>
      </c>
      <c r="B148" s="62" t="s">
        <v>84</v>
      </c>
      <c r="C148" s="107">
        <v>5360.84</v>
      </c>
      <c r="D148" s="119">
        <f>C148/C179</f>
        <v>6.701561861454256E-3</v>
      </c>
      <c r="E148" s="107">
        <v>5570.43</v>
      </c>
      <c r="F148" s="119">
        <f>E148/E179</f>
        <v>4.9943540968178553E-3</v>
      </c>
      <c r="G148" s="107">
        <v>5614.869999999999</v>
      </c>
      <c r="H148" s="119">
        <f>G148/G179</f>
        <v>2.9886277821192025E-3</v>
      </c>
      <c r="I148" s="229">
        <f t="shared" si="25"/>
        <v>16546.14</v>
      </c>
      <c r="J148" s="119">
        <f>I148/I179</f>
        <v>4.361099471244142E-3</v>
      </c>
      <c r="K148" s="107">
        <v>5616.7999999999993</v>
      </c>
      <c r="L148" s="119">
        <f>K148/K179</f>
        <v>5.3957000408365787E-3</v>
      </c>
      <c r="M148" s="107">
        <v>5223.41</v>
      </c>
      <c r="N148" s="119">
        <f>M148/M179</f>
        <v>4.6454394454218994E-3</v>
      </c>
      <c r="O148" s="107">
        <v>5262.2200000000012</v>
      </c>
      <c r="P148" s="119">
        <f>O148/O179</f>
        <v>3.8083405405473039E-3</v>
      </c>
      <c r="Q148" s="229">
        <f t="shared" si="26"/>
        <v>16102.43</v>
      </c>
      <c r="R148" s="119">
        <f>Q148/Q179</f>
        <v>4.5395328107722529E-3</v>
      </c>
      <c r="S148" s="107">
        <v>22375.08</v>
      </c>
      <c r="T148" s="119">
        <f>S148/S179</f>
        <v>1.6461682162405941E-2</v>
      </c>
      <c r="U148" s="107">
        <v>24205.049999999996</v>
      </c>
      <c r="V148" s="119">
        <f>U148/U179</f>
        <v>1.8235250063395998E-2</v>
      </c>
      <c r="W148" s="107">
        <v>22282.47</v>
      </c>
      <c r="X148" s="119">
        <f>W148/W179</f>
        <v>2.1356743041020816E-2</v>
      </c>
      <c r="Y148" s="229">
        <f t="shared" si="27"/>
        <v>68862.600000000006</v>
      </c>
      <c r="Z148" s="119">
        <f>Y148/Y179</f>
        <v>1.8462096427108839E-2</v>
      </c>
      <c r="AA148" s="107">
        <v>22282.47</v>
      </c>
      <c r="AB148" s="119">
        <f>AA148/AA179</f>
        <v>1.7327914533958058E-2</v>
      </c>
      <c r="AC148" s="107">
        <v>21414.469999999987</v>
      </c>
      <c r="AD148" s="119">
        <f>AC148/AC179</f>
        <v>1.6145002110194359E-2</v>
      </c>
      <c r="AE148" s="107">
        <v>19861.47</v>
      </c>
      <c r="AF148" s="119">
        <f>AE148/AE179</f>
        <v>1.9267509586827519E-2</v>
      </c>
      <c r="AG148" s="229">
        <f t="shared" si="28"/>
        <v>63558.409999999989</v>
      </c>
      <c r="AH148" s="119">
        <f>AG148/AG179</f>
        <v>1.7446051939254238E-2</v>
      </c>
      <c r="AI148" s="273">
        <f t="shared" si="29"/>
        <v>-7.7025700452785895E-2</v>
      </c>
      <c r="AJ148" s="229">
        <f t="shared" si="30"/>
        <v>165069.58000000002</v>
      </c>
      <c r="AK148" s="119">
        <f>AJ148/AJ179</f>
        <v>1.1218332915401748E-2</v>
      </c>
    </row>
    <row r="149" spans="1:37" s="66" customFormat="1" hidden="1" outlineLevel="1" x14ac:dyDescent="0.2">
      <c r="A149" s="62">
        <v>65010218</v>
      </c>
      <c r="B149" s="62" t="s">
        <v>361</v>
      </c>
      <c r="C149" s="107">
        <v>441.36</v>
      </c>
      <c r="D149" s="119">
        <f>C149/C179</f>
        <v>5.5174214174857862E-4</v>
      </c>
      <c r="E149" s="107">
        <v>511.18999999999994</v>
      </c>
      <c r="F149" s="119">
        <f>E149/E179</f>
        <v>4.5832437904296777E-4</v>
      </c>
      <c r="G149" s="107">
        <v>581.02</v>
      </c>
      <c r="H149" s="119">
        <f>G149/G179</f>
        <v>3.0925961134752885E-4</v>
      </c>
      <c r="I149" s="229">
        <f t="shared" si="25"/>
        <v>1533.57</v>
      </c>
      <c r="J149" s="119">
        <f>I149/I179</f>
        <v>4.042061360604878E-4</v>
      </c>
      <c r="K149" s="107">
        <v>511.19000000000005</v>
      </c>
      <c r="L149" s="119">
        <f>K149/K179</f>
        <v>4.9106749463667058E-4</v>
      </c>
      <c r="M149" s="107">
        <v>511.18999999999983</v>
      </c>
      <c r="N149" s="119">
        <f>M149/M179</f>
        <v>4.5462680320044183E-4</v>
      </c>
      <c r="O149" s="107">
        <v>511.19000000000005</v>
      </c>
      <c r="P149" s="119">
        <f>O149/O179</f>
        <v>3.699551901901433E-4</v>
      </c>
      <c r="Q149" s="229">
        <f t="shared" si="26"/>
        <v>1533.57</v>
      </c>
      <c r="R149" s="119">
        <f>Q149/Q179</f>
        <v>4.3233793487169349E-4</v>
      </c>
      <c r="S149" s="107">
        <v>3329.39</v>
      </c>
      <c r="T149" s="119">
        <f>S149/S179</f>
        <v>2.4494821906644675E-3</v>
      </c>
      <c r="U149" s="107">
        <v>2202.5500000000002</v>
      </c>
      <c r="V149" s="119">
        <f>U149/U179</f>
        <v>1.6593252245763947E-3</v>
      </c>
      <c r="W149" s="107">
        <v>2765.9699999999993</v>
      </c>
      <c r="X149" s="119">
        <f>W149/W179</f>
        <v>2.6510575600089369E-3</v>
      </c>
      <c r="Y149" s="229">
        <f t="shared" si="27"/>
        <v>8297.91</v>
      </c>
      <c r="Z149" s="119">
        <f>Y149/Y179</f>
        <v>2.2246736917204794E-3</v>
      </c>
      <c r="AA149" s="107">
        <v>2765.9700000000012</v>
      </c>
      <c r="AB149" s="119">
        <f>AA149/AA179</f>
        <v>2.1509505796930045E-3</v>
      </c>
      <c r="AC149" s="107">
        <v>2765.9700000000012</v>
      </c>
      <c r="AD149" s="119">
        <f>AC149/AC179</f>
        <v>2.085346566444761E-3</v>
      </c>
      <c r="AE149" s="107">
        <v>43627.55</v>
      </c>
      <c r="AF149" s="119">
        <f>AE149/AE179</f>
        <v>4.2322861191784744E-2</v>
      </c>
      <c r="AG149" s="229">
        <f t="shared" si="28"/>
        <v>49159.490000000005</v>
      </c>
      <c r="AH149" s="119">
        <f>AG149/AG179</f>
        <v>1.3493714141798853E-2</v>
      </c>
      <c r="AI149" s="273">
        <f t="shared" si="29"/>
        <v>4.9243219075646767</v>
      </c>
      <c r="AJ149" s="229">
        <f t="shared" si="30"/>
        <v>60524.540000000008</v>
      </c>
      <c r="AK149" s="119">
        <f>AJ149/AJ179</f>
        <v>4.1133226320170541E-3</v>
      </c>
    </row>
    <row r="150" spans="1:37" s="66" customFormat="1" hidden="1" outlineLevel="1" x14ac:dyDescent="0.2">
      <c r="A150" s="62">
        <v>65010219</v>
      </c>
      <c r="B150" s="62" t="s">
        <v>362</v>
      </c>
      <c r="C150" s="107">
        <v>20889.36</v>
      </c>
      <c r="D150" s="119">
        <f>C150/C179</f>
        <v>2.6113694549023674E-2</v>
      </c>
      <c r="E150" s="107">
        <v>30630.78</v>
      </c>
      <c r="F150" s="119">
        <f>E150/E179</f>
        <v>2.7463043531958289E-2</v>
      </c>
      <c r="G150" s="107">
        <v>112804.09999999999</v>
      </c>
      <c r="H150" s="119">
        <f>G150/G179</f>
        <v>6.0042256935058644E-2</v>
      </c>
      <c r="I150" s="229">
        <f t="shared" si="25"/>
        <v>164324.24</v>
      </c>
      <c r="J150" s="119">
        <f>I150/I179</f>
        <v>4.3311271159109953E-2</v>
      </c>
      <c r="K150" s="107">
        <v>29614.150000000023</v>
      </c>
      <c r="L150" s="119">
        <f>K150/K179</f>
        <v>2.8448417313121477E-2</v>
      </c>
      <c r="M150" s="107">
        <v>29544.119999999995</v>
      </c>
      <c r="N150" s="119">
        <f>M150/M179</f>
        <v>2.6275061775406876E-2</v>
      </c>
      <c r="O150" s="107">
        <v>29788.959999999992</v>
      </c>
      <c r="P150" s="119">
        <f>O150/O179</f>
        <v>2.1558677521795355E-2</v>
      </c>
      <c r="Q150" s="229">
        <f t="shared" si="26"/>
        <v>88947.23000000001</v>
      </c>
      <c r="R150" s="119">
        <f>Q150/Q179</f>
        <v>2.5075648148279863E-2</v>
      </c>
      <c r="S150" s="107">
        <v>62514.24000000002</v>
      </c>
      <c r="T150" s="119">
        <f>S150/S179</f>
        <v>4.5992664585081451E-2</v>
      </c>
      <c r="U150" s="107">
        <v>41631.459999999963</v>
      </c>
      <c r="V150" s="119">
        <f>U150/U179</f>
        <v>3.1363706482914408E-2</v>
      </c>
      <c r="W150" s="107">
        <v>52842.950000000012</v>
      </c>
      <c r="X150" s="119">
        <f>W150/W179</f>
        <v>5.0647585509124939E-2</v>
      </c>
      <c r="Y150" s="229">
        <f t="shared" si="27"/>
        <v>156988.65</v>
      </c>
      <c r="Z150" s="119">
        <f>Y150/Y179</f>
        <v>4.2088733133248526E-2</v>
      </c>
      <c r="AA150" s="107">
        <v>52612.710000000021</v>
      </c>
      <c r="AB150" s="119">
        <f>AA150/AA179</f>
        <v>4.0914159977772695E-2</v>
      </c>
      <c r="AC150" s="107">
        <v>52739.139999999956</v>
      </c>
      <c r="AD150" s="119">
        <f>AC150/AC179</f>
        <v>3.9761597022472915E-2</v>
      </c>
      <c r="AE150" s="107">
        <v>15797.390000000014</v>
      </c>
      <c r="AF150" s="119">
        <f>AE150/AE179</f>
        <v>1.5324966544362195E-2</v>
      </c>
      <c r="AG150" s="229">
        <f t="shared" si="28"/>
        <v>121149.23999999999</v>
      </c>
      <c r="AH150" s="119">
        <f>AG150/AG179</f>
        <v>3.3254071859902999E-2</v>
      </c>
      <c r="AI150" s="273">
        <f t="shared" si="29"/>
        <v>-0.22829300079973935</v>
      </c>
      <c r="AJ150" s="229">
        <f t="shared" si="30"/>
        <v>531409.36</v>
      </c>
      <c r="AK150" s="119">
        <f>AJ150/AJ179</f>
        <v>3.6115237676382146E-2</v>
      </c>
    </row>
    <row r="151" spans="1:37" s="66" customFormat="1" hidden="1" outlineLevel="1" x14ac:dyDescent="0.2">
      <c r="A151" s="62">
        <v>65010231</v>
      </c>
      <c r="B151" s="62" t="s">
        <v>271</v>
      </c>
      <c r="C151" s="107">
        <v>5589.7</v>
      </c>
      <c r="D151" s="119">
        <f>C151/C179</f>
        <v>6.9876587133678404E-3</v>
      </c>
      <c r="E151" s="107">
        <v>2599.3100000000004</v>
      </c>
      <c r="F151" s="119">
        <f>E151/E179</f>
        <v>2.3304977438724874E-3</v>
      </c>
      <c r="G151" s="107">
        <v>0</v>
      </c>
      <c r="H151" s="119">
        <f>G151/G179</f>
        <v>0</v>
      </c>
      <c r="I151" s="229">
        <f t="shared" si="25"/>
        <v>8189.01</v>
      </c>
      <c r="J151" s="119">
        <f>I151/I179</f>
        <v>2.1583938719854294E-3</v>
      </c>
      <c r="K151" s="107">
        <v>5187.119999999999</v>
      </c>
      <c r="L151" s="119">
        <f>K151/K179</f>
        <v>4.9829339830195539E-3</v>
      </c>
      <c r="M151" s="107">
        <v>864.51000000000022</v>
      </c>
      <c r="N151" s="119">
        <f>M151/M179</f>
        <v>7.6885192909644992E-4</v>
      </c>
      <c r="O151" s="107">
        <v>0</v>
      </c>
      <c r="P151" s="119">
        <f>O151/O179</f>
        <v>0</v>
      </c>
      <c r="Q151" s="229">
        <f t="shared" si="26"/>
        <v>6051.6299999999992</v>
      </c>
      <c r="R151" s="119">
        <f>Q151/Q179</f>
        <v>1.7060513812917483E-3</v>
      </c>
      <c r="S151" s="107">
        <v>7732.3500000000022</v>
      </c>
      <c r="T151" s="119">
        <f>S151/S179</f>
        <v>5.6888059425253277E-3</v>
      </c>
      <c r="U151" s="107">
        <v>-5066.8700000000026</v>
      </c>
      <c r="V151" s="119">
        <f>U151/U179</f>
        <v>-3.8172051488726253E-3</v>
      </c>
      <c r="W151" s="107">
        <v>0</v>
      </c>
      <c r="X151" s="119">
        <f>W151/W179</f>
        <v>0</v>
      </c>
      <c r="Y151" s="229">
        <f t="shared" si="27"/>
        <v>2665.4799999999996</v>
      </c>
      <c r="Z151" s="119">
        <f>Y151/Y179</f>
        <v>7.1461647954811547E-4</v>
      </c>
      <c r="AA151" s="107">
        <v>2312.3500000000022</v>
      </c>
      <c r="AB151" s="119">
        <f>AA151/AA179</f>
        <v>1.7981939691873454E-3</v>
      </c>
      <c r="AC151" s="107">
        <v>0</v>
      </c>
      <c r="AD151" s="119">
        <f>AC151/AC179</f>
        <v>0</v>
      </c>
      <c r="AE151" s="107">
        <v>0</v>
      </c>
      <c r="AF151" s="119">
        <f>AE151/AE179</f>
        <v>0</v>
      </c>
      <c r="AG151" s="229">
        <f t="shared" si="28"/>
        <v>2312.3500000000022</v>
      </c>
      <c r="AH151" s="119">
        <f>AG151/AG179</f>
        <v>6.3471345808893871E-4</v>
      </c>
      <c r="AI151" s="273">
        <f t="shared" si="29"/>
        <v>-0.13248270480363666</v>
      </c>
      <c r="AJ151" s="229">
        <f t="shared" si="30"/>
        <v>19218.47</v>
      </c>
      <c r="AK151" s="119">
        <f>AJ151/AJ179</f>
        <v>1.3061110023098201E-3</v>
      </c>
    </row>
    <row r="152" spans="1:37" s="66" customFormat="1" hidden="1" outlineLevel="1" x14ac:dyDescent="0.2">
      <c r="A152" s="62">
        <v>65010234</v>
      </c>
      <c r="B152" s="62" t="s">
        <v>162</v>
      </c>
      <c r="C152" s="107">
        <v>13788.88</v>
      </c>
      <c r="D152" s="119">
        <f>C152/C179</f>
        <v>1.7237416583999774E-2</v>
      </c>
      <c r="E152" s="107">
        <v>14840.19</v>
      </c>
      <c r="F152" s="119">
        <f>E152/E179</f>
        <v>1.3305465417221897E-2</v>
      </c>
      <c r="G152" s="107">
        <v>43549.840000000004</v>
      </c>
      <c r="H152" s="119">
        <f>G152/G179</f>
        <v>2.3180280528462129E-2</v>
      </c>
      <c r="I152" s="229">
        <f t="shared" si="25"/>
        <v>72178.91</v>
      </c>
      <c r="J152" s="119">
        <f>I152/I179</f>
        <v>1.9024340797066781E-2</v>
      </c>
      <c r="K152" s="107">
        <v>12304.319999999992</v>
      </c>
      <c r="L152" s="119">
        <f>K152/K179</f>
        <v>1.1819972213086864E-2</v>
      </c>
      <c r="M152" s="107">
        <v>16865.430000000008</v>
      </c>
      <c r="N152" s="119">
        <f>M152/M179</f>
        <v>1.4999269401789616E-2</v>
      </c>
      <c r="O152" s="107">
        <v>13237.949999999997</v>
      </c>
      <c r="P152" s="119">
        <f>O152/O179</f>
        <v>9.5804853576509832E-3</v>
      </c>
      <c r="Q152" s="229">
        <f t="shared" si="26"/>
        <v>42407.7</v>
      </c>
      <c r="R152" s="119">
        <f>Q152/Q179</f>
        <v>1.1955409561127509E-2</v>
      </c>
      <c r="S152" s="107">
        <v>75858.150000000009</v>
      </c>
      <c r="T152" s="119">
        <f>S152/S179</f>
        <v>5.5809979438201533E-2</v>
      </c>
      <c r="U152" s="107">
        <v>33827.179999999993</v>
      </c>
      <c r="V152" s="119">
        <f>U152/U179</f>
        <v>2.5484231027802371E-2</v>
      </c>
      <c r="W152" s="107">
        <v>96141.010000000009</v>
      </c>
      <c r="X152" s="119">
        <f>W152/W179</f>
        <v>9.2146824219855913E-2</v>
      </c>
      <c r="Y152" s="229">
        <f t="shared" si="27"/>
        <v>205826.34000000003</v>
      </c>
      <c r="Z152" s="119">
        <f>Y152/Y179</f>
        <v>5.5182141486363995E-2</v>
      </c>
      <c r="AA152" s="107">
        <v>43523.469999999972</v>
      </c>
      <c r="AB152" s="119">
        <f>AA152/AA179</f>
        <v>3.384593217813317E-2</v>
      </c>
      <c r="AC152" s="107">
        <v>39466.369999999995</v>
      </c>
      <c r="AD152" s="119">
        <f>AC152/AC179</f>
        <v>2.9754863273838281E-2</v>
      </c>
      <c r="AE152" s="107">
        <v>85910.100000000035</v>
      </c>
      <c r="AF152" s="119">
        <f>AE152/AE179</f>
        <v>8.3340944822075672E-2</v>
      </c>
      <c r="AG152" s="229">
        <f t="shared" si="28"/>
        <v>168899.94</v>
      </c>
      <c r="AH152" s="119">
        <f>AG152/AG179</f>
        <v>4.6361089362948589E-2</v>
      </c>
      <c r="AI152" s="273">
        <f t="shared" si="29"/>
        <v>-0.1794056096027361</v>
      </c>
      <c r="AJ152" s="229">
        <f t="shared" si="30"/>
        <v>489312.89</v>
      </c>
      <c r="AK152" s="119">
        <f>AJ152/AJ179</f>
        <v>3.3254309484626751E-2</v>
      </c>
    </row>
    <row r="153" spans="1:37" s="66" customFormat="1" hidden="1" outlineLevel="1" x14ac:dyDescent="0.2">
      <c r="A153" s="62">
        <v>65010300</v>
      </c>
      <c r="B153" s="62" t="s">
        <v>272</v>
      </c>
      <c r="C153" s="107">
        <v>0</v>
      </c>
      <c r="D153" s="119">
        <f>C153/C179</f>
        <v>0</v>
      </c>
      <c r="E153" s="107">
        <v>114.66</v>
      </c>
      <c r="F153" s="119">
        <f>E153/E179</f>
        <v>1.0280223263574539E-4</v>
      </c>
      <c r="G153" s="107">
        <v>2651.4300000000003</v>
      </c>
      <c r="H153" s="119">
        <f>G153/G179</f>
        <v>1.4112770839475035E-3</v>
      </c>
      <c r="I153" s="229">
        <f t="shared" si="25"/>
        <v>2766.09</v>
      </c>
      <c r="J153" s="119">
        <f>I153/I179</f>
        <v>7.2906391680559396E-4</v>
      </c>
      <c r="K153" s="107">
        <v>0</v>
      </c>
      <c r="L153" s="119">
        <f>K153/K179</f>
        <v>0</v>
      </c>
      <c r="M153" s="107">
        <v>3625.8999999999996</v>
      </c>
      <c r="N153" s="119">
        <f>M153/M179</f>
        <v>3.224693999734898E-3</v>
      </c>
      <c r="O153" s="107">
        <v>1232.5700000000006</v>
      </c>
      <c r="P153" s="119">
        <f>O153/O179</f>
        <v>8.9202775635803739E-4</v>
      </c>
      <c r="Q153" s="229">
        <f t="shared" si="26"/>
        <v>4858.47</v>
      </c>
      <c r="R153" s="119">
        <f>Q153/Q179</f>
        <v>1.3696804752545218E-3</v>
      </c>
      <c r="S153" s="107">
        <v>36215.810000000005</v>
      </c>
      <c r="T153" s="119">
        <f>S153/S179</f>
        <v>2.6644514945827358E-2</v>
      </c>
      <c r="U153" s="107">
        <v>-31206.640000000003</v>
      </c>
      <c r="V153" s="119">
        <f>U153/U179</f>
        <v>-2.351000654980577E-2</v>
      </c>
      <c r="W153" s="107">
        <v>1808.67</v>
      </c>
      <c r="X153" s="119">
        <f>W153/W179</f>
        <v>1.7335286633844058E-3</v>
      </c>
      <c r="Y153" s="229">
        <f t="shared" si="27"/>
        <v>6817.840000000002</v>
      </c>
      <c r="Z153" s="119">
        <f>Y153/Y179</f>
        <v>1.8278662075582356E-3</v>
      </c>
      <c r="AA153" s="107">
        <v>4224.0000000000018</v>
      </c>
      <c r="AB153" s="119">
        <f>AA153/AA179</f>
        <v>3.2847844512497431E-3</v>
      </c>
      <c r="AC153" s="107">
        <v>355</v>
      </c>
      <c r="AD153" s="119">
        <f>AC153/AC179</f>
        <v>2.6764499654294505E-4</v>
      </c>
      <c r="AE153" s="107">
        <v>12115.219999999998</v>
      </c>
      <c r="AF153" s="119">
        <f>AE153/AE179</f>
        <v>1.1752912422722207E-2</v>
      </c>
      <c r="AG153" s="229">
        <f t="shared" si="28"/>
        <v>16694.22</v>
      </c>
      <c r="AH153" s="119">
        <f>AG153/AG179</f>
        <v>4.5823712268028257E-3</v>
      </c>
      <c r="AI153" s="273">
        <f t="shared" si="29"/>
        <v>1.4486083568989585</v>
      </c>
      <c r="AJ153" s="229">
        <f t="shared" si="30"/>
        <v>31136.620000000003</v>
      </c>
      <c r="AK153" s="119">
        <f>AJ153/AJ179</f>
        <v>2.1160832239371808E-3</v>
      </c>
    </row>
    <row r="154" spans="1:37" s="66" customFormat="1" hidden="1" outlineLevel="1" x14ac:dyDescent="0.2">
      <c r="A154" s="62">
        <v>65010302</v>
      </c>
      <c r="B154" s="62" t="s">
        <v>273</v>
      </c>
      <c r="C154" s="107">
        <v>196.59</v>
      </c>
      <c r="D154" s="119">
        <f>C154/C179</f>
        <v>2.4575627072311284E-4</v>
      </c>
      <c r="E154" s="107">
        <v>421.58999999999992</v>
      </c>
      <c r="F154" s="119">
        <f>E154/E179</f>
        <v>3.7799052203823385E-4</v>
      </c>
      <c r="G154" s="107">
        <v>1621.5900000000001</v>
      </c>
      <c r="H154" s="119">
        <f>G154/G179</f>
        <v>8.6312397708347276E-4</v>
      </c>
      <c r="I154" s="229">
        <f t="shared" si="25"/>
        <v>2239.77</v>
      </c>
      <c r="J154" s="119">
        <f>I154/I179</f>
        <v>5.9034069352178163E-4</v>
      </c>
      <c r="K154" s="107">
        <v>2096.5899999999997</v>
      </c>
      <c r="L154" s="119">
        <f>K154/K179</f>
        <v>2.0140597401754668E-3</v>
      </c>
      <c r="M154" s="107">
        <v>2681.59</v>
      </c>
      <c r="N154" s="119">
        <f>M154/M179</f>
        <v>2.3848719442756574E-3</v>
      </c>
      <c r="O154" s="107">
        <v>2821.5900000000011</v>
      </c>
      <c r="P154" s="119">
        <f>O154/O179</f>
        <v>2.0420232498456676E-3</v>
      </c>
      <c r="Q154" s="229">
        <f t="shared" si="26"/>
        <v>7599.7700000000013</v>
      </c>
      <c r="R154" s="119">
        <f>Q154/Q179</f>
        <v>2.1424968324235938E-3</v>
      </c>
      <c r="S154" s="107">
        <v>6136.5899999999983</v>
      </c>
      <c r="T154" s="119">
        <f>S154/S179</f>
        <v>4.5147813612732846E-3</v>
      </c>
      <c r="U154" s="107">
        <v>-2218.41</v>
      </c>
      <c r="V154" s="119">
        <f>U154/U179</f>
        <v>-1.6712736017127962E-3</v>
      </c>
      <c r="W154" s="107">
        <v>2096.59</v>
      </c>
      <c r="X154" s="119">
        <f>W154/W179</f>
        <v>2.0094870044646681E-3</v>
      </c>
      <c r="Y154" s="229">
        <f t="shared" si="27"/>
        <v>6014.7699999999986</v>
      </c>
      <c r="Z154" s="119">
        <f>Y154/Y179</f>
        <v>1.612562751433745E-3</v>
      </c>
      <c r="AA154" s="107">
        <v>696.59000000000196</v>
      </c>
      <c r="AB154" s="119">
        <f>AA154/AA179</f>
        <v>5.4170170475759084E-4</v>
      </c>
      <c r="AC154" s="107">
        <v>1096.5900000000001</v>
      </c>
      <c r="AD154" s="119">
        <f>AC154/AC179</f>
        <v>8.2675162467331885E-4</v>
      </c>
      <c r="AE154" s="107">
        <v>963.59000000000015</v>
      </c>
      <c r="AF154" s="119">
        <f>AE154/AE179</f>
        <v>9.3477368808910573E-4</v>
      </c>
      <c r="AG154" s="229">
        <f t="shared" si="28"/>
        <v>2756.7700000000023</v>
      </c>
      <c r="AH154" s="119">
        <f>AG154/AG179</f>
        <v>7.5670163247598481E-4</v>
      </c>
      <c r="AI154" s="273">
        <f t="shared" si="29"/>
        <v>-0.54166659739275103</v>
      </c>
      <c r="AJ154" s="229">
        <f t="shared" si="30"/>
        <v>18611.080000000002</v>
      </c>
      <c r="AK154" s="119">
        <f>AJ154/AJ179</f>
        <v>1.264832026319902E-3</v>
      </c>
    </row>
    <row r="155" spans="1:37" s="66" customFormat="1" hidden="1" outlineLevel="1" x14ac:dyDescent="0.2">
      <c r="A155" s="62">
        <v>65010303</v>
      </c>
      <c r="B155" s="62" t="s">
        <v>363</v>
      </c>
      <c r="C155" s="107">
        <v>3527.72</v>
      </c>
      <c r="D155" s="119">
        <f>C155/C179</f>
        <v>4.4099868322668477E-3</v>
      </c>
      <c r="E155" s="107">
        <v>12687.140000000001</v>
      </c>
      <c r="F155" s="119">
        <f>E155/E179</f>
        <v>1.137507690356071E-2</v>
      </c>
      <c r="G155" s="107">
        <v>3984.239999999998</v>
      </c>
      <c r="H155" s="119">
        <f>G155/G179</f>
        <v>2.1206920827428963E-3</v>
      </c>
      <c r="I155" s="229">
        <f t="shared" si="25"/>
        <v>20199.099999999999</v>
      </c>
      <c r="J155" s="119">
        <f>I155/I179</f>
        <v>5.3239175015808854E-3</v>
      </c>
      <c r="K155" s="107">
        <v>6823.2200000000012</v>
      </c>
      <c r="L155" s="119">
        <f>K155/K179</f>
        <v>6.5546304715562191E-3</v>
      </c>
      <c r="M155" s="107">
        <v>1922.8899999999994</v>
      </c>
      <c r="N155" s="119">
        <f>M155/M179</f>
        <v>1.7101221338564872E-3</v>
      </c>
      <c r="O155" s="107">
        <v>3918.1500000000015</v>
      </c>
      <c r="P155" s="119">
        <f>O155/O179</f>
        <v>2.8356187101537794E-3</v>
      </c>
      <c r="Q155" s="229">
        <f t="shared" si="26"/>
        <v>12664.260000000002</v>
      </c>
      <c r="R155" s="119">
        <f>Q155/Q179</f>
        <v>3.5702576439798602E-3</v>
      </c>
      <c r="S155" s="107">
        <v>37299.710000000006</v>
      </c>
      <c r="T155" s="119">
        <f>S155/S179</f>
        <v>2.7441956443056945E-2</v>
      </c>
      <c r="U155" s="107">
        <v>-24609.740000000005</v>
      </c>
      <c r="V155" s="119">
        <f>U155/U179</f>
        <v>-1.854012955540927E-2</v>
      </c>
      <c r="W155" s="107">
        <v>19517.419999999998</v>
      </c>
      <c r="X155" s="119">
        <f>W155/W179</f>
        <v>1.8706567259539918E-2</v>
      </c>
      <c r="Y155" s="229">
        <f t="shared" si="27"/>
        <v>32207.39</v>
      </c>
      <c r="Z155" s="119">
        <f>Y155/Y179</f>
        <v>8.6348168649673547E-3</v>
      </c>
      <c r="AA155" s="107">
        <v>8173.3899999999994</v>
      </c>
      <c r="AB155" s="119">
        <f>AA155/AA179</f>
        <v>6.3560190307765446E-3</v>
      </c>
      <c r="AC155" s="107">
        <v>4390.820000000007</v>
      </c>
      <c r="AD155" s="119">
        <f>AC155/AC179</f>
        <v>3.3103690245653407E-3</v>
      </c>
      <c r="AE155" s="107">
        <v>15402.119999999995</v>
      </c>
      <c r="AF155" s="119">
        <f>AE155/AE179</f>
        <v>1.4941517156457591E-2</v>
      </c>
      <c r="AG155" s="229">
        <f t="shared" si="28"/>
        <v>27966.33</v>
      </c>
      <c r="AH155" s="119">
        <f>AG155/AG179</f>
        <v>7.676435671224691E-3</v>
      </c>
      <c r="AI155" s="273">
        <f t="shared" si="29"/>
        <v>-0.13167971698420755</v>
      </c>
      <c r="AJ155" s="229">
        <f t="shared" si="30"/>
        <v>93037.08</v>
      </c>
      <c r="AK155" s="119">
        <f>AJ155/AJ179</f>
        <v>6.3229150817301748E-3</v>
      </c>
    </row>
    <row r="156" spans="1:37" s="66" customFormat="1" hidden="1" outlineLevel="1" x14ac:dyDescent="0.2">
      <c r="A156" s="62">
        <v>65010304</v>
      </c>
      <c r="B156" s="62" t="s">
        <v>275</v>
      </c>
      <c r="C156" s="107">
        <v>0</v>
      </c>
      <c r="D156" s="119">
        <f>C156/C179</f>
        <v>0</v>
      </c>
      <c r="E156" s="107">
        <v>11648.17</v>
      </c>
      <c r="F156" s="119">
        <f>E156/E179</f>
        <v>1.044355382976374E-2</v>
      </c>
      <c r="G156" s="107">
        <v>10527.78</v>
      </c>
      <c r="H156" s="119">
        <f>G156/G179</f>
        <v>5.6036231991192856E-3</v>
      </c>
      <c r="I156" s="229">
        <f t="shared" si="25"/>
        <v>22175.95</v>
      </c>
      <c r="J156" s="119">
        <f>I156/I179</f>
        <v>5.8449598407445203E-3</v>
      </c>
      <c r="K156" s="107">
        <v>9902.6499999999978</v>
      </c>
      <c r="L156" s="119">
        <f>K156/K179</f>
        <v>9.5128416552824283E-3</v>
      </c>
      <c r="M156" s="107">
        <v>6819.5600000000049</v>
      </c>
      <c r="N156" s="119">
        <f>M156/M179</f>
        <v>6.0649753751708928E-3</v>
      </c>
      <c r="O156" s="107">
        <v>8636.8699999999953</v>
      </c>
      <c r="P156" s="119">
        <f>O156/O179</f>
        <v>6.2506208718823546E-3</v>
      </c>
      <c r="Q156" s="229">
        <f t="shared" si="26"/>
        <v>25359.079999999998</v>
      </c>
      <c r="R156" s="119">
        <f>Q156/Q179</f>
        <v>7.1491306412136812E-3</v>
      </c>
      <c r="S156" s="107">
        <v>17809.150000000001</v>
      </c>
      <c r="T156" s="119">
        <f>S156/S179</f>
        <v>1.3102458935682544E-2</v>
      </c>
      <c r="U156" s="107">
        <v>448.03000000000611</v>
      </c>
      <c r="V156" s="119">
        <f>U156/U179</f>
        <v>3.3753035362056355E-4</v>
      </c>
      <c r="W156" s="107">
        <v>9586.5499999999884</v>
      </c>
      <c r="X156" s="119">
        <f>W156/W179</f>
        <v>9.1882760304354879E-3</v>
      </c>
      <c r="Y156" s="229">
        <f t="shared" si="27"/>
        <v>27843.729999999996</v>
      </c>
      <c r="Z156" s="119">
        <f>Y156/Y179</f>
        <v>7.4649175045726282E-3</v>
      </c>
      <c r="AA156" s="107">
        <v>8824.7100000000064</v>
      </c>
      <c r="AB156" s="119">
        <f>AA156/AA179</f>
        <v>6.8625166180843102E-3</v>
      </c>
      <c r="AC156" s="107">
        <v>8300.5800000000017</v>
      </c>
      <c r="AD156" s="119">
        <f>AC156/AC179</f>
        <v>6.2580526912801113E-3</v>
      </c>
      <c r="AE156" s="107">
        <v>8780.679999999993</v>
      </c>
      <c r="AF156" s="119">
        <f>AE156/AE179</f>
        <v>8.5180923707492192E-3</v>
      </c>
      <c r="AG156" s="229">
        <f t="shared" si="28"/>
        <v>25905.97</v>
      </c>
      <c r="AH156" s="119">
        <f>AG156/AG179</f>
        <v>7.1108905675387763E-3</v>
      </c>
      <c r="AI156" s="273">
        <f t="shared" si="29"/>
        <v>-6.9594124063119267E-2</v>
      </c>
      <c r="AJ156" s="229">
        <f t="shared" si="30"/>
        <v>101284.73</v>
      </c>
      <c r="AK156" s="119">
        <f>AJ156/AJ179</f>
        <v>6.8834355814474035E-3</v>
      </c>
    </row>
    <row r="157" spans="1:37" s="66" customFormat="1" hidden="1" outlineLevel="1" x14ac:dyDescent="0.2">
      <c r="A157" s="62">
        <v>65010308</v>
      </c>
      <c r="B157" s="62" t="s">
        <v>276</v>
      </c>
      <c r="C157" s="107">
        <v>855.84</v>
      </c>
      <c r="D157" s="119">
        <f>C157/C179</f>
        <v>1.0698817169523826E-3</v>
      </c>
      <c r="E157" s="107">
        <v>0</v>
      </c>
      <c r="F157" s="119">
        <f>E157/E179</f>
        <v>0</v>
      </c>
      <c r="G157" s="107">
        <v>0</v>
      </c>
      <c r="H157" s="119">
        <f>G157/G179</f>
        <v>0</v>
      </c>
      <c r="I157" s="229">
        <f t="shared" si="25"/>
        <v>855.84</v>
      </c>
      <c r="J157" s="119">
        <f>I157/I179</f>
        <v>2.2557547388512287E-4</v>
      </c>
      <c r="K157" s="107">
        <v>0</v>
      </c>
      <c r="L157" s="119">
        <f>K157/K179</f>
        <v>0</v>
      </c>
      <c r="M157" s="107">
        <v>3905</v>
      </c>
      <c r="N157" s="119">
        <f>M157/M179</f>
        <v>3.4729115720137835E-3</v>
      </c>
      <c r="O157" s="107">
        <v>7520</v>
      </c>
      <c r="P157" s="119">
        <f>O157/O179</f>
        <v>5.4423267869674243E-3</v>
      </c>
      <c r="Q157" s="229">
        <f t="shared" si="26"/>
        <v>11425</v>
      </c>
      <c r="R157" s="119">
        <f>Q157/Q179</f>
        <v>3.2208904098991885E-3</v>
      </c>
      <c r="S157" s="107">
        <v>-10616.89</v>
      </c>
      <c r="T157" s="119">
        <f>S157/S179</f>
        <v>-7.8110053118570309E-3</v>
      </c>
      <c r="U157" s="107">
        <v>15024.89</v>
      </c>
      <c r="V157" s="119">
        <f>U157/U179</f>
        <v>1.1319234057563108E-2</v>
      </c>
      <c r="W157" s="107">
        <v>0</v>
      </c>
      <c r="X157" s="119">
        <f>W157/W179</f>
        <v>0</v>
      </c>
      <c r="Y157" s="229">
        <f t="shared" si="27"/>
        <v>4408</v>
      </c>
      <c r="Z157" s="119">
        <f>Y157/Y179</f>
        <v>1.1817869358795015E-3</v>
      </c>
      <c r="AA157" s="107">
        <v>950</v>
      </c>
      <c r="AB157" s="119">
        <f>AA157/AA179</f>
        <v>7.3876544239755073E-4</v>
      </c>
      <c r="AC157" s="107">
        <v>5625</v>
      </c>
      <c r="AD157" s="119">
        <f>AC157/AC179</f>
        <v>4.2408538184621576E-3</v>
      </c>
      <c r="AE157" s="107">
        <v>17783.679999999997</v>
      </c>
      <c r="AF157" s="119">
        <f>AE157/AE179</f>
        <v>1.7251856226607229E-2</v>
      </c>
      <c r="AG157" s="229">
        <f t="shared" si="28"/>
        <v>24358.679999999997</v>
      </c>
      <c r="AH157" s="119">
        <f>AG157/AG179</f>
        <v>6.6861772730260789E-3</v>
      </c>
      <c r="AI157" s="273">
        <f t="shared" si="29"/>
        <v>4.5260163339382933</v>
      </c>
      <c r="AJ157" s="229">
        <f t="shared" si="30"/>
        <v>41047.519999999997</v>
      </c>
      <c r="AK157" s="119">
        <f>AJ157/AJ179</f>
        <v>2.7896402517751089E-3</v>
      </c>
    </row>
    <row r="158" spans="1:37" s="66" customFormat="1" hidden="1" outlineLevel="1" x14ac:dyDescent="0.2">
      <c r="A158" s="62">
        <v>65010311</v>
      </c>
      <c r="B158" s="62" t="s">
        <v>364</v>
      </c>
      <c r="C158" s="107">
        <v>4613.04</v>
      </c>
      <c r="D158" s="119">
        <f>C158/C179</f>
        <v>5.7667404603313922E-3</v>
      </c>
      <c r="E158" s="107">
        <v>2937.1000000000004</v>
      </c>
      <c r="F158" s="119">
        <f>E158/E179</f>
        <v>2.6333545916138834E-3</v>
      </c>
      <c r="G158" s="107">
        <v>5736.7</v>
      </c>
      <c r="H158" s="119">
        <f>G158/G179</f>
        <v>3.0534742563377657E-3</v>
      </c>
      <c r="I158" s="229">
        <f t="shared" si="25"/>
        <v>13286.84</v>
      </c>
      <c r="J158" s="119">
        <f>I158/I179</f>
        <v>3.502039200593342E-3</v>
      </c>
      <c r="K158" s="107">
        <v>2253</v>
      </c>
      <c r="L158" s="119">
        <f>K158/K179</f>
        <v>2.1643128101418627E-3</v>
      </c>
      <c r="M158" s="107">
        <v>382.51000000000022</v>
      </c>
      <c r="N158" s="119">
        <f>M158/M179</f>
        <v>3.4018525106555524E-4</v>
      </c>
      <c r="O158" s="107">
        <v>3121.8799999999992</v>
      </c>
      <c r="P158" s="119">
        <f>O158/O179</f>
        <v>2.2593472273534387E-3</v>
      </c>
      <c r="Q158" s="229">
        <f t="shared" si="26"/>
        <v>5757.3899999999994</v>
      </c>
      <c r="R158" s="119">
        <f>Q158/Q179</f>
        <v>1.6231004146213992E-3</v>
      </c>
      <c r="S158" s="107">
        <v>26128.91</v>
      </c>
      <c r="T158" s="119">
        <f>S158/S179</f>
        <v>1.9223431231088793E-2</v>
      </c>
      <c r="U158" s="107">
        <v>-8544.57</v>
      </c>
      <c r="V158" s="119">
        <f>U158/U179</f>
        <v>-6.4371844154088318E-3</v>
      </c>
      <c r="W158" s="107">
        <v>13164.580000000002</v>
      </c>
      <c r="X158" s="119">
        <f>W158/W179</f>
        <v>1.2617656494228954E-2</v>
      </c>
      <c r="Y158" s="229">
        <f t="shared" si="27"/>
        <v>30748.920000000002</v>
      </c>
      <c r="Z158" s="119">
        <f>Y158/Y179</f>
        <v>8.243800351271308E-3</v>
      </c>
      <c r="AA158" s="107">
        <v>8923.0599999999977</v>
      </c>
      <c r="AB158" s="119">
        <f>AA158/AA179</f>
        <v>6.938998282568303E-3</v>
      </c>
      <c r="AC158" s="107">
        <v>8010.239999999998</v>
      </c>
      <c r="AD158" s="119">
        <f>AC158/AC179</f>
        <v>6.0391567805863659E-3</v>
      </c>
      <c r="AE158" s="107">
        <v>3073</v>
      </c>
      <c r="AF158" s="119">
        <f>AE158/AE179</f>
        <v>2.9811014471900097E-3</v>
      </c>
      <c r="AG158" s="229">
        <f t="shared" si="28"/>
        <v>20006.299999999996</v>
      </c>
      <c r="AH158" s="119">
        <f>AG158/AG179</f>
        <v>5.4914990622374291E-3</v>
      </c>
      <c r="AI158" s="273">
        <f t="shared" si="29"/>
        <v>-0.34936576634236283</v>
      </c>
      <c r="AJ158" s="229">
        <f t="shared" si="30"/>
        <v>69799.45</v>
      </c>
      <c r="AK158" s="119">
        <f>AJ158/AJ179</f>
        <v>4.7436569924751634E-3</v>
      </c>
    </row>
    <row r="159" spans="1:37" s="66" customFormat="1" hidden="1" outlineLevel="1" x14ac:dyDescent="0.2">
      <c r="A159" s="62">
        <v>65010312</v>
      </c>
      <c r="B159" s="62" t="s">
        <v>278</v>
      </c>
      <c r="C159" s="107">
        <v>1123.54</v>
      </c>
      <c r="D159" s="119">
        <f>C159/C179</f>
        <v>1.4045322773703962E-3</v>
      </c>
      <c r="E159" s="107">
        <v>1123.54</v>
      </c>
      <c r="F159" s="119">
        <f>E159/E179</f>
        <v>1.0073471171774409E-3</v>
      </c>
      <c r="G159" s="107">
        <v>1123.54</v>
      </c>
      <c r="H159" s="119">
        <f>G159/G179</f>
        <v>5.9802682133730772E-4</v>
      </c>
      <c r="I159" s="229">
        <f t="shared" si="25"/>
        <v>3370.62</v>
      </c>
      <c r="J159" s="119">
        <f>I159/I179</f>
        <v>8.884011074344186E-4</v>
      </c>
      <c r="K159" s="107">
        <v>1123.54</v>
      </c>
      <c r="L159" s="119">
        <f>K159/K179</f>
        <v>1.0793129226394976E-3</v>
      </c>
      <c r="M159" s="107">
        <v>1123.54</v>
      </c>
      <c r="N159" s="119">
        <f>M159/M179</f>
        <v>9.9922024779010668E-4</v>
      </c>
      <c r="O159" s="107">
        <v>1123.54</v>
      </c>
      <c r="P159" s="119">
        <f>O159/O179</f>
        <v>8.1312125508369406E-4</v>
      </c>
      <c r="Q159" s="229">
        <f t="shared" si="26"/>
        <v>3370.62</v>
      </c>
      <c r="R159" s="119">
        <f>Q159/Q179</f>
        <v>9.5023174034261724E-4</v>
      </c>
      <c r="S159" s="107">
        <v>1123.54</v>
      </c>
      <c r="T159" s="119">
        <f>S159/S179</f>
        <v>8.2660524014884287E-4</v>
      </c>
      <c r="U159" s="107">
        <v>1123.54</v>
      </c>
      <c r="V159" s="119">
        <f>U159/U179</f>
        <v>8.4643629557583811E-4</v>
      </c>
      <c r="W159" s="107">
        <v>1123.5400000000009</v>
      </c>
      <c r="X159" s="119">
        <f>W159/W179</f>
        <v>1.0768624428220276E-3</v>
      </c>
      <c r="Y159" s="229">
        <f t="shared" si="27"/>
        <v>3370.6200000000008</v>
      </c>
      <c r="Z159" s="119">
        <f>Y159/Y179</f>
        <v>9.0366485522099958E-4</v>
      </c>
      <c r="AA159" s="107">
        <v>1123.5399999999991</v>
      </c>
      <c r="AB159" s="119">
        <f>AA159/AA179</f>
        <v>8.7371844752773004E-4</v>
      </c>
      <c r="AC159" s="107">
        <v>1123.5400000000009</v>
      </c>
      <c r="AD159" s="119">
        <f>AC159/AC179</f>
        <v>8.4707002652355137E-4</v>
      </c>
      <c r="AE159" s="107">
        <v>1123.5399999999991</v>
      </c>
      <c r="AF159" s="119">
        <f>AE159/AE179</f>
        <v>1.089940357948539E-3</v>
      </c>
      <c r="AG159" s="229">
        <f t="shared" si="28"/>
        <v>3370.619999999999</v>
      </c>
      <c r="AH159" s="119">
        <f>AG159/AG179</f>
        <v>9.2519639159458389E-4</v>
      </c>
      <c r="AI159" s="273">
        <f t="shared" si="29"/>
        <v>-5.5511151231257827E-16</v>
      </c>
      <c r="AJ159" s="229">
        <f t="shared" si="30"/>
        <v>13482.48</v>
      </c>
      <c r="AK159" s="119">
        <f>AJ159/AJ179</f>
        <v>9.1628602414355054E-4</v>
      </c>
    </row>
    <row r="160" spans="1:37" s="66" customFormat="1" hidden="1" outlineLevel="1" x14ac:dyDescent="0.2">
      <c r="A160" s="62">
        <v>65010314</v>
      </c>
      <c r="B160" s="62" t="s">
        <v>279</v>
      </c>
      <c r="C160" s="107">
        <v>19609.13</v>
      </c>
      <c r="D160" s="119">
        <f>C160/C179</f>
        <v>2.4513284810645068E-2</v>
      </c>
      <c r="E160" s="107">
        <v>15956.02</v>
      </c>
      <c r="F160" s="119">
        <f>E160/E179</f>
        <v>1.4305899877730737E-2</v>
      </c>
      <c r="G160" s="107">
        <v>18787.309999999998</v>
      </c>
      <c r="H160" s="119">
        <f>G160/G179</f>
        <v>9.9999245961680163E-3</v>
      </c>
      <c r="I160" s="229">
        <f t="shared" si="25"/>
        <v>54352.46</v>
      </c>
      <c r="J160" s="119">
        <f>I160/I179</f>
        <v>1.4325787438448992E-2</v>
      </c>
      <c r="K160" s="107">
        <v>19370.950000000004</v>
      </c>
      <c r="L160" s="119">
        <f>K160/K179</f>
        <v>1.8608431082830678E-2</v>
      </c>
      <c r="M160" s="107">
        <v>23713</v>
      </c>
      <c r="N160" s="119">
        <f>M160/M179</f>
        <v>2.1089155469183829E-2</v>
      </c>
      <c r="O160" s="107">
        <v>15446.39</v>
      </c>
      <c r="P160" s="119">
        <f>O160/O179</f>
        <v>1.1178763571668316E-2</v>
      </c>
      <c r="Q160" s="229">
        <f t="shared" si="26"/>
        <v>58530.340000000004</v>
      </c>
      <c r="R160" s="119">
        <f>Q160/Q179</f>
        <v>1.6500639894454168E-2</v>
      </c>
      <c r="S160" s="107">
        <v>29918.969999999987</v>
      </c>
      <c r="T160" s="119">
        <f>S160/S179</f>
        <v>2.2011835254513425E-2</v>
      </c>
      <c r="U160" s="107">
        <v>20865.270000000019</v>
      </c>
      <c r="V160" s="119">
        <f>U160/U179</f>
        <v>1.5719174969284301E-2</v>
      </c>
      <c r="W160" s="107">
        <v>24093.579999999987</v>
      </c>
      <c r="X160" s="119">
        <f>W160/W179</f>
        <v>2.3092610334414364E-2</v>
      </c>
      <c r="Y160" s="229">
        <f t="shared" si="27"/>
        <v>74877.819999999992</v>
      </c>
      <c r="Z160" s="119">
        <f>Y160/Y179</f>
        <v>2.0074779823760627E-2</v>
      </c>
      <c r="AA160" s="107">
        <v>24270.670000000013</v>
      </c>
      <c r="AB160" s="119">
        <f>AA160/AA179</f>
        <v>1.8874033957721026E-2</v>
      </c>
      <c r="AC160" s="107">
        <v>24218.929999999993</v>
      </c>
      <c r="AD160" s="119">
        <f>AC160/AC179</f>
        <v>1.8259367425700921E-2</v>
      </c>
      <c r="AE160" s="107">
        <v>23974.410000000003</v>
      </c>
      <c r="AF160" s="119">
        <f>AE160/AE179</f>
        <v>2.3257451463236788E-2</v>
      </c>
      <c r="AG160" s="229">
        <f t="shared" si="28"/>
        <v>72464.010000000009</v>
      </c>
      <c r="AH160" s="119">
        <f>AG160/AG179</f>
        <v>1.9890536629010053E-2</v>
      </c>
      <c r="AI160" s="273">
        <f t="shared" si="29"/>
        <v>-3.2236648983637428E-2</v>
      </c>
      <c r="AJ160" s="229">
        <f t="shared" si="30"/>
        <v>260224.63</v>
      </c>
      <c r="AK160" s="119">
        <f>AJ160/AJ179</f>
        <v>1.7685187859127292E-2</v>
      </c>
    </row>
    <row r="161" spans="1:37" s="66" customFormat="1" hidden="1" outlineLevel="1" x14ac:dyDescent="0.2">
      <c r="A161" s="62">
        <v>65010316</v>
      </c>
      <c r="B161" s="62" t="s">
        <v>280</v>
      </c>
      <c r="C161" s="107">
        <v>2556.21</v>
      </c>
      <c r="D161" s="119">
        <f>C161/C179</f>
        <v>3.1955065709605179E-3</v>
      </c>
      <c r="E161" s="107">
        <v>0</v>
      </c>
      <c r="F161" s="119">
        <f>E161/E179</f>
        <v>0</v>
      </c>
      <c r="G161" s="107">
        <v>1005.1700000000001</v>
      </c>
      <c r="H161" s="119">
        <f>G161/G179</f>
        <v>5.3502200189011666E-4</v>
      </c>
      <c r="I161" s="229">
        <f t="shared" si="25"/>
        <v>3561.38</v>
      </c>
      <c r="J161" s="119">
        <f>I161/I179</f>
        <v>9.38680105142315E-4</v>
      </c>
      <c r="K161" s="107">
        <v>421.54999999999973</v>
      </c>
      <c r="L161" s="119">
        <f>K161/K179</f>
        <v>4.0495608749014717E-4</v>
      </c>
      <c r="M161" s="107">
        <v>0</v>
      </c>
      <c r="N161" s="119">
        <f>M161/M179</f>
        <v>0</v>
      </c>
      <c r="O161" s="107">
        <v>0</v>
      </c>
      <c r="P161" s="119">
        <f>O161/O179</f>
        <v>0</v>
      </c>
      <c r="Q161" s="229">
        <f t="shared" si="26"/>
        <v>421.54999999999973</v>
      </c>
      <c r="R161" s="119">
        <f>Q161/Q179</f>
        <v>1.1884169385496735E-4</v>
      </c>
      <c r="S161" s="107">
        <v>93668.1</v>
      </c>
      <c r="T161" s="119">
        <f>S161/S179</f>
        <v>6.8913026945890521E-2</v>
      </c>
      <c r="U161" s="107">
        <v>-81310.989999999991</v>
      </c>
      <c r="V161" s="119">
        <f>U161/U179</f>
        <v>-6.1256896207704234E-2</v>
      </c>
      <c r="W161" s="107">
        <v>17080.36</v>
      </c>
      <c r="X161" s="119">
        <f>W161/W179</f>
        <v>1.6370755107855205E-2</v>
      </c>
      <c r="Y161" s="229">
        <f t="shared" si="27"/>
        <v>29437.470000000016</v>
      </c>
      <c r="Z161" s="119">
        <f>Y161/Y179</f>
        <v>7.8921999708132413E-3</v>
      </c>
      <c r="AA161" s="107">
        <v>4804.7200000000012</v>
      </c>
      <c r="AB161" s="119">
        <f>AA161/AA179</f>
        <v>3.7363801014698539E-3</v>
      </c>
      <c r="AC161" s="107">
        <v>20567.68</v>
      </c>
      <c r="AD161" s="119">
        <f>AC161/AC179</f>
        <v>1.5506582091539156E-2</v>
      </c>
      <c r="AE161" s="107">
        <v>42333.789999999994</v>
      </c>
      <c r="AF161" s="119">
        <f>AE161/AE179</f>
        <v>4.1067791289957023E-2</v>
      </c>
      <c r="AG161" s="229">
        <f t="shared" si="28"/>
        <v>67706.19</v>
      </c>
      <c r="AH161" s="119">
        <f>AG161/AG179</f>
        <v>1.8584569805144845E-2</v>
      </c>
      <c r="AI161" s="273">
        <f t="shared" si="29"/>
        <v>1.3000003057327945</v>
      </c>
      <c r="AJ161" s="229">
        <f t="shared" si="30"/>
        <v>101126.59000000003</v>
      </c>
      <c r="AK161" s="119">
        <f>AJ161/AJ179</f>
        <v>6.8726881913635293E-3</v>
      </c>
    </row>
    <row r="162" spans="1:37" s="66" customFormat="1" hidden="1" outlineLevel="1" x14ac:dyDescent="0.2">
      <c r="A162" s="62">
        <v>65010318</v>
      </c>
      <c r="B162" s="62" t="s">
        <v>365</v>
      </c>
      <c r="C162" s="107">
        <v>15600</v>
      </c>
      <c r="D162" s="119">
        <f>C162/C179</f>
        <v>1.9501489512592503E-2</v>
      </c>
      <c r="E162" s="107">
        <v>19500</v>
      </c>
      <c r="F162" s="119">
        <f>E162/E179</f>
        <v>1.7483372897235613E-2</v>
      </c>
      <c r="G162" s="107">
        <v>19500</v>
      </c>
      <c r="H162" s="119">
        <f>G162/G179</f>
        <v>1.0379268220159051E-2</v>
      </c>
      <c r="I162" s="229">
        <f t="shared" si="25"/>
        <v>54600</v>
      </c>
      <c r="J162" s="119">
        <f>I162/I179</f>
        <v>1.439103205520624E-2</v>
      </c>
      <c r="K162" s="107">
        <v>19500</v>
      </c>
      <c r="L162" s="119">
        <f>K162/K179</f>
        <v>1.8732401153025442E-2</v>
      </c>
      <c r="M162" s="107">
        <v>19500</v>
      </c>
      <c r="N162" s="119">
        <f>M162/M179</f>
        <v>1.7342324111208396E-2</v>
      </c>
      <c r="O162" s="107">
        <v>40950</v>
      </c>
      <c r="P162" s="119">
        <f>O162/O179</f>
        <v>2.9636074724244149E-2</v>
      </c>
      <c r="Q162" s="229">
        <f t="shared" si="26"/>
        <v>79950</v>
      </c>
      <c r="R162" s="119">
        <f>Q162/Q179</f>
        <v>2.2539184969053837E-2</v>
      </c>
      <c r="S162" s="107">
        <v>3900</v>
      </c>
      <c r="T162" s="119">
        <f>S162/S179</f>
        <v>2.8692885314100854E-3</v>
      </c>
      <c r="U162" s="107">
        <v>16575</v>
      </c>
      <c r="V162" s="119">
        <f>U162/U179</f>
        <v>1.2487033482714916E-2</v>
      </c>
      <c r="W162" s="107">
        <v>0</v>
      </c>
      <c r="X162" s="119">
        <f>W162/W179</f>
        <v>0</v>
      </c>
      <c r="Y162" s="229">
        <f t="shared" si="27"/>
        <v>20475</v>
      </c>
      <c r="Z162" s="119">
        <f>Y162/Y179</f>
        <v>5.4893574210827566E-3</v>
      </c>
      <c r="AA162" s="107">
        <v>0</v>
      </c>
      <c r="AB162" s="119">
        <f>AA162/AA179</f>
        <v>0</v>
      </c>
      <c r="AC162" s="107">
        <v>0</v>
      </c>
      <c r="AD162" s="119">
        <f>AC162/AC179</f>
        <v>0</v>
      </c>
      <c r="AE162" s="107">
        <v>0</v>
      </c>
      <c r="AF162" s="119">
        <f>AE162/AE179</f>
        <v>0</v>
      </c>
      <c r="AG162" s="229">
        <f t="shared" si="28"/>
        <v>0</v>
      </c>
      <c r="AH162" s="119">
        <f>AG162/AG179</f>
        <v>0</v>
      </c>
      <c r="AI162" s="273">
        <f t="shared" si="29"/>
        <v>-1</v>
      </c>
      <c r="AJ162" s="229">
        <f t="shared" si="30"/>
        <v>155025</v>
      </c>
      <c r="AK162" s="119">
        <f>AJ162/AJ179</f>
        <v>1.0535690829346968E-2</v>
      </c>
    </row>
    <row r="163" spans="1:37" s="66" customFormat="1" hidden="1" outlineLevel="1" x14ac:dyDescent="0.2">
      <c r="A163" s="62">
        <v>65010321</v>
      </c>
      <c r="B163" s="62" t="s">
        <v>283</v>
      </c>
      <c r="C163" s="107">
        <v>5400.4</v>
      </c>
      <c r="D163" s="119">
        <f>C163/C179</f>
        <v>6.7510156387054193E-3</v>
      </c>
      <c r="E163" s="107">
        <v>11137.109999999999</v>
      </c>
      <c r="F163" s="119">
        <f>E163/E179</f>
        <v>9.985346006540087E-3</v>
      </c>
      <c r="G163" s="107">
        <v>9216.5</v>
      </c>
      <c r="H163" s="119">
        <f>G163/G179</f>
        <v>4.9056679769792768E-3</v>
      </c>
      <c r="I163" s="229">
        <f t="shared" si="25"/>
        <v>25754.01</v>
      </c>
      <c r="J163" s="119">
        <f>I163/I179</f>
        <v>6.7880363271080957E-3</v>
      </c>
      <c r="K163" s="107">
        <v>7977.630000000001</v>
      </c>
      <c r="L163" s="119">
        <f>K163/K179</f>
        <v>7.6635982261748911E-3</v>
      </c>
      <c r="M163" s="107">
        <v>7638.3700000000026</v>
      </c>
      <c r="N163" s="119">
        <f>M163/M179</f>
        <v>6.7931840113503034E-3</v>
      </c>
      <c r="O163" s="107">
        <v>8119.1199999999953</v>
      </c>
      <c r="P163" s="119">
        <f>O163/O179</f>
        <v>5.8759181200269848E-3</v>
      </c>
      <c r="Q163" s="229">
        <f t="shared" si="26"/>
        <v>23735.119999999999</v>
      </c>
      <c r="R163" s="119">
        <f>Q163/Q179</f>
        <v>6.6913103182325096E-3</v>
      </c>
      <c r="S163" s="107">
        <v>9866.8800000000047</v>
      </c>
      <c r="T163" s="119">
        <f>S163/S179</f>
        <v>7.2592116986665532E-3</v>
      </c>
      <c r="U163" s="107">
        <v>7478.4500000000044</v>
      </c>
      <c r="V163" s="119">
        <f>U163/U179</f>
        <v>5.6340063679523027E-3</v>
      </c>
      <c r="W163" s="107">
        <v>8012.8999999999942</v>
      </c>
      <c r="X163" s="119">
        <f>W163/W179</f>
        <v>7.6800034427689382E-3</v>
      </c>
      <c r="Y163" s="229">
        <f t="shared" si="27"/>
        <v>25358.230000000003</v>
      </c>
      <c r="Z163" s="119">
        <f>Y163/Y179</f>
        <v>6.798553750233134E-3</v>
      </c>
      <c r="AA163" s="107">
        <v>8189.1399999999994</v>
      </c>
      <c r="AB163" s="119">
        <f>AA163/AA179</f>
        <v>6.3682669841636612E-3</v>
      </c>
      <c r="AC163" s="107">
        <v>7320.1999999999971</v>
      </c>
      <c r="AD163" s="119">
        <f>AC163/AC179</f>
        <v>5.5189152216722978E-3</v>
      </c>
      <c r="AE163" s="107">
        <v>10691.800000000003</v>
      </c>
      <c r="AF163" s="119">
        <f>AE163/AE179</f>
        <v>1.0372060023776815E-2</v>
      </c>
      <c r="AG163" s="229">
        <f t="shared" si="28"/>
        <v>26201.14</v>
      </c>
      <c r="AH163" s="119">
        <f>AG163/AG179</f>
        <v>7.1919113349070861E-3</v>
      </c>
      <c r="AI163" s="273">
        <f t="shared" si="29"/>
        <v>3.3240096016164955E-2</v>
      </c>
      <c r="AJ163" s="229">
        <f t="shared" si="30"/>
        <v>101048.5</v>
      </c>
      <c r="AK163" s="119">
        <f>AJ163/AJ179</f>
        <v>6.8673810983342501E-3</v>
      </c>
    </row>
    <row r="164" spans="1:37" s="66" customFormat="1" hidden="1" outlineLevel="1" x14ac:dyDescent="0.2">
      <c r="A164" s="62">
        <v>65010322</v>
      </c>
      <c r="B164" s="62" t="s">
        <v>284</v>
      </c>
      <c r="C164" s="107">
        <v>13190</v>
      </c>
      <c r="D164" s="119">
        <f>C164/C179</f>
        <v>1.6488759401993278E-2</v>
      </c>
      <c r="E164" s="107">
        <v>9473.5800000000017</v>
      </c>
      <c r="F164" s="119">
        <f>E164/E179</f>
        <v>8.4938529134253021E-3</v>
      </c>
      <c r="G164" s="107">
        <v>13600</v>
      </c>
      <c r="H164" s="119">
        <f>G164/G179</f>
        <v>7.2388742458545183E-3</v>
      </c>
      <c r="I164" s="229">
        <f t="shared" si="25"/>
        <v>36263.58</v>
      </c>
      <c r="J164" s="119">
        <f>I164/I179</f>
        <v>9.5580648757607311E-3</v>
      </c>
      <c r="K164" s="107">
        <v>62303.58</v>
      </c>
      <c r="L164" s="119">
        <f>K164/K179</f>
        <v>5.9851059170749378E-2</v>
      </c>
      <c r="M164" s="107">
        <v>7737.8000000000029</v>
      </c>
      <c r="N164" s="119">
        <f>M164/M179</f>
        <v>6.8816120773183779E-3</v>
      </c>
      <c r="O164" s="107">
        <v>7737.7999999999884</v>
      </c>
      <c r="P164" s="119">
        <f>O164/O179</f>
        <v>5.5999516239622965E-3</v>
      </c>
      <c r="Q164" s="229">
        <f t="shared" si="26"/>
        <v>77779.179999999993</v>
      </c>
      <c r="R164" s="119">
        <f>Q164/Q179</f>
        <v>2.1927196057052317E-2</v>
      </c>
      <c r="S164" s="107">
        <v>-30354.399999999994</v>
      </c>
      <c r="T164" s="119">
        <f>S164/S179</f>
        <v>-2.2332187640470326E-2</v>
      </c>
      <c r="U164" s="107">
        <v>45830</v>
      </c>
      <c r="V164" s="119">
        <f>U164/U179</f>
        <v>3.4526741750396661E-2</v>
      </c>
      <c r="W164" s="107">
        <v>13137.800000000003</v>
      </c>
      <c r="X164" s="119">
        <f>W164/W179</f>
        <v>1.2591989071423561E-2</v>
      </c>
      <c r="Y164" s="229">
        <f t="shared" si="27"/>
        <v>28613.400000000009</v>
      </c>
      <c r="Z164" s="119">
        <f>Y164/Y179</f>
        <v>7.67126640451328E-3</v>
      </c>
      <c r="AA164" s="107">
        <v>7737.7999999999884</v>
      </c>
      <c r="AB164" s="119">
        <f>AA164/AA179</f>
        <v>6.0172834107197473E-3</v>
      </c>
      <c r="AC164" s="107">
        <v>8637.8000000000175</v>
      </c>
      <c r="AD164" s="119">
        <f>AC164/AC179</f>
        <v>6.512292820108889E-3</v>
      </c>
      <c r="AE164" s="107">
        <v>9137.7999999999884</v>
      </c>
      <c r="AF164" s="119">
        <f>AE164/AE179</f>
        <v>8.8645326404597578E-3</v>
      </c>
      <c r="AG164" s="229">
        <f t="shared" si="28"/>
        <v>25513.399999999994</v>
      </c>
      <c r="AH164" s="119">
        <f>AG164/AG179</f>
        <v>7.003134621318706E-3</v>
      </c>
      <c r="AI164" s="273">
        <f t="shared" si="29"/>
        <v>-0.10834084729532367</v>
      </c>
      <c r="AJ164" s="229">
        <f t="shared" si="30"/>
        <v>168169.56</v>
      </c>
      <c r="AK164" s="119">
        <f>AJ164/AJ179</f>
        <v>1.1429011392145234E-2</v>
      </c>
    </row>
    <row r="165" spans="1:37" s="66" customFormat="1" hidden="1" outlineLevel="1" x14ac:dyDescent="0.2">
      <c r="A165" s="62">
        <v>65010323</v>
      </c>
      <c r="B165" s="62" t="s">
        <v>285</v>
      </c>
      <c r="C165" s="107">
        <v>46432.42</v>
      </c>
      <c r="D165" s="119">
        <f>C165/C179</f>
        <v>5.8044958440659634E-2</v>
      </c>
      <c r="E165" s="107">
        <v>52311.34</v>
      </c>
      <c r="F165" s="119">
        <f>E165/E179</f>
        <v>4.6901469947388572E-2</v>
      </c>
      <c r="G165" s="107">
        <v>52293.08</v>
      </c>
      <c r="H165" s="119">
        <f>G165/G179</f>
        <v>2.7834046327088972E-2</v>
      </c>
      <c r="I165" s="229">
        <f t="shared" si="25"/>
        <v>151036.84</v>
      </c>
      <c r="J165" s="119">
        <f>I165/I179</f>
        <v>3.9809084358187835E-2</v>
      </c>
      <c r="K165" s="107">
        <v>60678.989999999991</v>
      </c>
      <c r="L165" s="119">
        <f>K165/K179</f>
        <v>5.829041960207277E-2</v>
      </c>
      <c r="M165" s="107">
        <v>49152.810000000027</v>
      </c>
      <c r="N165" s="119">
        <f>M165/M179</f>
        <v>4.3714049333161309E-2</v>
      </c>
      <c r="O165" s="107">
        <v>67013.109999999986</v>
      </c>
      <c r="P165" s="119">
        <f>O165/O179</f>
        <v>4.8498303674334373E-2</v>
      </c>
      <c r="Q165" s="229">
        <f t="shared" si="26"/>
        <v>176844.91</v>
      </c>
      <c r="R165" s="119">
        <f>Q165/Q179</f>
        <v>4.9855411348663906E-2</v>
      </c>
      <c r="S165" s="107">
        <v>127606.53999999998</v>
      </c>
      <c r="T165" s="119">
        <f>S165/S179</f>
        <v>9.3882046603826222E-2</v>
      </c>
      <c r="U165" s="107">
        <v>38001.73000000004</v>
      </c>
      <c r="V165" s="119">
        <f>U165/U179</f>
        <v>2.8629193056476165E-2</v>
      </c>
      <c r="W165" s="107">
        <v>71960.689999999944</v>
      </c>
      <c r="X165" s="119">
        <f>W165/W179</f>
        <v>6.8971077505525877E-2</v>
      </c>
      <c r="Y165" s="229">
        <f t="shared" si="27"/>
        <v>237568.95999999996</v>
      </c>
      <c r="Z165" s="119">
        <f>Y165/Y179</f>
        <v>6.3692353289128811E-2</v>
      </c>
      <c r="AA165" s="107">
        <v>34996.890000000014</v>
      </c>
      <c r="AB165" s="119">
        <f>AA165/AA179</f>
        <v>2.7215255708829926E-2</v>
      </c>
      <c r="AC165" s="107">
        <v>53156.080000000075</v>
      </c>
      <c r="AD165" s="119">
        <f>AC165/AC179</f>
        <v>4.0075940416440935E-2</v>
      </c>
      <c r="AE165" s="107">
        <v>82660.529999999912</v>
      </c>
      <c r="AF165" s="119">
        <f>AE165/AE179</f>
        <v>8.0188553728764378E-2</v>
      </c>
      <c r="AG165" s="229">
        <f t="shared" si="28"/>
        <v>170813.5</v>
      </c>
      <c r="AH165" s="119">
        <f>AG165/AG179</f>
        <v>4.68863395564144E-2</v>
      </c>
      <c r="AI165" s="273">
        <f t="shared" si="29"/>
        <v>-0.28099403221700336</v>
      </c>
      <c r="AJ165" s="229">
        <f t="shared" si="30"/>
        <v>736264.21</v>
      </c>
      <c r="AK165" s="119">
        <f>AJ165/AJ179</f>
        <v>5.0037426771639353E-2</v>
      </c>
    </row>
    <row r="166" spans="1:37" s="66" customFormat="1" hidden="1" outlineLevel="1" x14ac:dyDescent="0.2">
      <c r="A166" s="62">
        <v>65010324</v>
      </c>
      <c r="B166" s="62" t="s">
        <v>286</v>
      </c>
      <c r="C166" s="107">
        <v>12793.64</v>
      </c>
      <c r="D166" s="119">
        <f>C166/C179</f>
        <v>1.5993271556915635E-2</v>
      </c>
      <c r="E166" s="107">
        <v>17563.100000000002</v>
      </c>
      <c r="F166" s="119">
        <f>E166/E179</f>
        <v>1.5746780847766092E-2</v>
      </c>
      <c r="G166" s="107">
        <v>24450.569999999996</v>
      </c>
      <c r="H166" s="119">
        <f>G166/G179</f>
        <v>1.3014308931578168E-2</v>
      </c>
      <c r="I166" s="229">
        <f t="shared" si="25"/>
        <v>54807.31</v>
      </c>
      <c r="J166" s="119">
        <f>I166/I179</f>
        <v>1.4445673169773361E-2</v>
      </c>
      <c r="K166" s="107">
        <v>15098.089999999997</v>
      </c>
      <c r="L166" s="119">
        <f>K166/K179</f>
        <v>1.4503768129460606E-2</v>
      </c>
      <c r="M166" s="107">
        <v>17309.060000000012</v>
      </c>
      <c r="N166" s="119">
        <f>M166/M179</f>
        <v>1.5393811722069384E-2</v>
      </c>
      <c r="O166" s="107">
        <v>20118.03</v>
      </c>
      <c r="P166" s="119">
        <f>O166/O179</f>
        <v>1.4559693293884872E-2</v>
      </c>
      <c r="Q166" s="229">
        <f t="shared" si="26"/>
        <v>52525.180000000008</v>
      </c>
      <c r="R166" s="119">
        <f>Q166/Q179</f>
        <v>1.4807689150129425E-2</v>
      </c>
      <c r="S166" s="107">
        <v>-78104.320000000007</v>
      </c>
      <c r="T166" s="119">
        <f>S166/S179</f>
        <v>-5.7462520417841889E-2</v>
      </c>
      <c r="U166" s="107">
        <v>104539.29</v>
      </c>
      <c r="V166" s="119">
        <f>U166/U179</f>
        <v>7.8756296500105252E-2</v>
      </c>
      <c r="W166" s="107">
        <v>24239.25</v>
      </c>
      <c r="X166" s="119">
        <f>W166/W179</f>
        <v>2.323222846287076E-2</v>
      </c>
      <c r="Y166" s="229">
        <f t="shared" si="27"/>
        <v>50674.219999999987</v>
      </c>
      <c r="Z166" s="119">
        <f>Y166/Y179</f>
        <v>1.3585782935999033E-2</v>
      </c>
      <c r="AA166" s="107">
        <v>17217.850000000006</v>
      </c>
      <c r="AB166" s="119">
        <f>AA166/AA179</f>
        <v>1.3389423760404921E-2</v>
      </c>
      <c r="AC166" s="107">
        <v>16393.809999999998</v>
      </c>
      <c r="AD166" s="119">
        <f>AC166/AC179</f>
        <v>1.2359778086692107E-2</v>
      </c>
      <c r="AE166" s="107">
        <v>23173.380000000005</v>
      </c>
      <c r="AF166" s="119">
        <f>AE166/AE179</f>
        <v>2.2480376392542804E-2</v>
      </c>
      <c r="AG166" s="229">
        <f t="shared" si="28"/>
        <v>56785.040000000008</v>
      </c>
      <c r="AH166" s="119">
        <f>AG166/AG179</f>
        <v>1.5586839840905866E-2</v>
      </c>
      <c r="AI166" s="273">
        <f t="shared" si="29"/>
        <v>0.12059031199690939</v>
      </c>
      <c r="AJ166" s="229">
        <f t="shared" si="30"/>
        <v>214791.75</v>
      </c>
      <c r="AK166" s="119">
        <f>AJ166/AJ179</f>
        <v>1.4597513115267776E-2</v>
      </c>
    </row>
    <row r="167" spans="1:37" s="66" customFormat="1" hidden="1" outlineLevel="1" x14ac:dyDescent="0.2">
      <c r="A167" s="62">
        <v>65010328</v>
      </c>
      <c r="B167" s="62" t="s">
        <v>366</v>
      </c>
      <c r="C167" s="107">
        <v>38490.089999999997</v>
      </c>
      <c r="D167" s="119">
        <f>C167/C179</f>
        <v>4.8116287594470605E-2</v>
      </c>
      <c r="E167" s="107">
        <v>55432.040000000008</v>
      </c>
      <c r="F167" s="119">
        <f>E167/E179</f>
        <v>4.9699437219204126E-2</v>
      </c>
      <c r="G167" s="107">
        <v>56203.59</v>
      </c>
      <c r="H167" s="119">
        <f>G167/G179</f>
        <v>2.9915494130556362E-2</v>
      </c>
      <c r="I167" s="229">
        <f t="shared" si="25"/>
        <v>150125.72</v>
      </c>
      <c r="J167" s="119">
        <f>I167/I179</f>
        <v>3.9568938623276859E-2</v>
      </c>
      <c r="K167" s="107">
        <v>54290.19</v>
      </c>
      <c r="L167" s="119">
        <f>K167/K179</f>
        <v>5.2153108602767707E-2</v>
      </c>
      <c r="M167" s="107">
        <v>55015.5</v>
      </c>
      <c r="N167" s="119">
        <f>M167/M179</f>
        <v>4.8928032417445408E-2</v>
      </c>
      <c r="O167" s="107">
        <v>55647.499999999971</v>
      </c>
      <c r="P167" s="119">
        <f>O167/O179</f>
        <v>4.0272856366724674E-2</v>
      </c>
      <c r="Q167" s="229">
        <f t="shared" si="26"/>
        <v>164953.18999999997</v>
      </c>
      <c r="R167" s="119">
        <f>Q167/Q179</f>
        <v>4.6502945098755237E-2</v>
      </c>
      <c r="S167" s="107">
        <v>28659.150000000023</v>
      </c>
      <c r="T167" s="119">
        <f>S167/S179</f>
        <v>2.1084966773067031E-2</v>
      </c>
      <c r="U167" s="107">
        <v>83662.31</v>
      </c>
      <c r="V167" s="119">
        <f>U167/U179</f>
        <v>6.3028299620589742E-2</v>
      </c>
      <c r="W167" s="107">
        <v>57342.020000000019</v>
      </c>
      <c r="X167" s="119">
        <f>W167/W179</f>
        <v>5.4959741294079018E-2</v>
      </c>
      <c r="Y167" s="229">
        <f t="shared" si="27"/>
        <v>169663.48000000004</v>
      </c>
      <c r="Z167" s="119">
        <f>Y167/Y179</f>
        <v>4.5486861197788823E-2</v>
      </c>
      <c r="AA167" s="107">
        <v>56705.579999999958</v>
      </c>
      <c r="AB167" s="119">
        <f>AA167/AA179</f>
        <v>4.40969714685365E-2</v>
      </c>
      <c r="AC167" s="107">
        <v>53679.340000000084</v>
      </c>
      <c r="AD167" s="119">
        <f>AC167/AC179</f>
        <v>4.0470441602049566E-2</v>
      </c>
      <c r="AE167" s="107">
        <v>53570.619999999995</v>
      </c>
      <c r="AF167" s="119">
        <f>AE167/AE179</f>
        <v>5.1968582105065428E-2</v>
      </c>
      <c r="AG167" s="229">
        <f t="shared" si="28"/>
        <v>163955.54000000004</v>
      </c>
      <c r="AH167" s="119">
        <f>AG167/AG179</f>
        <v>4.500390847676141E-2</v>
      </c>
      <c r="AI167" s="273">
        <f t="shared" si="29"/>
        <v>-3.3642714389684802E-2</v>
      </c>
      <c r="AJ167" s="229">
        <f t="shared" si="30"/>
        <v>648697.93000000005</v>
      </c>
      <c r="AK167" s="119">
        <f>AJ167/AJ179</f>
        <v>4.4086314027526934E-2</v>
      </c>
    </row>
    <row r="168" spans="1:37" s="66" customFormat="1" hidden="1" outlineLevel="1" x14ac:dyDescent="0.2">
      <c r="A168" s="62">
        <v>65010336</v>
      </c>
      <c r="B168" s="62" t="s">
        <v>290</v>
      </c>
      <c r="C168" s="107">
        <v>0</v>
      </c>
      <c r="D168" s="119">
        <f>C168/C179</f>
        <v>0</v>
      </c>
      <c r="E168" s="107">
        <v>0</v>
      </c>
      <c r="F168" s="119">
        <f>E168/E179</f>
        <v>0</v>
      </c>
      <c r="G168" s="107">
        <v>0</v>
      </c>
      <c r="H168" s="119">
        <f>G168/G179</f>
        <v>0</v>
      </c>
      <c r="I168" s="229">
        <f t="shared" si="25"/>
        <v>0</v>
      </c>
      <c r="J168" s="119">
        <f>I168/I179</f>
        <v>0</v>
      </c>
      <c r="K168" s="107">
        <v>0</v>
      </c>
      <c r="L168" s="119">
        <f>K168/K179</f>
        <v>0</v>
      </c>
      <c r="M168" s="107">
        <v>0</v>
      </c>
      <c r="N168" s="119">
        <f>M168/M179</f>
        <v>0</v>
      </c>
      <c r="O168" s="107">
        <v>2862.15</v>
      </c>
      <c r="P168" s="119">
        <f>O168/O179</f>
        <v>2.0713770762392039E-3</v>
      </c>
      <c r="Q168" s="229">
        <f t="shared" si="26"/>
        <v>2862.15</v>
      </c>
      <c r="R168" s="119">
        <f>Q168/Q179</f>
        <v>8.0688590693155028E-4</v>
      </c>
      <c r="S168" s="107">
        <v>0</v>
      </c>
      <c r="T168" s="119">
        <f>S168/S179</f>
        <v>0</v>
      </c>
      <c r="U168" s="107">
        <v>0</v>
      </c>
      <c r="V168" s="119">
        <f>U168/U179</f>
        <v>0</v>
      </c>
      <c r="W168" s="107">
        <v>0</v>
      </c>
      <c r="X168" s="119">
        <f>W168/W179</f>
        <v>0</v>
      </c>
      <c r="Y168" s="229">
        <f t="shared" si="27"/>
        <v>0</v>
      </c>
      <c r="Z168" s="119">
        <f>Y168/Y179</f>
        <v>0</v>
      </c>
      <c r="AA168" s="107">
        <v>0</v>
      </c>
      <c r="AB168" s="119">
        <f>AA168/AA179</f>
        <v>0</v>
      </c>
      <c r="AC168" s="107">
        <v>0</v>
      </c>
      <c r="AD168" s="119">
        <f>AC168/AC179</f>
        <v>0</v>
      </c>
      <c r="AE168" s="107">
        <v>0</v>
      </c>
      <c r="AF168" s="119">
        <f>AE168/AE179</f>
        <v>0</v>
      </c>
      <c r="AG168" s="229">
        <f t="shared" si="28"/>
        <v>0</v>
      </c>
      <c r="AH168" s="119">
        <f>AG168/AG179</f>
        <v>0</v>
      </c>
      <c r="AI168" s="273" t="str">
        <f t="shared" si="29"/>
        <v>0</v>
      </c>
      <c r="AJ168" s="229">
        <f t="shared" si="30"/>
        <v>2862.15</v>
      </c>
      <c r="AK168" s="119">
        <f>AJ168/AJ179</f>
        <v>1.9451525565047849E-4</v>
      </c>
    </row>
    <row r="169" spans="1:37" s="66" customFormat="1" hidden="1" outlineLevel="1" x14ac:dyDescent="0.2">
      <c r="A169" s="62">
        <v>65010337</v>
      </c>
      <c r="B169" s="62" t="s">
        <v>291</v>
      </c>
      <c r="C169" s="107">
        <v>4333.55</v>
      </c>
      <c r="D169" s="119">
        <f>C169/C179</f>
        <v>5.4173512741855926E-3</v>
      </c>
      <c r="E169" s="107">
        <v>4751.3</v>
      </c>
      <c r="F169" s="119">
        <f>E169/E179</f>
        <v>4.2599358793146448E-3</v>
      </c>
      <c r="G169" s="107">
        <v>4274.43</v>
      </c>
      <c r="H169" s="119">
        <f>G169/G179</f>
        <v>2.2751515619638184E-3</v>
      </c>
      <c r="I169" s="229">
        <f t="shared" si="25"/>
        <v>13359.28</v>
      </c>
      <c r="J169" s="119">
        <f>I169/I179</f>
        <v>3.5211323574079784E-3</v>
      </c>
      <c r="K169" s="107">
        <v>8812.83</v>
      </c>
      <c r="L169" s="119">
        <f>K169/K179</f>
        <v>8.4659213770983174E-3</v>
      </c>
      <c r="M169" s="107">
        <v>4504.2200000000012</v>
      </c>
      <c r="N169" s="119">
        <f>M169/M179</f>
        <v>4.0058278517019026E-3</v>
      </c>
      <c r="O169" s="107">
        <v>6451.4000000000015</v>
      </c>
      <c r="P169" s="119">
        <f>O169/O179</f>
        <v>4.6689663608300066E-3</v>
      </c>
      <c r="Q169" s="229">
        <f t="shared" si="26"/>
        <v>19768.450000000004</v>
      </c>
      <c r="R169" s="119">
        <f>Q169/Q179</f>
        <v>5.5730425403563788E-3</v>
      </c>
      <c r="S169" s="107">
        <v>-19672.22</v>
      </c>
      <c r="T169" s="119">
        <f>S169/S179</f>
        <v>-1.4473147495737465E-2</v>
      </c>
      <c r="U169" s="107">
        <v>45201.279999999999</v>
      </c>
      <c r="V169" s="119">
        <f>U169/U179</f>
        <v>3.4053085781090321E-2</v>
      </c>
      <c r="W169" s="107">
        <v>7819.8100000000049</v>
      </c>
      <c r="X169" s="119">
        <f>W169/W179</f>
        <v>7.4949353819215329E-3</v>
      </c>
      <c r="Y169" s="229">
        <f t="shared" si="27"/>
        <v>33348.870000000003</v>
      </c>
      <c r="Z169" s="119">
        <f>Y169/Y179</f>
        <v>8.9408482060671125E-3</v>
      </c>
      <c r="AA169" s="107">
        <v>8129.0599999999977</v>
      </c>
      <c r="AB169" s="119">
        <f>AA169/AA179</f>
        <v>6.3215459022907712E-3</v>
      </c>
      <c r="AC169" s="107">
        <v>9461.9499999999971</v>
      </c>
      <c r="AD169" s="119">
        <f>AC169/AC179</f>
        <v>7.1336438733507557E-3</v>
      </c>
      <c r="AE169" s="107">
        <v>10355.490000000005</v>
      </c>
      <c r="AF169" s="119">
        <f>AE169/AE179</f>
        <v>1.0045807427712883E-2</v>
      </c>
      <c r="AG169" s="229">
        <f t="shared" si="28"/>
        <v>27946.5</v>
      </c>
      <c r="AH169" s="119">
        <f>AG169/AG179</f>
        <v>7.6709925644831058E-3</v>
      </c>
      <c r="AI169" s="273">
        <f t="shared" si="29"/>
        <v>-0.16199559385370488</v>
      </c>
      <c r="AJ169" s="229">
        <f t="shared" si="30"/>
        <v>94423.1</v>
      </c>
      <c r="AK169" s="119">
        <f>AJ169/AJ179</f>
        <v>6.4171107160039464E-3</v>
      </c>
    </row>
    <row r="170" spans="1:37" s="66" customFormat="1" hidden="1" outlineLevel="1" x14ac:dyDescent="0.2">
      <c r="A170" s="62">
        <v>65010347</v>
      </c>
      <c r="B170" s="62" t="s">
        <v>292</v>
      </c>
      <c r="C170" s="107">
        <v>0</v>
      </c>
      <c r="D170" s="119">
        <f>C170/C179</f>
        <v>0</v>
      </c>
      <c r="E170" s="107">
        <v>3618.95</v>
      </c>
      <c r="F170" s="119">
        <f>E170/E179</f>
        <v>3.2446898639205547E-3</v>
      </c>
      <c r="G170" s="107">
        <v>1122.8699999999999</v>
      </c>
      <c r="H170" s="119">
        <f>G170/G179</f>
        <v>5.976702003266663E-4</v>
      </c>
      <c r="I170" s="229">
        <f t="shared" si="25"/>
        <v>4741.82</v>
      </c>
      <c r="J170" s="119">
        <f>I170/I179</f>
        <v>1.2498110553116858E-3</v>
      </c>
      <c r="K170" s="107">
        <v>1175.8500000000004</v>
      </c>
      <c r="L170" s="119">
        <f>K170/K179</f>
        <v>1.1295637895274344E-3</v>
      </c>
      <c r="M170" s="107">
        <v>817.27999999999975</v>
      </c>
      <c r="N170" s="119">
        <f>M170/M179</f>
        <v>7.268479307491483E-4</v>
      </c>
      <c r="O170" s="107">
        <v>2100.6799999999994</v>
      </c>
      <c r="P170" s="119">
        <f>O170/O179</f>
        <v>1.5202908291019582E-3</v>
      </c>
      <c r="Q170" s="229">
        <f t="shared" si="26"/>
        <v>4093.8099999999995</v>
      </c>
      <c r="R170" s="119">
        <f>Q170/Q179</f>
        <v>1.1541105793391156E-3</v>
      </c>
      <c r="S170" s="107">
        <v>18187.190000000002</v>
      </c>
      <c r="T170" s="119">
        <f>S170/S179</f>
        <v>1.338058863732723E-2</v>
      </c>
      <c r="U170" s="107">
        <v>-10289.239999999998</v>
      </c>
      <c r="V170" s="119">
        <f>U170/U179</f>
        <v>-7.7515586359993725E-3</v>
      </c>
      <c r="W170" s="107">
        <v>5087.3499999999985</v>
      </c>
      <c r="X170" s="119">
        <f>W170/W179</f>
        <v>4.8759956463415959E-3</v>
      </c>
      <c r="Y170" s="229">
        <f t="shared" si="27"/>
        <v>12985.300000000003</v>
      </c>
      <c r="Z170" s="119">
        <f>Y170/Y179</f>
        <v>3.4813652219773351E-3</v>
      </c>
      <c r="AA170" s="107">
        <v>5764.41</v>
      </c>
      <c r="AB170" s="119">
        <f>AA170/AA179</f>
        <v>4.4826809513798587E-3</v>
      </c>
      <c r="AC170" s="107">
        <v>1189.75</v>
      </c>
      <c r="AD170" s="119">
        <f>AC170/AC179</f>
        <v>8.9698770320272925E-4</v>
      </c>
      <c r="AE170" s="107">
        <v>6904.619999999999</v>
      </c>
      <c r="AF170" s="119">
        <f>AE170/AE179</f>
        <v>6.698136242856193E-3</v>
      </c>
      <c r="AG170" s="229">
        <f t="shared" si="28"/>
        <v>13858.779999999999</v>
      </c>
      <c r="AH170" s="119">
        <f>AG170/AG179</f>
        <v>3.8040755848785059E-3</v>
      </c>
      <c r="AI170" s="273">
        <f t="shared" si="29"/>
        <v>6.7266832495205708E-2</v>
      </c>
      <c r="AJ170" s="229">
        <f t="shared" si="30"/>
        <v>35679.71</v>
      </c>
      <c r="AK170" s="119">
        <f>AJ170/AJ179</f>
        <v>2.4248372419981251E-3</v>
      </c>
    </row>
    <row r="171" spans="1:37" s="66" customFormat="1" hidden="1" outlineLevel="1" x14ac:dyDescent="0.2">
      <c r="A171" s="62">
        <v>65010352</v>
      </c>
      <c r="B171" s="62" t="s">
        <v>293</v>
      </c>
      <c r="C171" s="107">
        <v>2237.6</v>
      </c>
      <c r="D171" s="119">
        <f>C171/C179</f>
        <v>2.7972136495754475E-3</v>
      </c>
      <c r="E171" s="107">
        <v>0</v>
      </c>
      <c r="F171" s="119">
        <f>E171/E179</f>
        <v>0</v>
      </c>
      <c r="G171" s="107">
        <v>0</v>
      </c>
      <c r="H171" s="119">
        <f>G171/G179</f>
        <v>0</v>
      </c>
      <c r="I171" s="229">
        <f t="shared" si="25"/>
        <v>2237.6</v>
      </c>
      <c r="J171" s="119">
        <f>I171/I179</f>
        <v>5.897687422477927E-4</v>
      </c>
      <c r="K171" s="107">
        <v>0</v>
      </c>
      <c r="L171" s="119">
        <f>K171/K179</f>
        <v>0</v>
      </c>
      <c r="M171" s="107">
        <v>0</v>
      </c>
      <c r="N171" s="119">
        <f>M171/M179</f>
        <v>0</v>
      </c>
      <c r="O171" s="107">
        <v>636</v>
      </c>
      <c r="P171" s="119">
        <f>O171/O179</f>
        <v>4.6028189315309596E-4</v>
      </c>
      <c r="Q171" s="229">
        <f t="shared" si="26"/>
        <v>636</v>
      </c>
      <c r="R171" s="119">
        <f>Q171/Q179</f>
        <v>1.7929858211780165E-4</v>
      </c>
      <c r="S171" s="107">
        <v>559.40000000000009</v>
      </c>
      <c r="T171" s="119">
        <f>S171/S179</f>
        <v>4.1155897550533387E-4</v>
      </c>
      <c r="U171" s="107">
        <v>-559.40000000000009</v>
      </c>
      <c r="V171" s="119">
        <f>U171/U179</f>
        <v>-4.2143267150713279E-4</v>
      </c>
      <c r="W171" s="107">
        <v>2083.0000000000005</v>
      </c>
      <c r="X171" s="119">
        <f>W171/W179</f>
        <v>1.996461602077614E-3</v>
      </c>
      <c r="Y171" s="229">
        <f t="shared" si="27"/>
        <v>2083.0000000000005</v>
      </c>
      <c r="Z171" s="119">
        <f>Y171/Y179</f>
        <v>5.5845330930966467E-4</v>
      </c>
      <c r="AA171" s="107">
        <v>1864.2399999999998</v>
      </c>
      <c r="AB171" s="119">
        <f>AA171/AA179</f>
        <v>1.4497221982475894E-3</v>
      </c>
      <c r="AC171" s="107">
        <v>0</v>
      </c>
      <c r="AD171" s="119">
        <f>AC171/AC179</f>
        <v>0</v>
      </c>
      <c r="AE171" s="107">
        <v>0</v>
      </c>
      <c r="AF171" s="119">
        <f>AE171/AE179</f>
        <v>0</v>
      </c>
      <c r="AG171" s="229">
        <f t="shared" si="28"/>
        <v>1864.2399999999998</v>
      </c>
      <c r="AH171" s="119">
        <f>AG171/AG179</f>
        <v>5.1171242117660466E-4</v>
      </c>
      <c r="AI171" s="273">
        <f t="shared" si="29"/>
        <v>-0.10502160345655331</v>
      </c>
      <c r="AJ171" s="229">
        <f t="shared" si="30"/>
        <v>6820.84</v>
      </c>
      <c r="AK171" s="119">
        <f>AJ171/AJ179</f>
        <v>4.6355272656954026E-4</v>
      </c>
    </row>
    <row r="172" spans="1:37" s="66" customFormat="1" hidden="1" outlineLevel="1" x14ac:dyDescent="0.2">
      <c r="A172" s="62">
        <v>65010353</v>
      </c>
      <c r="B172" s="62" t="s">
        <v>294</v>
      </c>
      <c r="C172" s="107">
        <v>0</v>
      </c>
      <c r="D172" s="119">
        <f>C172/C179</f>
        <v>0</v>
      </c>
      <c r="E172" s="107">
        <v>0</v>
      </c>
      <c r="F172" s="119">
        <f>E172/E179</f>
        <v>0</v>
      </c>
      <c r="G172" s="107">
        <v>0</v>
      </c>
      <c r="H172" s="119">
        <f>G172/G179</f>
        <v>0</v>
      </c>
      <c r="I172" s="229">
        <f t="shared" si="25"/>
        <v>0</v>
      </c>
      <c r="J172" s="119">
        <f>I172/I179</f>
        <v>0</v>
      </c>
      <c r="K172" s="107">
        <v>2083</v>
      </c>
      <c r="L172" s="119">
        <f>K172/K179</f>
        <v>2.0010046975257431E-3</v>
      </c>
      <c r="M172" s="107">
        <v>0</v>
      </c>
      <c r="N172" s="119">
        <f>M172/M179</f>
        <v>0</v>
      </c>
      <c r="O172" s="107">
        <v>0</v>
      </c>
      <c r="P172" s="119">
        <f>O172/O179</f>
        <v>0</v>
      </c>
      <c r="Q172" s="229">
        <f t="shared" si="26"/>
        <v>2083</v>
      </c>
      <c r="R172" s="119">
        <f>Q172/Q179</f>
        <v>5.872310480367623E-4</v>
      </c>
      <c r="S172" s="107">
        <v>0</v>
      </c>
      <c r="T172" s="119">
        <f>S172/S179</f>
        <v>0</v>
      </c>
      <c r="U172" s="107">
        <v>0</v>
      </c>
      <c r="V172" s="119">
        <f>U172/U179</f>
        <v>0</v>
      </c>
      <c r="W172" s="107">
        <v>0</v>
      </c>
      <c r="X172" s="119">
        <f>W172/W179</f>
        <v>0</v>
      </c>
      <c r="Y172" s="229">
        <f t="shared" si="27"/>
        <v>0</v>
      </c>
      <c r="Z172" s="119">
        <f>Y172/Y179</f>
        <v>0</v>
      </c>
      <c r="AA172" s="107">
        <v>0</v>
      </c>
      <c r="AB172" s="119">
        <f>AA172/AA179</f>
        <v>0</v>
      </c>
      <c r="AC172" s="107">
        <v>0</v>
      </c>
      <c r="AD172" s="119">
        <f>AC172/AC179</f>
        <v>0</v>
      </c>
      <c r="AE172" s="107">
        <v>0</v>
      </c>
      <c r="AF172" s="119">
        <f>AE172/AE179</f>
        <v>0</v>
      </c>
      <c r="AG172" s="229">
        <f t="shared" si="28"/>
        <v>0</v>
      </c>
      <c r="AH172" s="119">
        <f>AG172/AG179</f>
        <v>0</v>
      </c>
      <c r="AI172" s="273" t="str">
        <f t="shared" si="29"/>
        <v>0</v>
      </c>
      <c r="AJ172" s="229">
        <f t="shared" si="30"/>
        <v>2083</v>
      </c>
      <c r="AK172" s="119">
        <f>AJ172/AJ179</f>
        <v>1.4156325752317199E-4</v>
      </c>
    </row>
    <row r="173" spans="1:37" s="66" customFormat="1" hidden="1" outlineLevel="1" x14ac:dyDescent="0.2">
      <c r="A173" s="62">
        <v>65010355</v>
      </c>
      <c r="B173" s="62" t="s">
        <v>164</v>
      </c>
      <c r="C173" s="107">
        <v>2267.8000000000002</v>
      </c>
      <c r="D173" s="119">
        <f>C173/C179</f>
        <v>2.8349665331190567E-3</v>
      </c>
      <c r="E173" s="107">
        <v>2267.8000000000002</v>
      </c>
      <c r="F173" s="119">
        <f>E173/E179</f>
        <v>2.0332714387872267E-3</v>
      </c>
      <c r="G173" s="107">
        <v>4658.7999999999993</v>
      </c>
      <c r="H173" s="119">
        <f>G173/G179</f>
        <v>2.4797402453372811E-3</v>
      </c>
      <c r="I173" s="229">
        <f t="shared" si="25"/>
        <v>9194.4</v>
      </c>
      <c r="J173" s="119">
        <f>I173/I179</f>
        <v>2.4233865408129717E-3</v>
      </c>
      <c r="K173" s="107">
        <v>2351.6000000000004</v>
      </c>
      <c r="L173" s="119">
        <f>K173/K179</f>
        <v>2.2590315154592121E-3</v>
      </c>
      <c r="M173" s="107">
        <v>2517</v>
      </c>
      <c r="N173" s="119">
        <f>M173/M179</f>
        <v>2.2384938352775145E-3</v>
      </c>
      <c r="O173" s="107">
        <v>2251</v>
      </c>
      <c r="P173" s="119">
        <f>O173/O179</f>
        <v>1.6290794677478286E-3</v>
      </c>
      <c r="Q173" s="229">
        <f t="shared" si="26"/>
        <v>7119.6</v>
      </c>
      <c r="R173" s="119">
        <f>Q173/Q179</f>
        <v>2.0071292220847493E-3</v>
      </c>
      <c r="S173" s="107">
        <v>13309.400000000001</v>
      </c>
      <c r="T173" s="119">
        <f>S173/S179</f>
        <v>9.7919253281921522E-3</v>
      </c>
      <c r="U173" s="107">
        <v>10830.269999999997</v>
      </c>
      <c r="V173" s="119">
        <f>U173/U179</f>
        <v>8.1591519829166126E-3</v>
      </c>
      <c r="W173" s="107">
        <v>12949.599999999999</v>
      </c>
      <c r="X173" s="119">
        <f>W173/W179</f>
        <v>1.2411607855143668E-2</v>
      </c>
      <c r="Y173" s="229">
        <f t="shared" si="27"/>
        <v>37089.269999999997</v>
      </c>
      <c r="Z173" s="119">
        <f>Y173/Y179</f>
        <v>9.9436512584635921E-3</v>
      </c>
      <c r="AA173" s="107">
        <v>11777.740000000005</v>
      </c>
      <c r="AB173" s="119">
        <f>AA173/AA179</f>
        <v>9.1589340016245621E-3</v>
      </c>
      <c r="AC173" s="107">
        <v>10067.029999999992</v>
      </c>
      <c r="AD173" s="119">
        <f>AC173/AC179</f>
        <v>7.5898315761907661E-3</v>
      </c>
      <c r="AE173" s="107">
        <v>21206.880000000005</v>
      </c>
      <c r="AF173" s="119">
        <f>AE173/AE179</f>
        <v>2.0572684887206275E-2</v>
      </c>
      <c r="AG173" s="229">
        <f t="shared" si="28"/>
        <v>43051.65</v>
      </c>
      <c r="AH173" s="119">
        <f>AG173/AG179</f>
        <v>1.1817182367692882E-2</v>
      </c>
      <c r="AI173" s="273">
        <f t="shared" si="29"/>
        <v>0.16075754524152153</v>
      </c>
      <c r="AJ173" s="229">
        <f t="shared" si="30"/>
        <v>96454.92</v>
      </c>
      <c r="AK173" s="119">
        <f>AJ173/AJ179</f>
        <v>6.5551957173965204E-3</v>
      </c>
    </row>
    <row r="174" spans="1:37" s="66" customFormat="1" hidden="1" outlineLevel="1" x14ac:dyDescent="0.2">
      <c r="A174" s="62">
        <v>65010357</v>
      </c>
      <c r="B174" s="62" t="s">
        <v>296</v>
      </c>
      <c r="C174" s="107">
        <v>5436.7500000001528</v>
      </c>
      <c r="D174" s="119">
        <f>C174/C179</f>
        <v>6.7964566094609142E-3</v>
      </c>
      <c r="E174" s="107">
        <v>26554.139999999847</v>
      </c>
      <c r="F174" s="119">
        <f>E174/E179</f>
        <v>2.380799649155884E-2</v>
      </c>
      <c r="G174" s="107">
        <v>107324.05</v>
      </c>
      <c r="H174" s="119">
        <f>G174/G179</f>
        <v>5.7125389816603131E-2</v>
      </c>
      <c r="I174" s="229">
        <f t="shared" si="25"/>
        <v>139314.94</v>
      </c>
      <c r="J174" s="119">
        <f>I174/I179</f>
        <v>3.6719519547786336E-2</v>
      </c>
      <c r="K174" s="107">
        <v>41321.489999999991</v>
      </c>
      <c r="L174" s="119">
        <f>K174/K179</f>
        <v>3.9694909072857901E-2</v>
      </c>
      <c r="M174" s="107">
        <v>45305.610000000015</v>
      </c>
      <c r="N174" s="119">
        <f>M174/M179</f>
        <v>4.0292542188513046E-2</v>
      </c>
      <c r="O174" s="107">
        <v>119267.88999999998</v>
      </c>
      <c r="P174" s="119">
        <f>O174/O179</f>
        <v>8.6315802203734582E-2</v>
      </c>
      <c r="Q174" s="229">
        <f t="shared" si="26"/>
        <v>205894.99</v>
      </c>
      <c r="R174" s="119">
        <f>Q174/Q179</f>
        <v>5.8045093981381995E-2</v>
      </c>
      <c r="S174" s="107">
        <v>61392.97000000003</v>
      </c>
      <c r="T174" s="119">
        <f>S174/S179</f>
        <v>4.5167729418000901E-2</v>
      </c>
      <c r="U174" s="107">
        <v>33233.969999999972</v>
      </c>
      <c r="V174" s="119">
        <f>U174/U179</f>
        <v>2.5037327068087041E-2</v>
      </c>
      <c r="W174" s="107">
        <v>50784.010000000009</v>
      </c>
      <c r="X174" s="119">
        <f>W174/W179</f>
        <v>4.8674184332465467E-2</v>
      </c>
      <c r="Y174" s="229">
        <f t="shared" si="27"/>
        <v>145410.95000000001</v>
      </c>
      <c r="Z174" s="119">
        <f>Y174/Y179</f>
        <v>3.898474615331838E-2</v>
      </c>
      <c r="AA174" s="107">
        <v>53031.119999999995</v>
      </c>
      <c r="AB174" s="119">
        <f>AA174/AA179</f>
        <v>4.1239535608039578E-2</v>
      </c>
      <c r="AC174" s="107">
        <v>48818.719999999972</v>
      </c>
      <c r="AD174" s="119">
        <f>AC174/AC179</f>
        <v>3.6805876466566183E-2</v>
      </c>
      <c r="AE174" s="107">
        <v>59426.830000000075</v>
      </c>
      <c r="AF174" s="119">
        <f>AE174/AE179</f>
        <v>5.7649661215396976E-2</v>
      </c>
      <c r="AG174" s="229">
        <f t="shared" si="28"/>
        <v>161276.67000000004</v>
      </c>
      <c r="AH174" s="119">
        <f>AG174/AG179</f>
        <v>4.4268589497597044E-2</v>
      </c>
      <c r="AI174" s="273">
        <f t="shared" si="29"/>
        <v>0.10910952717109712</v>
      </c>
      <c r="AJ174" s="229">
        <f t="shared" si="30"/>
        <v>651897.55000000005</v>
      </c>
      <c r="AK174" s="119">
        <f>AJ174/AJ179</f>
        <v>4.430376416196586E-2</v>
      </c>
    </row>
    <row r="175" spans="1:37" s="66" customFormat="1" hidden="1" outlineLevel="1" x14ac:dyDescent="0.2">
      <c r="A175" s="62">
        <v>65010360</v>
      </c>
      <c r="B175" s="62" t="s">
        <v>367</v>
      </c>
      <c r="C175" s="107">
        <v>16244.94</v>
      </c>
      <c r="D175" s="119">
        <f>C175/C179</f>
        <v>2.0307726092480414E-2</v>
      </c>
      <c r="E175" s="107">
        <v>18492.399999999994</v>
      </c>
      <c r="F175" s="119">
        <f>E175/E179</f>
        <v>1.657997563922255E-2</v>
      </c>
      <c r="G175" s="107">
        <v>18491.760000000002</v>
      </c>
      <c r="H175" s="119">
        <f>G175/G179</f>
        <v>9.8426121488619685E-3</v>
      </c>
      <c r="I175" s="229">
        <f t="shared" si="25"/>
        <v>53229.1</v>
      </c>
      <c r="J175" s="119">
        <f>I175/I179</f>
        <v>1.4029701178933672E-2</v>
      </c>
      <c r="K175" s="107">
        <v>17214.769999999997</v>
      </c>
      <c r="L175" s="119">
        <f>K175/K179</f>
        <v>1.6537127046003474E-2</v>
      </c>
      <c r="M175" s="107">
        <v>17211.510000000009</v>
      </c>
      <c r="N175" s="119">
        <f>M175/M179</f>
        <v>1.5307055634015618E-2</v>
      </c>
      <c r="O175" s="107">
        <v>17174.729999999996</v>
      </c>
      <c r="P175" s="119">
        <f>O175/O179</f>
        <v>1.2429586853448537E-2</v>
      </c>
      <c r="Q175" s="229">
        <f t="shared" si="26"/>
        <v>51601.01</v>
      </c>
      <c r="R175" s="119">
        <f>Q175/Q179</f>
        <v>1.454715083151966E-2</v>
      </c>
      <c r="S175" s="107">
        <v>19458.160000000003</v>
      </c>
      <c r="T175" s="119">
        <f>S175/S179</f>
        <v>1.4315660341113456E-2</v>
      </c>
      <c r="U175" s="107">
        <v>14971.150000000009</v>
      </c>
      <c r="V175" s="119">
        <f>U175/U179</f>
        <v>1.1278748194554903E-2</v>
      </c>
      <c r="W175" s="107">
        <v>63768.079999999987</v>
      </c>
      <c r="X175" s="119">
        <f>W175/W179</f>
        <v>6.1118830128763034E-2</v>
      </c>
      <c r="Y175" s="229">
        <f t="shared" si="27"/>
        <v>98197.39</v>
      </c>
      <c r="Z175" s="119">
        <f>Y175/Y179</f>
        <v>2.6326767840168873E-2</v>
      </c>
      <c r="AA175" s="107">
        <v>22821.130000000005</v>
      </c>
      <c r="AB175" s="119">
        <f>AA175/AA179</f>
        <v>1.7746802316275814E-2</v>
      </c>
      <c r="AC175" s="107">
        <v>43269.200000000012</v>
      </c>
      <c r="AD175" s="119">
        <f>AC175/AC179</f>
        <v>3.2621929251876063E-2</v>
      </c>
      <c r="AE175" s="107">
        <v>43292.729999999981</v>
      </c>
      <c r="AF175" s="119">
        <f>AE175/AE179</f>
        <v>4.1998054037034264E-2</v>
      </c>
      <c r="AG175" s="229">
        <f t="shared" si="28"/>
        <v>109383.06</v>
      </c>
      <c r="AH175" s="119">
        <f>AG175/AG179</f>
        <v>3.0024390887603437E-2</v>
      </c>
      <c r="AI175" s="273">
        <f t="shared" si="29"/>
        <v>0.11391005402485743</v>
      </c>
      <c r="AJ175" s="229">
        <f t="shared" si="30"/>
        <v>312410.56</v>
      </c>
      <c r="AK175" s="119">
        <f>AJ175/AJ179</f>
        <v>2.123180823727238E-2</v>
      </c>
    </row>
    <row r="176" spans="1:37" s="66" customFormat="1" hidden="1" outlineLevel="1" x14ac:dyDescent="0.2">
      <c r="A176" s="62">
        <v>65010358</v>
      </c>
      <c r="B176" s="62" t="s">
        <v>169</v>
      </c>
      <c r="C176" s="107">
        <v>0</v>
      </c>
      <c r="D176" s="119">
        <f>C176/C179</f>
        <v>0</v>
      </c>
      <c r="E176" s="107">
        <v>0</v>
      </c>
      <c r="F176" s="119">
        <f>E176/E179</f>
        <v>0</v>
      </c>
      <c r="G176" s="107">
        <v>673961.82</v>
      </c>
      <c r="H176" s="119">
        <f>G176/G179</f>
        <v>0.35872976922700278</v>
      </c>
      <c r="I176" s="229">
        <f t="shared" si="25"/>
        <v>673961.82</v>
      </c>
      <c r="J176" s="119">
        <f>I176/I179</f>
        <v>0.17763747537738347</v>
      </c>
      <c r="K176" s="107">
        <v>0</v>
      </c>
      <c r="L176" s="119">
        <f>K176/K179</f>
        <v>0</v>
      </c>
      <c r="M176" s="107">
        <v>0</v>
      </c>
      <c r="N176" s="119">
        <f>M176/M179</f>
        <v>0</v>
      </c>
      <c r="O176" s="107">
        <v>136484.88</v>
      </c>
      <c r="P176" s="119">
        <f>O176/O179</f>
        <v>9.8775973196813097E-2</v>
      </c>
      <c r="Q176" s="229">
        <f t="shared" si="26"/>
        <v>136484.88</v>
      </c>
      <c r="R176" s="119">
        <f>Q176/Q179</f>
        <v>3.847727274295331E-2</v>
      </c>
      <c r="S176" s="107">
        <v>0</v>
      </c>
      <c r="T176" s="119">
        <f>S176/S179</f>
        <v>0</v>
      </c>
      <c r="U176" s="107">
        <v>0</v>
      </c>
      <c r="V176" s="119">
        <f>U176/U179</f>
        <v>0</v>
      </c>
      <c r="W176" s="107">
        <v>-436161.06999999995</v>
      </c>
      <c r="X176" s="119">
        <f>W176/W179</f>
        <v>-0.41804072423239846</v>
      </c>
      <c r="Y176" s="229">
        <f t="shared" si="27"/>
        <v>-436161.06999999995</v>
      </c>
      <c r="Z176" s="119">
        <f>Y176/Y179</f>
        <v>-0.11693499420717439</v>
      </c>
      <c r="AA176" s="107">
        <v>0</v>
      </c>
      <c r="AB176" s="119">
        <f>AA176/AA179</f>
        <v>0</v>
      </c>
      <c r="AC176" s="107">
        <v>0</v>
      </c>
      <c r="AD176" s="119">
        <f>AC176/AC179</f>
        <v>0</v>
      </c>
      <c r="AE176" s="107">
        <v>-282451.20000000001</v>
      </c>
      <c r="AF176" s="119">
        <f>AE176/AE179</f>
        <v>-0.27400445202751539</v>
      </c>
      <c r="AG176" s="229">
        <f t="shared" si="28"/>
        <v>-282451.20000000001</v>
      </c>
      <c r="AH176" s="119">
        <f>AG176/AG179</f>
        <v>-7.7529603171392861E-2</v>
      </c>
      <c r="AI176" s="273">
        <f t="shared" si="29"/>
        <v>-0.35241538177627807</v>
      </c>
      <c r="AJ176" s="229">
        <f t="shared" si="30"/>
        <v>91834.43</v>
      </c>
      <c r="AK176" s="119">
        <f>AJ176/AJ179</f>
        <v>6.2411814995601105E-3</v>
      </c>
    </row>
    <row r="177" spans="1:38" s="66" customFormat="1" hidden="1" outlineLevel="1" x14ac:dyDescent="0.2">
      <c r="A177" s="62">
        <v>65010359</v>
      </c>
      <c r="B177" s="62" t="s">
        <v>510</v>
      </c>
      <c r="C177" s="104">
        <v>6619.9164584868304</v>
      </c>
      <c r="D177" s="119"/>
      <c r="E177" s="104">
        <v>6619.9164584868304</v>
      </c>
      <c r="F177" s="119"/>
      <c r="G177" s="104">
        <v>6619.9164584868304</v>
      </c>
      <c r="H177" s="119"/>
      <c r="I177" s="229">
        <f t="shared" si="25"/>
        <v>19859.749375460491</v>
      </c>
      <c r="J177" s="119"/>
      <c r="K177" s="104">
        <v>6619.9164584868304</v>
      </c>
      <c r="L177" s="119"/>
      <c r="M177" s="104">
        <v>6619.9164584868304</v>
      </c>
      <c r="N177" s="119"/>
      <c r="O177" s="104">
        <v>6619.9164584868304</v>
      </c>
      <c r="P177" s="119"/>
      <c r="Q177" s="229">
        <f t="shared" si="26"/>
        <v>19859.749375460491</v>
      </c>
      <c r="R177" s="119"/>
      <c r="S177" s="104">
        <v>6619.9164584868304</v>
      </c>
      <c r="T177" s="119"/>
      <c r="U177" s="104">
        <v>6619.9164584868304</v>
      </c>
      <c r="V177" s="119"/>
      <c r="W177" s="104">
        <v>6619.9164584868304</v>
      </c>
      <c r="X177" s="119"/>
      <c r="Y177" s="229">
        <f t="shared" si="27"/>
        <v>19859.749375460491</v>
      </c>
      <c r="Z177" s="119"/>
      <c r="AA177" s="104">
        <v>6619.9164584868304</v>
      </c>
      <c r="AB177" s="119"/>
      <c r="AC177" s="104">
        <v>6619.9164584868304</v>
      </c>
      <c r="AD177" s="119"/>
      <c r="AE177" s="104">
        <v>6619.9164584868304</v>
      </c>
      <c r="AF177" s="119"/>
      <c r="AG177" s="229">
        <f t="shared" si="28"/>
        <v>19859.749375460491</v>
      </c>
      <c r="AH177" s="119"/>
      <c r="AI177" s="273">
        <f t="shared" si="29"/>
        <v>0</v>
      </c>
      <c r="AJ177" s="229">
        <f t="shared" si="30"/>
        <v>79438.997501841965</v>
      </c>
      <c r="AK177" s="119"/>
    </row>
    <row r="178" spans="1:38" s="66" customFormat="1" hidden="1" outlineLevel="1" x14ac:dyDescent="0.2">
      <c r="A178" s="62"/>
      <c r="B178" s="62" t="s">
        <v>2</v>
      </c>
      <c r="C178" s="107" t="s">
        <v>264</v>
      </c>
      <c r="D178" s="119"/>
      <c r="E178" s="63" t="s">
        <v>264</v>
      </c>
      <c r="F178" s="119"/>
      <c r="G178" s="63" t="s">
        <v>264</v>
      </c>
      <c r="H178" s="119"/>
      <c r="I178" s="230" t="s">
        <v>264</v>
      </c>
      <c r="J178" s="119"/>
      <c r="K178" s="63" t="s">
        <v>264</v>
      </c>
      <c r="L178" s="119"/>
      <c r="M178" s="63" t="s">
        <v>264</v>
      </c>
      <c r="N178" s="119"/>
      <c r="O178" s="63" t="s">
        <v>264</v>
      </c>
      <c r="P178" s="119"/>
      <c r="Q178" s="230" t="s">
        <v>264</v>
      </c>
      <c r="R178" s="119"/>
      <c r="S178" s="63" t="s">
        <v>264</v>
      </c>
      <c r="T178" s="119"/>
      <c r="U178" s="63" t="s">
        <v>264</v>
      </c>
      <c r="V178" s="119"/>
      <c r="W178" s="63" t="s">
        <v>264</v>
      </c>
      <c r="X178" s="119"/>
      <c r="Y178" s="230" t="s">
        <v>264</v>
      </c>
      <c r="Z178" s="119"/>
      <c r="AA178" s="63" t="s">
        <v>264</v>
      </c>
      <c r="AB178" s="119"/>
      <c r="AC178" s="63" t="s">
        <v>264</v>
      </c>
      <c r="AD178" s="119"/>
      <c r="AE178" s="63" t="s">
        <v>264</v>
      </c>
      <c r="AF178" s="119"/>
      <c r="AG178" s="230" t="s">
        <v>264</v>
      </c>
      <c r="AH178" s="119"/>
      <c r="AI178" s="275"/>
      <c r="AJ178" s="230" t="s">
        <v>264</v>
      </c>
      <c r="AK178" s="119"/>
    </row>
    <row r="179" spans="1:38" s="66" customFormat="1" collapsed="1" x14ac:dyDescent="0.2">
      <c r="A179" s="64" t="s">
        <v>170</v>
      </c>
      <c r="B179" s="64" t="s">
        <v>168</v>
      </c>
      <c r="C179" s="108">
        <f>SUM(C143:C177)</f>
        <v>799938.89645848679</v>
      </c>
      <c r="D179" s="119">
        <f>C179/C31</f>
        <v>7.4191121102635926E-2</v>
      </c>
      <c r="E179" s="108">
        <f>SUM(E143:E177)</f>
        <v>1115345.4264584866</v>
      </c>
      <c r="F179" s="119">
        <f>E179/E31</f>
        <v>8.6719951004087054E-2</v>
      </c>
      <c r="G179" s="108">
        <f>SUM(G143:G177)</f>
        <v>1878745.1664584868</v>
      </c>
      <c r="H179" s="119">
        <f>G179/G31</f>
        <v>0.12425522665395092</v>
      </c>
      <c r="I179" s="231">
        <f>SUM(I143:I177)</f>
        <v>3794029.4893754595</v>
      </c>
      <c r="J179" s="119">
        <f>I179/I31</f>
        <v>9.7875960561224343E-2</v>
      </c>
      <c r="K179" s="108">
        <f>SUM(K143:K177)</f>
        <v>1040977.0664584868</v>
      </c>
      <c r="L179" s="119">
        <f>K179/K31</f>
        <v>7.4404675821097915E-2</v>
      </c>
      <c r="M179" s="108">
        <f>SUM(M143:M177)</f>
        <v>1124416.7664584871</v>
      </c>
      <c r="N179" s="119">
        <f>M179/M31</f>
        <v>9.2978036372437886E-2</v>
      </c>
      <c r="O179" s="108">
        <f>SUM(O143:O177)</f>
        <v>1381761.9364584864</v>
      </c>
      <c r="P179" s="119">
        <f>O179/O31</f>
        <v>6.509865537239902E-2</v>
      </c>
      <c r="Q179" s="231">
        <f>SUM(Q143:Q177)</f>
        <v>3547155.7693754612</v>
      </c>
      <c r="R179" s="119">
        <f>Q179/Q31</f>
        <v>7.4977240215045357E-2</v>
      </c>
      <c r="S179" s="108">
        <f>SUM(S143:S177)</f>
        <v>1359221.9664584869</v>
      </c>
      <c r="T179" s="119">
        <f>S179/S31</f>
        <v>9.2213017116748175E-2</v>
      </c>
      <c r="U179" s="108">
        <f>SUM(U143:U177)</f>
        <v>1327376.9164584863</v>
      </c>
      <c r="V179" s="119">
        <f>U179/U31</f>
        <v>0.11532355896482482</v>
      </c>
      <c r="W179" s="108">
        <f>SUM(W143:W177)</f>
        <v>1043345.8864584876</v>
      </c>
      <c r="X179" s="119">
        <f>W179/W31</f>
        <v>5.1741564369104459E-2</v>
      </c>
      <c r="Y179" s="231">
        <f>SUM(Y143:Y177)</f>
        <v>3729944.7693754612</v>
      </c>
      <c r="Z179" s="119">
        <f>Y179/Y31</f>
        <v>8.0361442937062141E-2</v>
      </c>
      <c r="AA179" s="108">
        <f>SUM(AA143:AA177)</f>
        <v>1285929.1264584868</v>
      </c>
      <c r="AB179" s="119">
        <f>AA179/AA31</f>
        <v>0.11527464252739059</v>
      </c>
      <c r="AC179" s="108">
        <f>SUM(AC143:AC177)</f>
        <v>1326383.8464584872</v>
      </c>
      <c r="AD179" s="119">
        <f>AC179/AC31</f>
        <v>9.8177585934010728E-2</v>
      </c>
      <c r="AE179" s="108">
        <f>SUM(AE143:AE177)</f>
        <v>1030827.0464584874</v>
      </c>
      <c r="AF179" s="119">
        <f>AE179/AE31</f>
        <v>6.4138130389507844E-2</v>
      </c>
      <c r="AG179" s="231">
        <f>SUM(AG143:AG177)</f>
        <v>3643140.0193754612</v>
      </c>
      <c r="AH179" s="119">
        <f>AG179/AG31</f>
        <v>8.9429897548278847E-2</v>
      </c>
      <c r="AI179" s="273">
        <f t="shared" si="29"/>
        <v>-2.3272395535908874E-2</v>
      </c>
      <c r="AJ179" s="231">
        <f>SUM(AJ143:AJ177)</f>
        <v>14714270.047501847</v>
      </c>
      <c r="AK179" s="119">
        <f>AJ179/AJ31</f>
        <v>8.4942909253003213E-2</v>
      </c>
      <c r="AL179" s="66" t="s">
        <v>470</v>
      </c>
    </row>
    <row r="180" spans="1:38" s="66" customFormat="1" x14ac:dyDescent="0.2">
      <c r="A180" s="62"/>
      <c r="B180" s="62" t="s">
        <v>2</v>
      </c>
      <c r="C180" s="107" t="s">
        <v>264</v>
      </c>
      <c r="D180" s="119"/>
      <c r="E180" s="63" t="s">
        <v>264</v>
      </c>
      <c r="F180" s="119"/>
      <c r="G180" s="63" t="s">
        <v>264</v>
      </c>
      <c r="H180" s="119"/>
      <c r="I180" s="230" t="s">
        <v>264</v>
      </c>
      <c r="J180" s="119"/>
      <c r="K180" s="63" t="s">
        <v>264</v>
      </c>
      <c r="L180" s="119"/>
      <c r="M180" s="63" t="s">
        <v>264</v>
      </c>
      <c r="N180" s="119"/>
      <c r="O180" s="63" t="s">
        <v>264</v>
      </c>
      <c r="P180" s="119"/>
      <c r="Q180" s="230" t="s">
        <v>264</v>
      </c>
      <c r="R180" s="119"/>
      <c r="S180" s="63" t="s">
        <v>264</v>
      </c>
      <c r="T180" s="119"/>
      <c r="U180" s="63" t="s">
        <v>264</v>
      </c>
      <c r="V180" s="119"/>
      <c r="W180" s="63" t="s">
        <v>264</v>
      </c>
      <c r="X180" s="119"/>
      <c r="Y180" s="230" t="s">
        <v>264</v>
      </c>
      <c r="Z180" s="119"/>
      <c r="AA180" s="63" t="s">
        <v>264</v>
      </c>
      <c r="AB180" s="119"/>
      <c r="AC180" s="63" t="s">
        <v>264</v>
      </c>
      <c r="AD180" s="119"/>
      <c r="AE180" s="63" t="s">
        <v>264</v>
      </c>
      <c r="AF180" s="119"/>
      <c r="AG180" s="230" t="s">
        <v>264</v>
      </c>
      <c r="AH180" s="119"/>
      <c r="AI180" s="275"/>
      <c r="AJ180" s="230" t="s">
        <v>264</v>
      </c>
      <c r="AK180" s="119"/>
    </row>
    <row r="181" spans="1:38" s="66" customFormat="1" x14ac:dyDescent="0.2">
      <c r="A181" s="59" t="s">
        <v>368</v>
      </c>
      <c r="B181" s="59" t="s">
        <v>2</v>
      </c>
      <c r="C181" s="134">
        <f>+C179+C140</f>
        <v>2723793.6164584868</v>
      </c>
      <c r="D181" s="119">
        <f>C181/C31</f>
        <v>0.25262092261286279</v>
      </c>
      <c r="E181" s="105">
        <f>+E179+E140</f>
        <v>2285891.2664584806</v>
      </c>
      <c r="F181" s="119">
        <f>E181/E31</f>
        <v>0.17773182542863836</v>
      </c>
      <c r="G181" s="105">
        <f>+G179+G140</f>
        <v>3594951.2064584917</v>
      </c>
      <c r="H181" s="119">
        <f>G181/G31</f>
        <v>0.23776054621097245</v>
      </c>
      <c r="I181" s="235">
        <f>+I179+I140</f>
        <v>8604636.0893754587</v>
      </c>
      <c r="J181" s="119">
        <f>I181/I31</f>
        <v>0.22197693109286654</v>
      </c>
      <c r="K181" s="105">
        <f>+K179+K140</f>
        <v>2421310.5564584872</v>
      </c>
      <c r="L181" s="119">
        <f>K181/K31</f>
        <v>0.17306512585181952</v>
      </c>
      <c r="M181" s="105">
        <f>+M179+M140</f>
        <v>2618731.6664584875</v>
      </c>
      <c r="N181" s="119">
        <f>M181/M31</f>
        <v>0.21654295399785062</v>
      </c>
      <c r="O181" s="105">
        <f>+O179+O140</f>
        <v>3282357.4064584868</v>
      </c>
      <c r="P181" s="119">
        <f>O181/O31</f>
        <v>0.15464100433953604</v>
      </c>
      <c r="Q181" s="235">
        <f>+Q179+Q140</f>
        <v>8322399.6293754615</v>
      </c>
      <c r="R181" s="119">
        <f>Q181/Q31</f>
        <v>0.17591292763755703</v>
      </c>
      <c r="S181" s="105">
        <f>+S179+S140</f>
        <v>2846974.4564584866</v>
      </c>
      <c r="T181" s="119">
        <f>S181/S31</f>
        <v>0.19314586635792819</v>
      </c>
      <c r="U181" s="105">
        <f>+U179+U140</f>
        <v>3224924.1564584868</v>
      </c>
      <c r="V181" s="119">
        <f>U181/U31</f>
        <v>0.28018396772086679</v>
      </c>
      <c r="W181" s="105">
        <f>+W179+W140</f>
        <v>2877514.976458488</v>
      </c>
      <c r="X181" s="119">
        <f>W181/W31</f>
        <v>0.14270159906689087</v>
      </c>
      <c r="Y181" s="235">
        <f>+Y179+Y140</f>
        <v>8949413.5893754624</v>
      </c>
      <c r="Z181" s="119">
        <f>Y181/Y31</f>
        <v>0.19281459484001554</v>
      </c>
      <c r="AA181" s="105">
        <f>+AA179+AA140</f>
        <v>2850660.6964584868</v>
      </c>
      <c r="AB181" s="119">
        <f>AA181/AA31</f>
        <v>0.25554199371480113</v>
      </c>
      <c r="AC181" s="105">
        <f>+AC179+AC140</f>
        <v>2975726.3464584872</v>
      </c>
      <c r="AD181" s="119">
        <f>AC181/AC31</f>
        <v>0.22026024357547958</v>
      </c>
      <c r="AE181" s="105">
        <f>+AE179+AE140</f>
        <v>2457298.5864584874</v>
      </c>
      <c r="AF181" s="119">
        <f>AE181/AE31</f>
        <v>0.1528932886323669</v>
      </c>
      <c r="AG181" s="235">
        <f>+AG179+AG140</f>
        <v>8283685.6293754606</v>
      </c>
      <c r="AH181" s="119">
        <f>AG181/AG31</f>
        <v>0.20334358636157859</v>
      </c>
      <c r="AI181" s="273">
        <f t="shared" si="29"/>
        <v>-7.438788623986925E-2</v>
      </c>
      <c r="AJ181" s="235">
        <f>+AJ179+AJ140</f>
        <v>34160134.937501848</v>
      </c>
      <c r="AK181" s="119">
        <f>AJ181/AJ31</f>
        <v>0.19720048855289299</v>
      </c>
    </row>
    <row r="182" spans="1:38" s="66" customFormat="1" x14ac:dyDescent="0.2">
      <c r="A182" s="59"/>
      <c r="B182" s="59"/>
      <c r="C182" s="134"/>
      <c r="D182" s="119"/>
      <c r="E182" s="105"/>
      <c r="F182" s="119"/>
      <c r="G182" s="105"/>
      <c r="H182" s="119"/>
      <c r="I182" s="235"/>
      <c r="J182" s="119"/>
      <c r="K182" s="105"/>
      <c r="L182" s="119"/>
      <c r="M182" s="105"/>
      <c r="N182" s="119"/>
      <c r="O182" s="105"/>
      <c r="P182" s="119"/>
      <c r="Q182" s="235"/>
      <c r="R182" s="119"/>
      <c r="S182" s="105"/>
      <c r="T182" s="119"/>
      <c r="U182" s="105"/>
      <c r="V182" s="119"/>
      <c r="W182" s="105"/>
      <c r="X182" s="119"/>
      <c r="Y182" s="235"/>
      <c r="Z182" s="119"/>
      <c r="AA182" s="105"/>
      <c r="AB182" s="119"/>
      <c r="AC182" s="105"/>
      <c r="AD182" s="119"/>
      <c r="AE182" s="105"/>
      <c r="AF182" s="119"/>
      <c r="AG182" s="235"/>
      <c r="AH182" s="119"/>
      <c r="AI182" s="223"/>
      <c r="AJ182" s="235"/>
      <c r="AK182" s="119"/>
    </row>
    <row r="183" spans="1:38" s="286" customFormat="1" x14ac:dyDescent="0.2">
      <c r="A183" s="220" t="s">
        <v>457</v>
      </c>
      <c r="B183" s="220"/>
      <c r="C183" s="221">
        <f>+C97-C181</f>
        <v>2001404.3435415113</v>
      </c>
      <c r="D183" s="222">
        <f>+C183/C31</f>
        <v>0.18562221775239754</v>
      </c>
      <c r="E183" s="221">
        <f>+E97-E181</f>
        <v>3474046.3635415155</v>
      </c>
      <c r="F183" s="222">
        <f>+E183/E31</f>
        <v>0.27011284870630192</v>
      </c>
      <c r="G183" s="221">
        <f>+G97-G181</f>
        <v>4910909.2735415082</v>
      </c>
      <c r="H183" s="222">
        <f>+G183/G31</f>
        <v>0.32479452549232829</v>
      </c>
      <c r="I183" s="221">
        <f>+I97-I181</f>
        <v>10386359.980624542</v>
      </c>
      <c r="J183" s="222">
        <f>+I183/I31</f>
        <v>0.26794071123723034</v>
      </c>
      <c r="K183" s="221">
        <f>+K97-K181</f>
        <v>2453170.3735415107</v>
      </c>
      <c r="L183" s="222">
        <f>+K183/K31</f>
        <v>0.17534233198648164</v>
      </c>
      <c r="M183" s="221">
        <f>+M97-M181</f>
        <v>2665888.323541522</v>
      </c>
      <c r="N183" s="222">
        <f>+M183/M31</f>
        <v>0.22044233855725975</v>
      </c>
      <c r="O183" s="221">
        <f>+O97-O181</f>
        <v>6327466.6235415069</v>
      </c>
      <c r="P183" s="222">
        <f>+O183/O31</f>
        <v>0.29810458533980699</v>
      </c>
      <c r="Q183" s="221">
        <f>+Q97-Q181</f>
        <v>11446525.320624541</v>
      </c>
      <c r="R183" s="222">
        <f>+Q183/Q31</f>
        <v>0.24194846079262305</v>
      </c>
      <c r="S183" s="221">
        <f>+S97-S181</f>
        <v>4636021.7335415212</v>
      </c>
      <c r="T183" s="222">
        <f>+S183/S31</f>
        <v>0.3145193073818216</v>
      </c>
      <c r="U183" s="221">
        <f>+U97-U181</f>
        <v>762294.233541511</v>
      </c>
      <c r="V183" s="222">
        <f>+U183/U31</f>
        <v>6.6228727425003242E-2</v>
      </c>
      <c r="W183" s="221">
        <f>+W97-W181</f>
        <v>5728624.16354152</v>
      </c>
      <c r="X183" s="222">
        <f>+W183/W31</f>
        <v>0.28409368336172008</v>
      </c>
      <c r="Y183" s="221">
        <f>+Y97-Y181</f>
        <v>11126940.130624559</v>
      </c>
      <c r="Z183" s="222">
        <f>+Y183/Y31</f>
        <v>0.23972927741796363</v>
      </c>
      <c r="AA183" s="221">
        <f>+AA97-AA181</f>
        <v>2039837.6235415088</v>
      </c>
      <c r="AB183" s="222">
        <f>+AA183/AA31</f>
        <v>0.18285731929508509</v>
      </c>
      <c r="AC183" s="221">
        <f>+AC97-AC181</f>
        <v>2836809.8135415046</v>
      </c>
      <c r="AD183" s="222">
        <f>+AC183/AC31</f>
        <v>0.20997778281984888</v>
      </c>
      <c r="AE183" s="221">
        <f>+AE97-AE181</f>
        <v>6125279.9035415035</v>
      </c>
      <c r="AF183" s="222">
        <f>+AE183/AE31</f>
        <v>0.38111534080843318</v>
      </c>
      <c r="AG183" s="221">
        <f>+AG97-AG181</f>
        <v>11001927.340624515</v>
      </c>
      <c r="AH183" s="222">
        <f>+AG183/AG31</f>
        <v>0.27006956352842215</v>
      </c>
      <c r="AI183" s="273">
        <f t="shared" si="29"/>
        <v>-1.1235145379813183E-2</v>
      </c>
      <c r="AJ183" s="221">
        <f>+AJ97-AJ181</f>
        <v>43961752.772498146</v>
      </c>
      <c r="AK183" s="222">
        <f>+AJ183/AJ31</f>
        <v>0.25378351520680853</v>
      </c>
    </row>
    <row r="184" spans="1:38" s="66" customFormat="1" x14ac:dyDescent="0.2">
      <c r="A184" s="151"/>
      <c r="B184" s="62"/>
      <c r="C184" s="107"/>
      <c r="D184" s="119"/>
      <c r="E184" s="63"/>
      <c r="F184" s="119"/>
      <c r="G184" s="63"/>
      <c r="H184" s="119"/>
      <c r="I184" s="230"/>
      <c r="J184" s="119"/>
      <c r="K184" s="63"/>
      <c r="L184" s="119"/>
      <c r="M184" s="63"/>
      <c r="N184" s="119"/>
      <c r="O184" s="63"/>
      <c r="P184" s="119"/>
      <c r="Q184" s="230"/>
      <c r="R184" s="119"/>
      <c r="S184" s="63"/>
      <c r="T184" s="119"/>
      <c r="U184" s="63"/>
      <c r="V184" s="119"/>
      <c r="W184" s="63"/>
      <c r="X184" s="119"/>
      <c r="Y184" s="230"/>
      <c r="Z184" s="119"/>
      <c r="AA184" s="63"/>
      <c r="AB184" s="119"/>
      <c r="AC184" s="63"/>
      <c r="AD184" s="119"/>
      <c r="AE184" s="63"/>
      <c r="AF184" s="119"/>
      <c r="AG184" s="230"/>
      <c r="AH184" s="119"/>
      <c r="AI184" s="275"/>
      <c r="AJ184" s="230"/>
      <c r="AK184" s="119"/>
    </row>
    <row r="185" spans="1:38" s="66" customFormat="1" x14ac:dyDescent="0.2">
      <c r="A185" s="652" t="s">
        <v>452</v>
      </c>
      <c r="B185" s="652"/>
      <c r="C185" s="107"/>
      <c r="D185" s="119"/>
      <c r="E185" s="107"/>
      <c r="F185" s="119"/>
      <c r="G185" s="107"/>
      <c r="H185" s="119"/>
      <c r="I185" s="229"/>
      <c r="J185" s="119"/>
      <c r="K185" s="107"/>
      <c r="L185" s="119"/>
      <c r="M185" s="107"/>
      <c r="N185" s="119"/>
      <c r="O185" s="107"/>
      <c r="P185" s="119"/>
      <c r="Q185" s="229"/>
      <c r="R185" s="119"/>
      <c r="S185" s="107"/>
      <c r="T185" s="119"/>
      <c r="U185" s="107"/>
      <c r="V185" s="119"/>
      <c r="W185" s="107"/>
      <c r="X185" s="119"/>
      <c r="Y185" s="229"/>
      <c r="Z185" s="119"/>
      <c r="AA185" s="107"/>
      <c r="AB185" s="119"/>
      <c r="AC185" s="107"/>
      <c r="AD185" s="119"/>
      <c r="AE185" s="107"/>
      <c r="AF185" s="119"/>
      <c r="AG185" s="229"/>
      <c r="AH185" s="119"/>
      <c r="AI185" s="274"/>
      <c r="AJ185" s="229"/>
      <c r="AK185" s="119"/>
    </row>
    <row r="186" spans="1:38" s="66" customFormat="1" hidden="1" outlineLevel="1" x14ac:dyDescent="0.2">
      <c r="A186" s="62">
        <v>71</v>
      </c>
      <c r="B186" s="62" t="s">
        <v>175</v>
      </c>
      <c r="C186" s="107"/>
      <c r="D186" s="119"/>
      <c r="E186" s="107"/>
      <c r="F186" s="119"/>
      <c r="G186" s="107"/>
      <c r="H186" s="119"/>
      <c r="I186" s="229"/>
      <c r="J186" s="119"/>
      <c r="K186" s="107"/>
      <c r="L186" s="119"/>
      <c r="M186" s="107"/>
      <c r="N186" s="119"/>
      <c r="O186" s="107"/>
      <c r="P186" s="119"/>
      <c r="Q186" s="229"/>
      <c r="R186" s="119"/>
      <c r="S186" s="107"/>
      <c r="T186" s="119"/>
      <c r="U186" s="107"/>
      <c r="V186" s="119"/>
      <c r="W186" s="107"/>
      <c r="X186" s="119"/>
      <c r="Y186" s="229"/>
      <c r="Z186" s="119"/>
      <c r="AA186" s="107"/>
      <c r="AB186" s="119"/>
      <c r="AC186" s="107"/>
      <c r="AD186" s="119"/>
      <c r="AE186" s="107"/>
      <c r="AF186" s="119"/>
      <c r="AG186" s="229"/>
      <c r="AH186" s="119"/>
      <c r="AI186" s="274"/>
      <c r="AJ186" s="229"/>
      <c r="AK186" s="119"/>
    </row>
    <row r="187" spans="1:38" s="66" customFormat="1" hidden="1" outlineLevel="1" x14ac:dyDescent="0.2">
      <c r="A187" s="62">
        <v>7101</v>
      </c>
      <c r="B187" s="62" t="s">
        <v>176</v>
      </c>
      <c r="C187" s="107"/>
      <c r="D187" s="119"/>
      <c r="E187" s="107"/>
      <c r="F187" s="119"/>
      <c r="G187" s="107"/>
      <c r="H187" s="119"/>
      <c r="I187" s="229"/>
      <c r="J187" s="119"/>
      <c r="K187" s="107"/>
      <c r="L187" s="119"/>
      <c r="M187" s="107"/>
      <c r="N187" s="119"/>
      <c r="O187" s="107"/>
      <c r="P187" s="119"/>
      <c r="Q187" s="229"/>
      <c r="R187" s="119"/>
      <c r="S187" s="107"/>
      <c r="T187" s="119"/>
      <c r="U187" s="107"/>
      <c r="V187" s="119"/>
      <c r="W187" s="107"/>
      <c r="X187" s="119"/>
      <c r="Y187" s="229"/>
      <c r="Z187" s="119"/>
      <c r="AA187" s="107"/>
      <c r="AB187" s="119"/>
      <c r="AC187" s="107"/>
      <c r="AD187" s="119"/>
      <c r="AE187" s="107"/>
      <c r="AF187" s="119"/>
      <c r="AG187" s="229"/>
      <c r="AH187" s="119"/>
      <c r="AI187" s="274"/>
      <c r="AJ187" s="229"/>
      <c r="AK187" s="119"/>
    </row>
    <row r="188" spans="1:38" s="66" customFormat="1" hidden="1" outlineLevel="1" x14ac:dyDescent="0.2">
      <c r="A188" s="62">
        <v>71010006</v>
      </c>
      <c r="B188" s="62" t="s">
        <v>298</v>
      </c>
      <c r="C188" s="107">
        <v>15583.69</v>
      </c>
      <c r="D188" s="119"/>
      <c r="E188" s="107">
        <v>9612.6099999999988</v>
      </c>
      <c r="F188" s="119"/>
      <c r="G188" s="107">
        <v>9408.3299999999981</v>
      </c>
      <c r="H188" s="119"/>
      <c r="I188" s="229">
        <f>+C188+E188+G188</f>
        <v>34604.629999999997</v>
      </c>
      <c r="J188" s="119"/>
      <c r="K188" s="107">
        <v>4982.0900000000038</v>
      </c>
      <c r="L188" s="119"/>
      <c r="M188" s="107">
        <v>3968.6100000000006</v>
      </c>
      <c r="N188" s="119"/>
      <c r="O188" s="107">
        <v>5410.2799999999988</v>
      </c>
      <c r="P188" s="119"/>
      <c r="Q188" s="229">
        <f>+K188+M188+O188</f>
        <v>14360.980000000003</v>
      </c>
      <c r="R188" s="119"/>
      <c r="S188" s="107">
        <v>5377.7699999999968</v>
      </c>
      <c r="T188" s="119"/>
      <c r="U188" s="107">
        <v>6000</v>
      </c>
      <c r="V188" s="119"/>
      <c r="W188" s="107">
        <v>12462.920000000006</v>
      </c>
      <c r="X188" s="119"/>
      <c r="Y188" s="229">
        <f>+S188+U188+W188</f>
        <v>23840.690000000002</v>
      </c>
      <c r="Z188" s="119"/>
      <c r="AA188" s="107">
        <v>9500</v>
      </c>
      <c r="AB188" s="119"/>
      <c r="AC188" s="107">
        <v>8413.3199999999924</v>
      </c>
      <c r="AD188" s="119"/>
      <c r="AE188" s="107">
        <v>12073.970000000001</v>
      </c>
      <c r="AF188" s="119"/>
      <c r="AG188" s="229">
        <f>+AA188+AC188+AE188</f>
        <v>29987.289999999994</v>
      </c>
      <c r="AH188" s="119"/>
      <c r="AI188" s="273">
        <f t="shared" ref="AI188:AI190" si="31">+IFERROR(AG188/Y188-1,"0")</f>
        <v>0.25781971914403434</v>
      </c>
      <c r="AJ188" s="229">
        <f>+I188+Q188+Y188+AG188</f>
        <v>102793.59</v>
      </c>
      <c r="AK188" s="119"/>
    </row>
    <row r="189" spans="1:38" s="66" customFormat="1" hidden="1" outlineLevel="1" x14ac:dyDescent="0.2">
      <c r="A189" s="62"/>
      <c r="B189" s="62" t="s">
        <v>2</v>
      </c>
      <c r="C189" s="107" t="s">
        <v>264</v>
      </c>
      <c r="D189" s="119"/>
      <c r="E189" s="63" t="s">
        <v>264</v>
      </c>
      <c r="F189" s="119"/>
      <c r="G189" s="63" t="s">
        <v>264</v>
      </c>
      <c r="H189" s="119"/>
      <c r="I189" s="230" t="s">
        <v>264</v>
      </c>
      <c r="J189" s="119"/>
      <c r="K189" s="63" t="s">
        <v>264</v>
      </c>
      <c r="L189" s="119"/>
      <c r="M189" s="63" t="s">
        <v>264</v>
      </c>
      <c r="N189" s="119"/>
      <c r="O189" s="63" t="s">
        <v>264</v>
      </c>
      <c r="P189" s="119"/>
      <c r="Q189" s="230" t="s">
        <v>264</v>
      </c>
      <c r="R189" s="119"/>
      <c r="S189" s="63" t="s">
        <v>264</v>
      </c>
      <c r="T189" s="119"/>
      <c r="U189" s="63" t="s">
        <v>264</v>
      </c>
      <c r="V189" s="119"/>
      <c r="W189" s="63" t="s">
        <v>264</v>
      </c>
      <c r="X189" s="119"/>
      <c r="Y189" s="230" t="s">
        <v>264</v>
      </c>
      <c r="Z189" s="119"/>
      <c r="AA189" s="63" t="s">
        <v>264</v>
      </c>
      <c r="AB189" s="119"/>
      <c r="AC189" s="63" t="s">
        <v>264</v>
      </c>
      <c r="AD189" s="119"/>
      <c r="AE189" s="63" t="s">
        <v>264</v>
      </c>
      <c r="AF189" s="119"/>
      <c r="AG189" s="230" t="s">
        <v>264</v>
      </c>
      <c r="AH189" s="119"/>
      <c r="AI189" s="275"/>
      <c r="AJ189" s="230" t="s">
        <v>264</v>
      </c>
      <c r="AK189" s="119"/>
    </row>
    <row r="190" spans="1:38" s="66" customFormat="1" collapsed="1" x14ac:dyDescent="0.2">
      <c r="A190" s="64" t="s">
        <v>177</v>
      </c>
      <c r="B190" s="64" t="s">
        <v>176</v>
      </c>
      <c r="C190" s="108">
        <f>+C188</f>
        <v>15583.69</v>
      </c>
      <c r="D190" s="135">
        <f>C190/C31</f>
        <v>1.4453246830908872E-3</v>
      </c>
      <c r="E190" s="108">
        <f>+E188</f>
        <v>9612.6099999999988</v>
      </c>
      <c r="F190" s="135">
        <f>E190/E31</f>
        <v>7.4739632085847271E-4</v>
      </c>
      <c r="G190" s="108">
        <f>+G188</f>
        <v>9408.3299999999981</v>
      </c>
      <c r="H190" s="135">
        <f>G190/G31</f>
        <v>6.2224201422103674E-4</v>
      </c>
      <c r="I190" s="231">
        <f>+I188</f>
        <v>34604.629999999997</v>
      </c>
      <c r="J190" s="135">
        <f>I190/I31</f>
        <v>8.9270824346525911E-4</v>
      </c>
      <c r="K190" s="108">
        <f>+K188</f>
        <v>4982.0900000000038</v>
      </c>
      <c r="L190" s="135">
        <f>K190/K31</f>
        <v>3.5609890294957498E-4</v>
      </c>
      <c r="M190" s="108">
        <f>+M188</f>
        <v>3968.6100000000006</v>
      </c>
      <c r="N190" s="135">
        <f>M190/M31</f>
        <v>3.2816441015035664E-4</v>
      </c>
      <c r="O190" s="108">
        <f>+O188</f>
        <v>5410.2799999999988</v>
      </c>
      <c r="P190" s="135">
        <f>O190/O31</f>
        <v>2.548933675875392E-4</v>
      </c>
      <c r="Q190" s="231">
        <f>+Q188</f>
        <v>14360.980000000003</v>
      </c>
      <c r="R190" s="135">
        <f>Q190/Q31</f>
        <v>3.0355211814479815E-4</v>
      </c>
      <c r="S190" s="108">
        <f>+S188</f>
        <v>5377.7699999999968</v>
      </c>
      <c r="T190" s="135">
        <f>S190/S31</f>
        <v>3.6484136461686608E-4</v>
      </c>
      <c r="U190" s="108">
        <f>+U188</f>
        <v>6000</v>
      </c>
      <c r="V190" s="135">
        <f>U190/U31</f>
        <v>5.2128475733560743E-4</v>
      </c>
      <c r="W190" s="108">
        <f>+W188</f>
        <v>12462.920000000006</v>
      </c>
      <c r="X190" s="135">
        <f>W190/W31</f>
        <v>6.1806059311343893E-4</v>
      </c>
      <c r="Y190" s="231">
        <f>+Y188</f>
        <v>23840.690000000002</v>
      </c>
      <c r="Z190" s="135">
        <f>Y190/Y31</f>
        <v>5.1364627828952552E-4</v>
      </c>
      <c r="AA190" s="108">
        <f>+AA188</f>
        <v>9500</v>
      </c>
      <c r="AB190" s="135">
        <f>AA190/AA31</f>
        <v>8.516092228396723E-4</v>
      </c>
      <c r="AC190" s="108">
        <f>+AC188</f>
        <v>8413.3199999999924</v>
      </c>
      <c r="AD190" s="135">
        <f>AC190/AC31</f>
        <v>6.2274540623801411E-4</v>
      </c>
      <c r="AE190" s="108">
        <f>+AE188</f>
        <v>12073.970000000001</v>
      </c>
      <c r="AF190" s="135">
        <f>AE190/AE31</f>
        <v>7.512432515614948E-4</v>
      </c>
      <c r="AG190" s="231">
        <f>+AG188</f>
        <v>29987.289999999994</v>
      </c>
      <c r="AH190" s="135">
        <f>AG190/AG31</f>
        <v>7.3611232568279294E-4</v>
      </c>
      <c r="AI190" s="273">
        <f t="shared" si="31"/>
        <v>0.25781971914403434</v>
      </c>
      <c r="AJ190" s="231">
        <f>+AJ188</f>
        <v>102793.59</v>
      </c>
      <c r="AK190" s="135">
        <f>AJ190/AJ31</f>
        <v>5.934094290081924E-4</v>
      </c>
    </row>
    <row r="191" spans="1:38" s="66" customFormat="1" hidden="1" outlineLevel="1" x14ac:dyDescent="0.2">
      <c r="A191" s="62"/>
      <c r="B191" s="62" t="s">
        <v>2</v>
      </c>
      <c r="C191" s="107"/>
      <c r="D191" s="119"/>
      <c r="E191" s="63"/>
      <c r="F191" s="119"/>
      <c r="G191" s="63"/>
      <c r="H191" s="119"/>
      <c r="I191" s="230"/>
      <c r="J191" s="119"/>
      <c r="K191" s="63"/>
      <c r="L191" s="119"/>
      <c r="M191" s="63"/>
      <c r="N191" s="119"/>
      <c r="O191" s="63"/>
      <c r="P191" s="119"/>
      <c r="Q191" s="230"/>
      <c r="R191" s="119"/>
      <c r="S191" s="63"/>
      <c r="T191" s="119"/>
      <c r="U191" s="63"/>
      <c r="V191" s="119"/>
      <c r="W191" s="63"/>
      <c r="X191" s="119"/>
      <c r="Y191" s="230"/>
      <c r="Z191" s="119"/>
      <c r="AA191" s="63"/>
      <c r="AB191" s="119"/>
      <c r="AC191" s="63"/>
      <c r="AD191" s="119"/>
      <c r="AE191" s="63"/>
      <c r="AF191" s="119"/>
      <c r="AG191" s="230"/>
      <c r="AH191" s="119"/>
      <c r="AI191" s="275"/>
      <c r="AJ191" s="230"/>
      <c r="AK191" s="119"/>
    </row>
    <row r="192" spans="1:38" s="66" customFormat="1" hidden="1" outlineLevel="1" x14ac:dyDescent="0.2">
      <c r="A192" s="62">
        <v>7105</v>
      </c>
      <c r="B192" s="62" t="s">
        <v>178</v>
      </c>
      <c r="C192" s="107"/>
      <c r="D192" s="119"/>
      <c r="E192" s="107"/>
      <c r="F192" s="119"/>
      <c r="G192" s="107"/>
      <c r="H192" s="119"/>
      <c r="I192" s="229"/>
      <c r="J192" s="119"/>
      <c r="K192" s="107"/>
      <c r="L192" s="119"/>
      <c r="M192" s="107"/>
      <c r="N192" s="119"/>
      <c r="O192" s="107"/>
      <c r="P192" s="119"/>
      <c r="Q192" s="229"/>
      <c r="R192" s="119"/>
      <c r="S192" s="107"/>
      <c r="T192" s="119"/>
      <c r="U192" s="107"/>
      <c r="V192" s="119"/>
      <c r="W192" s="107"/>
      <c r="X192" s="119"/>
      <c r="Y192" s="229"/>
      <c r="Z192" s="119"/>
      <c r="AA192" s="107"/>
      <c r="AB192" s="119"/>
      <c r="AC192" s="107"/>
      <c r="AD192" s="119"/>
      <c r="AE192" s="107"/>
      <c r="AF192" s="119"/>
      <c r="AG192" s="229"/>
      <c r="AH192" s="119"/>
      <c r="AI192" s="274"/>
      <c r="AJ192" s="229"/>
      <c r="AK192" s="119"/>
    </row>
    <row r="193" spans="1:37" s="66" customFormat="1" hidden="1" outlineLevel="1" x14ac:dyDescent="0.2">
      <c r="A193" s="62">
        <v>71050001</v>
      </c>
      <c r="B193" s="62" t="s">
        <v>179</v>
      </c>
      <c r="C193" s="107">
        <v>361611.76</v>
      </c>
      <c r="D193" s="119"/>
      <c r="E193" s="107">
        <v>268948.66999999993</v>
      </c>
      <c r="F193" s="119"/>
      <c r="G193" s="107">
        <v>539964.37000000011</v>
      </c>
      <c r="H193" s="119"/>
      <c r="I193" s="229">
        <f>+C193+E193+G193</f>
        <v>1170524.8</v>
      </c>
      <c r="J193" s="119"/>
      <c r="K193" s="107">
        <v>244175.24</v>
      </c>
      <c r="L193" s="119"/>
      <c r="M193" s="107">
        <v>484087.73999999976</v>
      </c>
      <c r="N193" s="119"/>
      <c r="O193" s="107">
        <v>1381881.6100000003</v>
      </c>
      <c r="P193" s="119"/>
      <c r="Q193" s="229">
        <f>+K193+M193+O193</f>
        <v>2110144.59</v>
      </c>
      <c r="R193" s="119"/>
      <c r="S193" s="107">
        <v>2757879.23</v>
      </c>
      <c r="T193" s="119"/>
      <c r="U193" s="107">
        <v>1691140.2700000005</v>
      </c>
      <c r="V193" s="119"/>
      <c r="W193" s="107">
        <v>116137.48000000045</v>
      </c>
      <c r="X193" s="119"/>
      <c r="Y193" s="229">
        <f>+S193+U193+W193</f>
        <v>4565156.9800000004</v>
      </c>
      <c r="Z193" s="119"/>
      <c r="AA193" s="107">
        <v>-111416.45000000112</v>
      </c>
      <c r="AB193" s="119"/>
      <c r="AC193" s="107">
        <v>32466.370000000112</v>
      </c>
      <c r="AD193" s="119"/>
      <c r="AE193" s="107">
        <v>3463432.9900000012</v>
      </c>
      <c r="AF193" s="119"/>
      <c r="AG193" s="229">
        <f>+AA193+AC193+AE193</f>
        <v>3384482.91</v>
      </c>
      <c r="AH193" s="119"/>
      <c r="AI193" s="273">
        <f t="shared" ref="AI193:AI195" si="32">+IFERROR(AG193/Y193-1,"0")</f>
        <v>-0.25862726630706145</v>
      </c>
      <c r="AJ193" s="229">
        <f>+I193+Q193+Y193+AG193</f>
        <v>11230309.280000001</v>
      </c>
      <c r="AK193" s="119"/>
    </row>
    <row r="194" spans="1:37" s="66" customFormat="1" hidden="1" outlineLevel="1" x14ac:dyDescent="0.2">
      <c r="A194" s="62"/>
      <c r="B194" s="62" t="s">
        <v>2</v>
      </c>
      <c r="C194" s="107" t="s">
        <v>264</v>
      </c>
      <c r="D194" s="119"/>
      <c r="E194" s="63" t="s">
        <v>264</v>
      </c>
      <c r="F194" s="119"/>
      <c r="G194" s="63" t="s">
        <v>264</v>
      </c>
      <c r="H194" s="119"/>
      <c r="I194" s="230" t="s">
        <v>264</v>
      </c>
      <c r="J194" s="119"/>
      <c r="K194" s="63" t="s">
        <v>264</v>
      </c>
      <c r="L194" s="119"/>
      <c r="M194" s="63" t="s">
        <v>264</v>
      </c>
      <c r="N194" s="119"/>
      <c r="O194" s="63" t="s">
        <v>264</v>
      </c>
      <c r="P194" s="119"/>
      <c r="Q194" s="230" t="s">
        <v>264</v>
      </c>
      <c r="R194" s="119"/>
      <c r="S194" s="63" t="s">
        <v>264</v>
      </c>
      <c r="T194" s="119"/>
      <c r="U194" s="63" t="s">
        <v>264</v>
      </c>
      <c r="V194" s="119"/>
      <c r="W194" s="63" t="s">
        <v>264</v>
      </c>
      <c r="X194" s="119"/>
      <c r="Y194" s="230" t="s">
        <v>264</v>
      </c>
      <c r="Z194" s="119"/>
      <c r="AA194" s="63" t="s">
        <v>264</v>
      </c>
      <c r="AB194" s="119"/>
      <c r="AC194" s="63" t="s">
        <v>264</v>
      </c>
      <c r="AD194" s="119"/>
      <c r="AE194" s="63" t="s">
        <v>264</v>
      </c>
      <c r="AF194" s="119"/>
      <c r="AG194" s="230" t="s">
        <v>264</v>
      </c>
      <c r="AH194" s="119"/>
      <c r="AI194" s="275"/>
      <c r="AJ194" s="230" t="s">
        <v>264</v>
      </c>
      <c r="AK194" s="119"/>
    </row>
    <row r="195" spans="1:37" s="66" customFormat="1" collapsed="1" x14ac:dyDescent="0.2">
      <c r="A195" s="64" t="s">
        <v>180</v>
      </c>
      <c r="B195" s="64" t="s">
        <v>178</v>
      </c>
      <c r="C195" s="108">
        <f>+C193</f>
        <v>361611.76</v>
      </c>
      <c r="D195" s="119">
        <f>C195/C31</f>
        <v>3.3538038964066791E-2</v>
      </c>
      <c r="E195" s="108">
        <f>+E193</f>
        <v>268948.66999999993</v>
      </c>
      <c r="F195" s="119">
        <f>E195/E31</f>
        <v>2.0911203768568521E-2</v>
      </c>
      <c r="G195" s="108">
        <f>+G193</f>
        <v>539964.37000000011</v>
      </c>
      <c r="H195" s="119">
        <f>G195/G31</f>
        <v>3.5711812531702573E-2</v>
      </c>
      <c r="I195" s="231">
        <f>+I193</f>
        <v>1170524.8</v>
      </c>
      <c r="J195" s="119">
        <f>I195/I31</f>
        <v>3.0196454582537766E-2</v>
      </c>
      <c r="K195" s="108">
        <f>+K193</f>
        <v>244175.24</v>
      </c>
      <c r="L195" s="119">
        <f>K195/K31</f>
        <v>1.7452622311409288E-2</v>
      </c>
      <c r="M195" s="108">
        <f>+M193</f>
        <v>484087.73999999976</v>
      </c>
      <c r="N195" s="119">
        <f>M195/M31</f>
        <v>4.0029221228117431E-2</v>
      </c>
      <c r="O195" s="108">
        <f>+O193</f>
        <v>1381881.6100000003</v>
      </c>
      <c r="P195" s="119">
        <f>O195/O31</f>
        <v>6.5104293526433127E-2</v>
      </c>
      <c r="Q195" s="231">
        <f>+Q193</f>
        <v>2110144.59</v>
      </c>
      <c r="R195" s="119">
        <f>Q195/Q31</f>
        <v>4.4602726268422245E-2</v>
      </c>
      <c r="S195" s="108">
        <f>+S193</f>
        <v>2757879.23</v>
      </c>
      <c r="T195" s="119">
        <f>S195/S31</f>
        <v>0.18710142340072417</v>
      </c>
      <c r="U195" s="108">
        <f>+U193</f>
        <v>1691140.2700000005</v>
      </c>
      <c r="V195" s="119">
        <f>U195/U31</f>
        <v>0.14692760754457065</v>
      </c>
      <c r="W195" s="108">
        <f>+W193</f>
        <v>116137.48000000045</v>
      </c>
      <c r="X195" s="119">
        <f>W195/W31</f>
        <v>5.7594849177801354E-3</v>
      </c>
      <c r="Y195" s="231">
        <f>+Y193</f>
        <v>4565156.9800000004</v>
      </c>
      <c r="Z195" s="119">
        <f>Y195/Y31</f>
        <v>9.835604139747843E-2</v>
      </c>
      <c r="AA195" s="108">
        <f>+AA193</f>
        <v>-111416.45000000112</v>
      </c>
      <c r="AB195" s="119">
        <f>AA195/AA31</f>
        <v>-9.9877133048480171E-3</v>
      </c>
      <c r="AC195" s="108">
        <f>+AC193</f>
        <v>32466.370000000112</v>
      </c>
      <c r="AD195" s="119">
        <f>AC195/AC31</f>
        <v>2.4031277515563134E-3</v>
      </c>
      <c r="AE195" s="108">
        <f>+AE193</f>
        <v>3463432.9900000012</v>
      </c>
      <c r="AF195" s="119">
        <f>AE195/AE31</f>
        <v>0.21549504106544498</v>
      </c>
      <c r="AG195" s="231">
        <f>+AG193</f>
        <v>3384482.91</v>
      </c>
      <c r="AH195" s="119">
        <f>AG195/AG31</f>
        <v>8.3080517983244478E-2</v>
      </c>
      <c r="AI195" s="273">
        <f t="shared" si="32"/>
        <v>-0.25862726630706145</v>
      </c>
      <c r="AJ195" s="231">
        <f>+AJ193</f>
        <v>11230309.280000001</v>
      </c>
      <c r="AK195" s="119">
        <f>AJ195/AJ31</f>
        <v>6.4830612662036657E-2</v>
      </c>
    </row>
    <row r="196" spans="1:37" s="66" customFormat="1" hidden="1" outlineLevel="2" x14ac:dyDescent="0.2">
      <c r="A196" s="62"/>
      <c r="B196" s="62" t="s">
        <v>2</v>
      </c>
      <c r="C196" s="107"/>
      <c r="D196" s="119"/>
      <c r="E196" s="63"/>
      <c r="F196" s="119"/>
      <c r="G196" s="63"/>
      <c r="H196" s="119"/>
      <c r="I196" s="230"/>
      <c r="J196" s="119"/>
      <c r="K196" s="63"/>
      <c r="L196" s="119"/>
      <c r="M196" s="63"/>
      <c r="N196" s="119"/>
      <c r="O196" s="63"/>
      <c r="P196" s="119"/>
      <c r="Q196" s="230"/>
      <c r="R196" s="119"/>
      <c r="S196" s="63"/>
      <c r="T196" s="119"/>
      <c r="U196" s="63"/>
      <c r="V196" s="119"/>
      <c r="W196" s="63"/>
      <c r="X196" s="119"/>
      <c r="Y196" s="230"/>
      <c r="Z196" s="119"/>
      <c r="AA196" s="63"/>
      <c r="AB196" s="119"/>
      <c r="AC196" s="63"/>
      <c r="AD196" s="119"/>
      <c r="AE196" s="63"/>
      <c r="AF196" s="119"/>
      <c r="AG196" s="230"/>
      <c r="AH196" s="119"/>
      <c r="AI196" s="275"/>
      <c r="AJ196" s="230"/>
      <c r="AK196" s="119"/>
    </row>
    <row r="197" spans="1:37" s="66" customFormat="1" hidden="1" outlineLevel="2" x14ac:dyDescent="0.2">
      <c r="A197" s="62">
        <v>72</v>
      </c>
      <c r="B197" s="62" t="s">
        <v>182</v>
      </c>
      <c r="C197" s="107"/>
      <c r="D197" s="119"/>
      <c r="E197" s="107"/>
      <c r="F197" s="119"/>
      <c r="G197" s="107"/>
      <c r="H197" s="119"/>
      <c r="I197" s="229"/>
      <c r="J197" s="119"/>
      <c r="K197" s="107"/>
      <c r="L197" s="119"/>
      <c r="M197" s="107"/>
      <c r="N197" s="119"/>
      <c r="O197" s="107"/>
      <c r="P197" s="119"/>
      <c r="Q197" s="229"/>
      <c r="R197" s="119"/>
      <c r="S197" s="107"/>
      <c r="T197" s="119"/>
      <c r="U197" s="107"/>
      <c r="V197" s="119"/>
      <c r="W197" s="107"/>
      <c r="X197" s="119"/>
      <c r="Y197" s="229"/>
      <c r="Z197" s="119"/>
      <c r="AA197" s="107"/>
      <c r="AB197" s="119"/>
      <c r="AC197" s="107"/>
      <c r="AD197" s="119"/>
      <c r="AE197" s="107"/>
      <c r="AF197" s="119"/>
      <c r="AG197" s="229"/>
      <c r="AH197" s="119"/>
      <c r="AI197" s="274"/>
      <c r="AJ197" s="229"/>
      <c r="AK197" s="119"/>
    </row>
    <row r="198" spans="1:37" s="66" customFormat="1" hidden="1" outlineLevel="2" x14ac:dyDescent="0.2">
      <c r="A198" s="62">
        <v>7201</v>
      </c>
      <c r="B198" s="62" t="s">
        <v>183</v>
      </c>
      <c r="C198" s="107"/>
      <c r="D198" s="119"/>
      <c r="E198" s="107"/>
      <c r="F198" s="119"/>
      <c r="G198" s="107"/>
      <c r="H198" s="119"/>
      <c r="I198" s="229"/>
      <c r="J198" s="119"/>
      <c r="K198" s="107"/>
      <c r="L198" s="119"/>
      <c r="M198" s="107"/>
      <c r="N198" s="119"/>
      <c r="O198" s="107"/>
      <c r="P198" s="119"/>
      <c r="Q198" s="229"/>
      <c r="R198" s="119"/>
      <c r="S198" s="107"/>
      <c r="T198" s="119"/>
      <c r="U198" s="107"/>
      <c r="V198" s="119"/>
      <c r="W198" s="107"/>
      <c r="X198" s="119"/>
      <c r="Y198" s="229"/>
      <c r="Z198" s="119"/>
      <c r="AA198" s="107"/>
      <c r="AB198" s="119"/>
      <c r="AC198" s="107"/>
      <c r="AD198" s="119"/>
      <c r="AE198" s="107"/>
      <c r="AF198" s="119"/>
      <c r="AG198" s="229"/>
      <c r="AH198" s="119"/>
      <c r="AI198" s="274"/>
      <c r="AJ198" s="229"/>
      <c r="AK198" s="119"/>
    </row>
    <row r="199" spans="1:37" s="66" customFormat="1" hidden="1" outlineLevel="2" x14ac:dyDescent="0.2">
      <c r="A199" s="62">
        <v>72010001</v>
      </c>
      <c r="B199" s="62" t="s">
        <v>183</v>
      </c>
      <c r="C199" s="107">
        <v>0</v>
      </c>
      <c r="D199" s="119"/>
      <c r="E199" s="107">
        <v>0</v>
      </c>
      <c r="F199" s="119"/>
      <c r="G199" s="107">
        <v>0</v>
      </c>
      <c r="H199" s="119"/>
      <c r="I199" s="229">
        <f>+C199+E199+G199</f>
        <v>0</v>
      </c>
      <c r="J199" s="119"/>
      <c r="K199" s="107">
        <v>0</v>
      </c>
      <c r="L199" s="119"/>
      <c r="M199" s="107">
        <v>0</v>
      </c>
      <c r="N199" s="119"/>
      <c r="O199" s="107">
        <v>0</v>
      </c>
      <c r="P199" s="119"/>
      <c r="Q199" s="229">
        <f>+K199+M199+O199</f>
        <v>0</v>
      </c>
      <c r="R199" s="119"/>
      <c r="S199" s="107">
        <v>0</v>
      </c>
      <c r="T199" s="119"/>
      <c r="U199" s="107">
        <v>0</v>
      </c>
      <c r="V199" s="119"/>
      <c r="W199" s="107">
        <v>0</v>
      </c>
      <c r="X199" s="119"/>
      <c r="Y199" s="229">
        <f>+S199+U199+W199</f>
        <v>0</v>
      </c>
      <c r="Z199" s="119"/>
      <c r="AA199" s="107">
        <v>0</v>
      </c>
      <c r="AB199" s="119"/>
      <c r="AC199" s="107">
        <v>0</v>
      </c>
      <c r="AD199" s="119"/>
      <c r="AE199" s="107">
        <v>0</v>
      </c>
      <c r="AF199" s="119"/>
      <c r="AG199" s="229">
        <f>+AA199+AC199+AE199</f>
        <v>0</v>
      </c>
      <c r="AH199" s="119"/>
      <c r="AI199" s="273" t="str">
        <f t="shared" ref="AI199:AI202" si="33">+IFERROR(AG199/Y199-1,"0")</f>
        <v>0</v>
      </c>
      <c r="AJ199" s="229">
        <f>+I199+Q199+Y199+AG199</f>
        <v>0</v>
      </c>
      <c r="AK199" s="119"/>
    </row>
    <row r="200" spans="1:37" s="66" customFormat="1" hidden="1" outlineLevel="2" x14ac:dyDescent="0.2">
      <c r="A200" s="62">
        <v>72010002</v>
      </c>
      <c r="B200" s="62" t="s">
        <v>459</v>
      </c>
      <c r="C200" s="63">
        <v>6393.8997501841995</v>
      </c>
      <c r="D200" s="119"/>
      <c r="E200" s="63">
        <v>6393.8997501841995</v>
      </c>
      <c r="F200" s="119"/>
      <c r="G200" s="63">
        <v>6393.8997501841995</v>
      </c>
      <c r="H200" s="119"/>
      <c r="I200" s="229">
        <f>+C200+E200+G200</f>
        <v>19181.6992505526</v>
      </c>
      <c r="J200" s="119"/>
      <c r="K200" s="63">
        <v>6393.8997501841995</v>
      </c>
      <c r="L200" s="119"/>
      <c r="M200" s="63">
        <v>6393.8997501841995</v>
      </c>
      <c r="N200" s="119"/>
      <c r="O200" s="63">
        <v>6393.8997501841995</v>
      </c>
      <c r="P200" s="119"/>
      <c r="Q200" s="229">
        <f>+K200+M200+O200</f>
        <v>19181.6992505526</v>
      </c>
      <c r="R200" s="119"/>
      <c r="S200" s="63">
        <v>6393.8997501841995</v>
      </c>
      <c r="T200" s="119"/>
      <c r="U200" s="63">
        <v>6393.8997501841995</v>
      </c>
      <c r="V200" s="119"/>
      <c r="W200" s="63">
        <v>6393.8997501841995</v>
      </c>
      <c r="X200" s="119"/>
      <c r="Y200" s="229">
        <f>+S200+U200+W200</f>
        <v>19181.6992505526</v>
      </c>
      <c r="Z200" s="119"/>
      <c r="AA200" s="63">
        <v>6393.8997501841995</v>
      </c>
      <c r="AB200" s="119"/>
      <c r="AC200" s="63">
        <v>6393.8997501841995</v>
      </c>
      <c r="AD200" s="119"/>
      <c r="AE200" s="63">
        <v>6393.8997501841995</v>
      </c>
      <c r="AF200" s="119"/>
      <c r="AG200" s="229">
        <f>+AA200+AC200+AE200</f>
        <v>19181.6992505526</v>
      </c>
      <c r="AH200" s="119"/>
      <c r="AI200" s="273">
        <f t="shared" si="33"/>
        <v>0</v>
      </c>
      <c r="AJ200" s="229">
        <f>+I200+Q200+Y200+AG200</f>
        <v>76726.797002210398</v>
      </c>
      <c r="AK200" s="119"/>
    </row>
    <row r="201" spans="1:37" s="66" customFormat="1" hidden="1" outlineLevel="2" x14ac:dyDescent="0.2">
      <c r="A201" s="62"/>
      <c r="B201" s="62" t="s">
        <v>2</v>
      </c>
      <c r="C201" s="107" t="s">
        <v>264</v>
      </c>
      <c r="D201" s="119"/>
      <c r="E201" s="63" t="s">
        <v>264</v>
      </c>
      <c r="F201" s="119"/>
      <c r="G201" s="63" t="s">
        <v>264</v>
      </c>
      <c r="H201" s="119"/>
      <c r="I201" s="230" t="s">
        <v>264</v>
      </c>
      <c r="J201" s="119"/>
      <c r="K201" s="63" t="s">
        <v>264</v>
      </c>
      <c r="L201" s="119"/>
      <c r="M201" s="63" t="s">
        <v>264</v>
      </c>
      <c r="N201" s="119"/>
      <c r="O201" s="63" t="s">
        <v>264</v>
      </c>
      <c r="P201" s="119"/>
      <c r="Q201" s="230" t="s">
        <v>264</v>
      </c>
      <c r="R201" s="119"/>
      <c r="S201" s="63" t="s">
        <v>264</v>
      </c>
      <c r="T201" s="119"/>
      <c r="U201" s="63" t="s">
        <v>264</v>
      </c>
      <c r="V201" s="119"/>
      <c r="W201" s="63" t="s">
        <v>264</v>
      </c>
      <c r="X201" s="119"/>
      <c r="Y201" s="230" t="s">
        <v>264</v>
      </c>
      <c r="Z201" s="119"/>
      <c r="AA201" s="63" t="s">
        <v>264</v>
      </c>
      <c r="AB201" s="119"/>
      <c r="AC201" s="63" t="s">
        <v>264</v>
      </c>
      <c r="AD201" s="119"/>
      <c r="AE201" s="63" t="s">
        <v>264</v>
      </c>
      <c r="AF201" s="119"/>
      <c r="AG201" s="230" t="s">
        <v>264</v>
      </c>
      <c r="AH201" s="119"/>
      <c r="AI201" s="275"/>
      <c r="AJ201" s="230" t="s">
        <v>264</v>
      </c>
      <c r="AK201" s="119"/>
    </row>
    <row r="202" spans="1:37" s="66" customFormat="1" collapsed="1" x14ac:dyDescent="0.2">
      <c r="A202" s="64" t="s">
        <v>184</v>
      </c>
      <c r="B202" s="64" t="s">
        <v>458</v>
      </c>
      <c r="C202" s="108">
        <f>+C199+C200</f>
        <v>6393.8997501841995</v>
      </c>
      <c r="D202" s="119">
        <f>C202/C31</f>
        <v>5.930085320068534E-4</v>
      </c>
      <c r="E202" s="108">
        <f>+E199+E200</f>
        <v>6393.8997501841995</v>
      </c>
      <c r="F202" s="119">
        <f>E202/E31</f>
        <v>4.9713627716359851E-4</v>
      </c>
      <c r="G202" s="108">
        <f>+G199+G200</f>
        <v>6393.8997501841995</v>
      </c>
      <c r="H202" s="119">
        <f>G202/G31</f>
        <v>4.228755857077718E-4</v>
      </c>
      <c r="I202" s="231">
        <f>+I199+I200</f>
        <v>19181.6992505526</v>
      </c>
      <c r="J202" s="119">
        <f>I202/I31</f>
        <v>4.9483728173483406E-4</v>
      </c>
      <c r="K202" s="108">
        <f>+K199+K200</f>
        <v>6393.8997501841995</v>
      </c>
      <c r="L202" s="119">
        <f>K202/K31</f>
        <v>4.5700914407611126E-4</v>
      </c>
      <c r="M202" s="108">
        <f>+M199+M200</f>
        <v>6393.8997501841995</v>
      </c>
      <c r="N202" s="119">
        <f>M202/M31</f>
        <v>5.2871164969087669E-4</v>
      </c>
      <c r="O202" s="108">
        <f>+O199+O200</f>
        <v>6393.8997501841995</v>
      </c>
      <c r="P202" s="119">
        <f>O202/O31</f>
        <v>3.0123443506465032E-4</v>
      </c>
      <c r="Q202" s="231">
        <f>+Q199+Q200</f>
        <v>19181.6992505526</v>
      </c>
      <c r="R202" s="119">
        <f>Q202/Q31</f>
        <v>4.0544903182942446E-4</v>
      </c>
      <c r="S202" s="108">
        <f>+S199+S200</f>
        <v>6393.8997501841995</v>
      </c>
      <c r="T202" s="119">
        <f>S202/S31</f>
        <v>4.3377814783463105E-4</v>
      </c>
      <c r="U202" s="108">
        <f>+U199+U200</f>
        <v>6393.8997501841995</v>
      </c>
      <c r="V202" s="119">
        <f>U202/U31</f>
        <v>5.5550707995049523E-4</v>
      </c>
      <c r="W202" s="108">
        <f>+W199+W200</f>
        <v>6393.8997501841995</v>
      </c>
      <c r="X202" s="119">
        <f>W202/W31</f>
        <v>3.170860016678847E-4</v>
      </c>
      <c r="Y202" s="231">
        <f>+Y199+Y200</f>
        <v>19181.6992505526</v>
      </c>
      <c r="Z202" s="119">
        <f>Y202/Y31</f>
        <v>4.1326859379134259E-4</v>
      </c>
      <c r="AA202" s="108">
        <f>+AA199+AA200</f>
        <v>6393.8997501841995</v>
      </c>
      <c r="AB202" s="119">
        <f>AA202/AA31</f>
        <v>5.7316884180727795E-4</v>
      </c>
      <c r="AC202" s="108">
        <f>+AC199+AC200</f>
        <v>6393.8997501841995</v>
      </c>
      <c r="AD202" s="119">
        <f>AC202/AC31</f>
        <v>4.7326996921234424E-4</v>
      </c>
      <c r="AE202" s="108">
        <f>+AE199+AE200</f>
        <v>6393.8997501841995</v>
      </c>
      <c r="AF202" s="119">
        <f>AE202/AE31</f>
        <v>3.9782888631383106E-4</v>
      </c>
      <c r="AG202" s="231">
        <f>+AG199+AG200</f>
        <v>19181.6992505526</v>
      </c>
      <c r="AH202" s="119">
        <f>AG202/AG31</f>
        <v>4.7086233020296811E-4</v>
      </c>
      <c r="AI202" s="273">
        <f t="shared" si="33"/>
        <v>0</v>
      </c>
      <c r="AJ202" s="231">
        <f>+AJ199+AJ200</f>
        <v>76726.797002210398</v>
      </c>
      <c r="AK202" s="119">
        <f>AJ202/AJ31</f>
        <v>4.4293038893484659E-4</v>
      </c>
    </row>
    <row r="203" spans="1:37" s="66" customFormat="1" hidden="1" outlineLevel="1" x14ac:dyDescent="0.2">
      <c r="A203" s="62"/>
      <c r="B203" s="62" t="s">
        <v>2</v>
      </c>
      <c r="C203" s="107"/>
      <c r="D203" s="119"/>
      <c r="E203" s="63"/>
      <c r="F203" s="119"/>
      <c r="G203" s="63"/>
      <c r="H203" s="119"/>
      <c r="I203" s="230"/>
      <c r="J203" s="119"/>
      <c r="K203" s="63"/>
      <c r="L203" s="119"/>
      <c r="M203" s="63"/>
      <c r="N203" s="119"/>
      <c r="O203" s="63"/>
      <c r="P203" s="119"/>
      <c r="Q203" s="230"/>
      <c r="R203" s="119"/>
      <c r="S203" s="63"/>
      <c r="T203" s="119"/>
      <c r="U203" s="63"/>
      <c r="V203" s="119"/>
      <c r="W203" s="63"/>
      <c r="X203" s="119"/>
      <c r="Y203" s="230"/>
      <c r="Z203" s="119"/>
      <c r="AA203" s="63"/>
      <c r="AB203" s="119"/>
      <c r="AC203" s="63"/>
      <c r="AD203" s="119"/>
      <c r="AE203" s="63"/>
      <c r="AF203" s="119"/>
      <c r="AG203" s="230"/>
      <c r="AH203" s="119"/>
      <c r="AI203" s="275"/>
      <c r="AJ203" s="230"/>
      <c r="AK203" s="119"/>
    </row>
    <row r="204" spans="1:37" s="66" customFormat="1" hidden="1" outlineLevel="1" x14ac:dyDescent="0.2">
      <c r="A204" s="62">
        <v>7203</v>
      </c>
      <c r="B204" s="62" t="s">
        <v>187</v>
      </c>
      <c r="C204" s="107"/>
      <c r="D204" s="119"/>
      <c r="E204" s="107"/>
      <c r="F204" s="119"/>
      <c r="G204" s="107"/>
      <c r="H204" s="119"/>
      <c r="I204" s="229"/>
      <c r="J204" s="119"/>
      <c r="K204" s="107"/>
      <c r="L204" s="119"/>
      <c r="M204" s="107"/>
      <c r="N204" s="119"/>
      <c r="O204" s="107"/>
      <c r="P204" s="119"/>
      <c r="Q204" s="229"/>
      <c r="R204" s="119"/>
      <c r="S204" s="107"/>
      <c r="T204" s="119"/>
      <c r="U204" s="107"/>
      <c r="V204" s="119"/>
      <c r="W204" s="107"/>
      <c r="X204" s="119"/>
      <c r="Y204" s="229"/>
      <c r="Z204" s="119"/>
      <c r="AA204" s="107"/>
      <c r="AB204" s="119"/>
      <c r="AC204" s="107"/>
      <c r="AD204" s="119"/>
      <c r="AE204" s="107"/>
      <c r="AF204" s="119"/>
      <c r="AG204" s="229"/>
      <c r="AH204" s="119"/>
      <c r="AI204" s="274"/>
      <c r="AJ204" s="229"/>
      <c r="AK204" s="119"/>
    </row>
    <row r="205" spans="1:37" s="66" customFormat="1" hidden="1" outlineLevel="1" x14ac:dyDescent="0.2">
      <c r="A205" s="62">
        <v>72030001</v>
      </c>
      <c r="B205" s="62" t="s">
        <v>187</v>
      </c>
      <c r="C205" s="107">
        <v>10347.200000000001</v>
      </c>
      <c r="D205" s="119"/>
      <c r="E205" s="107">
        <v>26018.74</v>
      </c>
      <c r="F205" s="119"/>
      <c r="G205" s="107">
        <v>16351.17</v>
      </c>
      <c r="H205" s="119"/>
      <c r="I205" s="229">
        <f>+C205+E205+G205</f>
        <v>52717.11</v>
      </c>
      <c r="J205" s="119"/>
      <c r="K205" s="107">
        <v>21875.23</v>
      </c>
      <c r="L205" s="119"/>
      <c r="M205" s="107">
        <v>63967.14</v>
      </c>
      <c r="N205" s="119"/>
      <c r="O205" s="107">
        <v>47720.06</v>
      </c>
      <c r="P205" s="119"/>
      <c r="Q205" s="229">
        <f>+K205+M205+O205</f>
        <v>133562.43</v>
      </c>
      <c r="R205" s="119"/>
      <c r="S205" s="107">
        <v>30163.479999999901</v>
      </c>
      <c r="T205" s="119"/>
      <c r="U205" s="107">
        <v>16323.27</v>
      </c>
      <c r="V205" s="119"/>
      <c r="W205" s="107">
        <v>175192.23</v>
      </c>
      <c r="X205" s="119"/>
      <c r="Y205" s="229">
        <f>+S205+U205+W205</f>
        <v>221678.97999999992</v>
      </c>
      <c r="Z205" s="119"/>
      <c r="AA205" s="107">
        <v>44742.11</v>
      </c>
      <c r="AB205" s="119"/>
      <c r="AC205" s="107">
        <v>9536.4799999999796</v>
      </c>
      <c r="AD205" s="119"/>
      <c r="AE205" s="107">
        <v>18532.330000000002</v>
      </c>
      <c r="AF205" s="119"/>
      <c r="AG205" s="229">
        <f>+AA205+AC205+AE205</f>
        <v>72810.919999999984</v>
      </c>
      <c r="AH205" s="119"/>
      <c r="AI205" s="273">
        <f t="shared" ref="AI205:AI207" si="34">+IFERROR(AG205/Y205-1,"0")</f>
        <v>-0.67154792935261609</v>
      </c>
      <c r="AJ205" s="229">
        <f>+I205+Q205+Y205+AG205</f>
        <v>480769.43999999989</v>
      </c>
      <c r="AK205" s="119"/>
    </row>
    <row r="206" spans="1:37" s="66" customFormat="1" hidden="1" outlineLevel="1" x14ac:dyDescent="0.2">
      <c r="A206" s="62"/>
      <c r="B206" s="62" t="s">
        <v>2</v>
      </c>
      <c r="C206" s="107" t="s">
        <v>264</v>
      </c>
      <c r="D206" s="119"/>
      <c r="E206" s="63" t="s">
        <v>264</v>
      </c>
      <c r="F206" s="119"/>
      <c r="G206" s="63" t="s">
        <v>264</v>
      </c>
      <c r="H206" s="119"/>
      <c r="I206" s="230" t="s">
        <v>264</v>
      </c>
      <c r="J206" s="119"/>
      <c r="K206" s="63" t="s">
        <v>264</v>
      </c>
      <c r="L206" s="119"/>
      <c r="M206" s="63" t="s">
        <v>264</v>
      </c>
      <c r="N206" s="119"/>
      <c r="O206" s="63" t="s">
        <v>264</v>
      </c>
      <c r="P206" s="119"/>
      <c r="Q206" s="230" t="s">
        <v>264</v>
      </c>
      <c r="R206" s="119"/>
      <c r="S206" s="63" t="s">
        <v>264</v>
      </c>
      <c r="T206" s="119"/>
      <c r="U206" s="63" t="s">
        <v>264</v>
      </c>
      <c r="V206" s="119"/>
      <c r="W206" s="63" t="s">
        <v>264</v>
      </c>
      <c r="X206" s="119"/>
      <c r="Y206" s="230" t="s">
        <v>264</v>
      </c>
      <c r="Z206" s="119"/>
      <c r="AA206" s="63" t="s">
        <v>264</v>
      </c>
      <c r="AB206" s="119"/>
      <c r="AC206" s="63" t="s">
        <v>264</v>
      </c>
      <c r="AD206" s="119"/>
      <c r="AE206" s="63" t="s">
        <v>264</v>
      </c>
      <c r="AF206" s="119"/>
      <c r="AG206" s="230" t="s">
        <v>264</v>
      </c>
      <c r="AH206" s="119"/>
      <c r="AI206" s="275"/>
      <c r="AJ206" s="230" t="s">
        <v>264</v>
      </c>
      <c r="AK206" s="119"/>
    </row>
    <row r="207" spans="1:37" s="66" customFormat="1" collapsed="1" x14ac:dyDescent="0.2">
      <c r="A207" s="64" t="s">
        <v>188</v>
      </c>
      <c r="B207" s="64" t="s">
        <v>187</v>
      </c>
      <c r="C207" s="108">
        <f>+C205</f>
        <v>10347.200000000001</v>
      </c>
      <c r="D207" s="119">
        <f>C207/C31</f>
        <v>9.5966125871844402E-4</v>
      </c>
      <c r="E207" s="108">
        <f>+E205</f>
        <v>26018.74</v>
      </c>
      <c r="F207" s="119">
        <f>E207/E31</f>
        <v>2.0230000540304017E-3</v>
      </c>
      <c r="G207" s="108">
        <f>+G205</f>
        <v>16351.17</v>
      </c>
      <c r="H207" s="119">
        <f>G207/G31</f>
        <v>1.0814230533655379E-3</v>
      </c>
      <c r="I207" s="231">
        <f>+I205</f>
        <v>52717.11</v>
      </c>
      <c r="J207" s="119">
        <f>I207/I31</f>
        <v>1.359962486773153E-3</v>
      </c>
      <c r="K207" s="108">
        <f>+K205</f>
        <v>21875.23</v>
      </c>
      <c r="L207" s="119">
        <f>K207/K31</f>
        <v>1.5635497160367687E-3</v>
      </c>
      <c r="M207" s="108">
        <f>+M205</f>
        <v>63967.14</v>
      </c>
      <c r="N207" s="119">
        <f>M207/M31</f>
        <v>5.2894436004307004E-3</v>
      </c>
      <c r="O207" s="108">
        <f>+O205</f>
        <v>47720.06</v>
      </c>
      <c r="P207" s="119">
        <f>O207/O31</f>
        <v>2.2482250077407134E-3</v>
      </c>
      <c r="Q207" s="231">
        <f>+Q205</f>
        <v>133562.43</v>
      </c>
      <c r="R207" s="119">
        <f>Q207/Q31</f>
        <v>2.8231470645503527E-3</v>
      </c>
      <c r="S207" s="108">
        <f>+S205</f>
        <v>30163.479999999901</v>
      </c>
      <c r="T207" s="119">
        <f>S207/S31</f>
        <v>2.046365910924699E-3</v>
      </c>
      <c r="U207" s="108">
        <f>+U205</f>
        <v>16323.27</v>
      </c>
      <c r="V207" s="119">
        <f>U207/U31</f>
        <v>1.4181786401456001E-3</v>
      </c>
      <c r="W207" s="108">
        <f>+W205</f>
        <v>175192.23</v>
      </c>
      <c r="X207" s="119">
        <f>W207/W31</f>
        <v>8.6881255422217238E-3</v>
      </c>
      <c r="Y207" s="231">
        <f>+Y205</f>
        <v>221678.97999999992</v>
      </c>
      <c r="Z207" s="119">
        <f>Y207/Y31</f>
        <v>4.7760607202232035E-3</v>
      </c>
      <c r="AA207" s="108">
        <f>+AA205</f>
        <v>44742.11</v>
      </c>
      <c r="AB207" s="119">
        <f>AA207/AA31</f>
        <v>4.0108203710849614E-3</v>
      </c>
      <c r="AC207" s="108">
        <f>+AC205</f>
        <v>9536.4799999999796</v>
      </c>
      <c r="AD207" s="119">
        <f>AC207/AC31</f>
        <v>7.0588056934488286E-4</v>
      </c>
      <c r="AE207" s="108">
        <f>+AE205</f>
        <v>18532.330000000002</v>
      </c>
      <c r="AF207" s="119">
        <f>AE207/AE31</f>
        <v>1.1530828590936234E-3</v>
      </c>
      <c r="AG207" s="231">
        <f>+AG205</f>
        <v>72810.919999999984</v>
      </c>
      <c r="AH207" s="119">
        <f>AG207/AG31</f>
        <v>1.7873244183220218E-3</v>
      </c>
      <c r="AI207" s="273">
        <f t="shared" si="34"/>
        <v>-0.67154792935261609</v>
      </c>
      <c r="AJ207" s="231">
        <f>+AJ205</f>
        <v>480769.43999999989</v>
      </c>
      <c r="AK207" s="119">
        <f>AJ207/AJ31</f>
        <v>2.7753979491813483E-3</v>
      </c>
    </row>
    <row r="208" spans="1:37" s="66" customFormat="1" hidden="1" outlineLevel="1" x14ac:dyDescent="0.2">
      <c r="A208" s="62"/>
      <c r="B208" s="62" t="s">
        <v>2</v>
      </c>
      <c r="C208" s="107"/>
      <c r="D208" s="119"/>
      <c r="E208" s="63"/>
      <c r="F208" s="119"/>
      <c r="G208" s="63"/>
      <c r="H208" s="119"/>
      <c r="I208" s="230"/>
      <c r="J208" s="119"/>
      <c r="K208" s="63"/>
      <c r="L208" s="119"/>
      <c r="M208" s="63"/>
      <c r="N208" s="119"/>
      <c r="O208" s="63"/>
      <c r="P208" s="119"/>
      <c r="Q208" s="230"/>
      <c r="R208" s="119"/>
      <c r="S208" s="63"/>
      <c r="T208" s="119"/>
      <c r="U208" s="63"/>
      <c r="V208" s="119"/>
      <c r="W208" s="63"/>
      <c r="X208" s="119"/>
      <c r="Y208" s="230"/>
      <c r="Z208" s="119"/>
      <c r="AA208" s="63"/>
      <c r="AB208" s="119"/>
      <c r="AC208" s="63"/>
      <c r="AD208" s="119"/>
      <c r="AE208" s="63"/>
      <c r="AF208" s="119"/>
      <c r="AG208" s="230"/>
      <c r="AH208" s="119"/>
      <c r="AI208" s="275"/>
      <c r="AJ208" s="230"/>
      <c r="AK208" s="119"/>
    </row>
    <row r="209" spans="1:37" s="66" customFormat="1" hidden="1" outlineLevel="1" x14ac:dyDescent="0.2">
      <c r="A209" s="62">
        <v>7204</v>
      </c>
      <c r="B209" s="62" t="s">
        <v>299</v>
      </c>
      <c r="C209" s="107"/>
      <c r="D209" s="119"/>
      <c r="E209" s="107"/>
      <c r="F209" s="119"/>
      <c r="G209" s="107"/>
      <c r="H209" s="119"/>
      <c r="I209" s="229"/>
      <c r="J209" s="119"/>
      <c r="K209" s="107"/>
      <c r="L209" s="119"/>
      <c r="M209" s="107"/>
      <c r="N209" s="119"/>
      <c r="O209" s="107"/>
      <c r="P209" s="119"/>
      <c r="Q209" s="229"/>
      <c r="R209" s="119"/>
      <c r="S209" s="107"/>
      <c r="T209" s="119"/>
      <c r="U209" s="107"/>
      <c r="V209" s="119"/>
      <c r="W209" s="107"/>
      <c r="X209" s="119"/>
      <c r="Y209" s="229"/>
      <c r="Z209" s="119"/>
      <c r="AA209" s="107"/>
      <c r="AB209" s="119"/>
      <c r="AC209" s="107"/>
      <c r="AD209" s="119"/>
      <c r="AE209" s="107"/>
      <c r="AF209" s="119"/>
      <c r="AG209" s="229"/>
      <c r="AH209" s="119"/>
      <c r="AI209" s="274"/>
      <c r="AJ209" s="229"/>
      <c r="AK209" s="119"/>
    </row>
    <row r="210" spans="1:37" s="66" customFormat="1" hidden="1" outlineLevel="1" x14ac:dyDescent="0.2">
      <c r="A210" s="62">
        <v>72040001</v>
      </c>
      <c r="B210" s="62" t="s">
        <v>299</v>
      </c>
      <c r="C210" s="107">
        <v>351902.48</v>
      </c>
      <c r="D210" s="119"/>
      <c r="E210" s="107">
        <v>51889.83</v>
      </c>
      <c r="F210" s="119"/>
      <c r="G210" s="107">
        <v>356518.66</v>
      </c>
      <c r="H210" s="119"/>
      <c r="I210" s="229">
        <f>+C210+E210+G210</f>
        <v>760310.97</v>
      </c>
      <c r="J210" s="119"/>
      <c r="K210" s="107">
        <v>130268.17</v>
      </c>
      <c r="L210" s="119"/>
      <c r="M210" s="107">
        <v>104102.16</v>
      </c>
      <c r="N210" s="119"/>
      <c r="O210" s="107">
        <v>299327.40999999997</v>
      </c>
      <c r="P210" s="119"/>
      <c r="Q210" s="229">
        <f>+K210+M210+O210</f>
        <v>533697.74</v>
      </c>
      <c r="R210" s="119"/>
      <c r="S210" s="107">
        <v>454086.22</v>
      </c>
      <c r="T210" s="119"/>
      <c r="U210" s="107">
        <v>530540.36</v>
      </c>
      <c r="V210" s="119"/>
      <c r="W210" s="107">
        <v>292984.12</v>
      </c>
      <c r="X210" s="119"/>
      <c r="Y210" s="229">
        <f>+S210+U210+W210</f>
        <v>1277610.7</v>
      </c>
      <c r="Z210" s="119"/>
      <c r="AA210" s="107">
        <v>735069.45</v>
      </c>
      <c r="AB210" s="119"/>
      <c r="AC210" s="107">
        <v>318388.34000000003</v>
      </c>
      <c r="AD210" s="119"/>
      <c r="AE210" s="107">
        <v>212559.48</v>
      </c>
      <c r="AF210" s="119"/>
      <c r="AG210" s="229">
        <f>+AA210+AC210+AE210</f>
        <v>1266017.27</v>
      </c>
      <c r="AH210" s="119"/>
      <c r="AI210" s="273">
        <f t="shared" ref="AI210:AI214" si="35">+IFERROR(AG210/Y210-1,"0")</f>
        <v>-9.0743056550793844E-3</v>
      </c>
      <c r="AJ210" s="229">
        <f>+I210+Q210+Y210+AG210</f>
        <v>3837636.68</v>
      </c>
      <c r="AK210" s="119"/>
    </row>
    <row r="211" spans="1:37" s="66" customFormat="1" hidden="1" outlineLevel="1" x14ac:dyDescent="0.2">
      <c r="A211" s="62"/>
      <c r="B211" s="62" t="s">
        <v>2</v>
      </c>
      <c r="C211" s="107" t="s">
        <v>264</v>
      </c>
      <c r="D211" s="119"/>
      <c r="E211" s="63" t="s">
        <v>264</v>
      </c>
      <c r="F211" s="119"/>
      <c r="G211" s="63" t="s">
        <v>264</v>
      </c>
      <c r="H211" s="119"/>
      <c r="I211" s="230" t="s">
        <v>264</v>
      </c>
      <c r="J211" s="119"/>
      <c r="K211" s="63" t="s">
        <v>264</v>
      </c>
      <c r="L211" s="119"/>
      <c r="M211" s="63" t="s">
        <v>264</v>
      </c>
      <c r="N211" s="119"/>
      <c r="O211" s="63" t="s">
        <v>264</v>
      </c>
      <c r="P211" s="119"/>
      <c r="Q211" s="230" t="s">
        <v>264</v>
      </c>
      <c r="R211" s="119"/>
      <c r="S211" s="63" t="s">
        <v>264</v>
      </c>
      <c r="T211" s="119"/>
      <c r="U211" s="63" t="s">
        <v>264</v>
      </c>
      <c r="V211" s="119"/>
      <c r="W211" s="63" t="s">
        <v>264</v>
      </c>
      <c r="X211" s="119"/>
      <c r="Y211" s="230" t="s">
        <v>264</v>
      </c>
      <c r="Z211" s="119"/>
      <c r="AA211" s="63" t="s">
        <v>264</v>
      </c>
      <c r="AB211" s="119"/>
      <c r="AC211" s="63" t="s">
        <v>264</v>
      </c>
      <c r="AD211" s="119"/>
      <c r="AE211" s="63" t="s">
        <v>264</v>
      </c>
      <c r="AF211" s="119"/>
      <c r="AG211" s="230" t="s">
        <v>264</v>
      </c>
      <c r="AH211" s="119"/>
      <c r="AI211" s="275"/>
      <c r="AJ211" s="230" t="s">
        <v>264</v>
      </c>
      <c r="AK211" s="119"/>
    </row>
    <row r="212" spans="1:37" s="66" customFormat="1" collapsed="1" x14ac:dyDescent="0.2">
      <c r="A212" s="64" t="s">
        <v>190</v>
      </c>
      <c r="B212" s="64" t="s">
        <v>189</v>
      </c>
      <c r="C212" s="108">
        <f>+C210</f>
        <v>351902.48</v>
      </c>
      <c r="D212" s="119">
        <f>C212/C31</f>
        <v>3.2637542224267631E-2</v>
      </c>
      <c r="E212" s="108">
        <f>+E210</f>
        <v>51889.83</v>
      </c>
      <c r="F212" s="119">
        <f>E212/E31</f>
        <v>4.0345200764383042E-3</v>
      </c>
      <c r="G212" s="108">
        <f>+G210</f>
        <v>356518.66</v>
      </c>
      <c r="H212" s="119">
        <f>G212/G31</f>
        <v>2.3579199401571264E-2</v>
      </c>
      <c r="I212" s="231">
        <f>+I210</f>
        <v>760310.97</v>
      </c>
      <c r="J212" s="119">
        <f>I212/I31</f>
        <v>1.9614019006013568E-2</v>
      </c>
      <c r="K212" s="108">
        <f>+K210</f>
        <v>130268.17</v>
      </c>
      <c r="L212" s="119">
        <f>K212/K31</f>
        <v>9.3110225680886338E-3</v>
      </c>
      <c r="M212" s="108">
        <f>+M210</f>
        <v>104102.16</v>
      </c>
      <c r="N212" s="119">
        <f>M212/M31</f>
        <v>8.6082089023053528E-3</v>
      </c>
      <c r="O212" s="108">
        <f>+O210</f>
        <v>299327.40999999997</v>
      </c>
      <c r="P212" s="119">
        <f>O212/O31</f>
        <v>1.4102148418594982E-2</v>
      </c>
      <c r="Q212" s="231">
        <f>+Q210</f>
        <v>533697.74</v>
      </c>
      <c r="R212" s="119">
        <f>Q212/Q31</f>
        <v>1.1280920899972824E-2</v>
      </c>
      <c r="S212" s="108">
        <f>+S210</f>
        <v>454086.22</v>
      </c>
      <c r="T212" s="119">
        <f>S212/S31</f>
        <v>3.0806344666751192E-2</v>
      </c>
      <c r="U212" s="108">
        <f>+U210</f>
        <v>530540.36</v>
      </c>
      <c r="V212" s="119">
        <f>U212/U31</f>
        <v>4.6093767136557634E-2</v>
      </c>
      <c r="W212" s="108">
        <f>+W210</f>
        <v>292984.12</v>
      </c>
      <c r="X212" s="119">
        <f>W212/W31</f>
        <v>1.4529655889632518E-2</v>
      </c>
      <c r="Y212" s="231">
        <f>+Y210</f>
        <v>1277610.7</v>
      </c>
      <c r="Z212" s="119">
        <f>Y212/Y31</f>
        <v>2.7526048162107533E-2</v>
      </c>
      <c r="AA212" s="108">
        <f>+AA210</f>
        <v>735069.45</v>
      </c>
      <c r="AB212" s="119">
        <f>AA212/AA31</f>
        <v>6.5893886636598453E-2</v>
      </c>
      <c r="AC212" s="108">
        <f>+AC210</f>
        <v>318388.34000000003</v>
      </c>
      <c r="AD212" s="119">
        <f>AC212/AC31</f>
        <v>2.3566781738332449E-2</v>
      </c>
      <c r="AE212" s="108">
        <f>+AE210</f>
        <v>212559.48</v>
      </c>
      <c r="AF212" s="119">
        <f>AE212/AE31</f>
        <v>1.322546560124139E-2</v>
      </c>
      <c r="AG212" s="231">
        <f>+AG210</f>
        <v>1266017.27</v>
      </c>
      <c r="AH212" s="119">
        <f>AG212/AG31</f>
        <v>3.1077530412860935E-2</v>
      </c>
      <c r="AI212" s="273">
        <f t="shared" si="35"/>
        <v>-9.0743056550793844E-3</v>
      </c>
      <c r="AJ212" s="231">
        <f>+AJ210</f>
        <v>3837636.68</v>
      </c>
      <c r="AK212" s="119">
        <f>AJ212/AJ31</f>
        <v>2.2154005819036919E-2</v>
      </c>
    </row>
    <row r="213" spans="1:37" s="66" customFormat="1" x14ac:dyDescent="0.2">
      <c r="A213" s="62"/>
      <c r="B213" s="62" t="s">
        <v>2</v>
      </c>
      <c r="C213" s="107" t="s">
        <v>264</v>
      </c>
      <c r="D213" s="119"/>
      <c r="E213" s="63" t="s">
        <v>264</v>
      </c>
      <c r="F213" s="119"/>
      <c r="G213" s="63" t="s">
        <v>264</v>
      </c>
      <c r="H213" s="119"/>
      <c r="I213" s="230" t="s">
        <v>264</v>
      </c>
      <c r="J213" s="119"/>
      <c r="K213" s="63" t="s">
        <v>264</v>
      </c>
      <c r="L213" s="119"/>
      <c r="M213" s="63" t="s">
        <v>264</v>
      </c>
      <c r="N213" s="119"/>
      <c r="O213" s="63" t="s">
        <v>264</v>
      </c>
      <c r="P213" s="119"/>
      <c r="Q213" s="230" t="s">
        <v>264</v>
      </c>
      <c r="R213" s="119"/>
      <c r="S213" s="63" t="s">
        <v>264</v>
      </c>
      <c r="T213" s="119"/>
      <c r="U213" s="63" t="s">
        <v>264</v>
      </c>
      <c r="V213" s="119"/>
      <c r="W213" s="63" t="s">
        <v>264</v>
      </c>
      <c r="X213" s="119"/>
      <c r="Y213" s="230" t="s">
        <v>264</v>
      </c>
      <c r="Z213" s="119"/>
      <c r="AA213" s="63" t="s">
        <v>264</v>
      </c>
      <c r="AB213" s="119"/>
      <c r="AC213" s="63" t="s">
        <v>264</v>
      </c>
      <c r="AD213" s="119"/>
      <c r="AE213" s="63" t="s">
        <v>264</v>
      </c>
      <c r="AF213" s="119"/>
      <c r="AG213" s="230" t="s">
        <v>264</v>
      </c>
      <c r="AH213" s="119"/>
      <c r="AI213" s="275"/>
      <c r="AJ213" s="230" t="s">
        <v>264</v>
      </c>
      <c r="AK213" s="119"/>
    </row>
    <row r="214" spans="1:37" s="66" customFormat="1" x14ac:dyDescent="0.2">
      <c r="A214" s="651" t="s">
        <v>453</v>
      </c>
      <c r="B214" s="651"/>
      <c r="C214" s="134">
        <f>+C190+C195-C202-C207-C212</f>
        <v>8551.8702498158091</v>
      </c>
      <c r="D214" s="119">
        <f>C214/C31</f>
        <v>7.9315163216474532E-4</v>
      </c>
      <c r="E214" s="134">
        <f>+E190+E195-E202-E207-E212</f>
        <v>194258.81024981569</v>
      </c>
      <c r="F214" s="119">
        <f>E214/E31</f>
        <v>1.5103943681794688E-2</v>
      </c>
      <c r="G214" s="134">
        <f>+G190+G195-G202-G207-G212</f>
        <v>170108.9702498159</v>
      </c>
      <c r="H214" s="119">
        <f>G214/G31</f>
        <v>1.1250556505279032E-2</v>
      </c>
      <c r="I214" s="134">
        <f>+I190+I195-I202-I207-I212</f>
        <v>372919.65074944729</v>
      </c>
      <c r="J214" s="119">
        <f>I214/I31</f>
        <v>9.6203440514814643E-3</v>
      </c>
      <c r="K214" s="134">
        <f>+K190+K195-K202-K207-K212</f>
        <v>90620.030249815769</v>
      </c>
      <c r="L214" s="119">
        <f>K214/K31</f>
        <v>6.47713978615735E-3</v>
      </c>
      <c r="M214" s="134">
        <f>+M190+M195-M202-M207-M212</f>
        <v>313593.15024981555</v>
      </c>
      <c r="N214" s="119">
        <f>M214/M31</f>
        <v>2.5931021485840856E-2</v>
      </c>
      <c r="O214" s="134">
        <f>+O190+O195-O202-O207-O212</f>
        <v>1033850.5202498161</v>
      </c>
      <c r="P214" s="119">
        <f>O214/O31</f>
        <v>4.8707579032620317E-2</v>
      </c>
      <c r="Q214" s="134">
        <f>+Q190+Q195-Q202-Q207-Q212</f>
        <v>1438063.7007494471</v>
      </c>
      <c r="R214" s="119">
        <f>Q214/Q31</f>
        <v>3.0396761390214438E-2</v>
      </c>
      <c r="S214" s="134">
        <f>+S190+S195-S202-S207-S212</f>
        <v>2272613.4002498155</v>
      </c>
      <c r="T214" s="119">
        <f>S214/S31</f>
        <v>0.15417977603983049</v>
      </c>
      <c r="U214" s="134">
        <f>+U190+U195-U202-U207-U212</f>
        <v>1143882.7402498163</v>
      </c>
      <c r="V214" s="119">
        <f>U214/U31</f>
        <v>9.9381439445252531E-2</v>
      </c>
      <c r="W214" s="134">
        <f>+W190+W195-W202-W207-W212</f>
        <v>-345969.84975018376</v>
      </c>
      <c r="X214" s="119">
        <f>W214/W31</f>
        <v>-1.7157321922628553E-2</v>
      </c>
      <c r="Y214" s="134">
        <f>+Y190+Y195-Y202-Y207-Y212</f>
        <v>3070526.2907494484</v>
      </c>
      <c r="Z214" s="119">
        <f>Y214/Y31</f>
        <v>6.6154310199645891E-2</v>
      </c>
      <c r="AA214" s="134">
        <f>+AA190+AA195-AA202-AA207-AA212</f>
        <v>-888121.90975018521</v>
      </c>
      <c r="AB214" s="119">
        <f>AA214/AA31</f>
        <v>-7.9613979931499032E-2</v>
      </c>
      <c r="AC214" s="134">
        <f>+AC190+AC195-AC202-AC207-AC212</f>
        <v>-293439.0297501841</v>
      </c>
      <c r="AD214" s="119">
        <f>AC214/AC31</f>
        <v>-2.1720059119095348E-2</v>
      </c>
      <c r="AE214" s="134">
        <f>+AE190+AE195-AE202-AE207-AE212</f>
        <v>3238021.250249817</v>
      </c>
      <c r="AF214" s="119">
        <f>AE214/AE31</f>
        <v>0.20146990697035763</v>
      </c>
      <c r="AG214" s="134">
        <f>+AG190+AG195-AG202-AG207-AG212</f>
        <v>2056460.3107494474</v>
      </c>
      <c r="AH214" s="119">
        <f>AG214/AG31</f>
        <v>5.0480913147541349E-2</v>
      </c>
      <c r="AI214" s="273">
        <f t="shared" si="35"/>
        <v>-0.33025803526094855</v>
      </c>
      <c r="AJ214" s="134">
        <f>+AJ190+AJ195-AJ202-AJ207-AJ212</f>
        <v>6937969.9529977906</v>
      </c>
      <c r="AK214" s="119">
        <f>AJ214/AJ31</f>
        <v>4.0051687933891737E-2</v>
      </c>
    </row>
    <row r="215" spans="1:37" s="66" customFormat="1" x14ac:dyDescent="0.2">
      <c r="A215" s="62"/>
      <c r="B215" s="62" t="s">
        <v>2</v>
      </c>
      <c r="C215" s="107"/>
      <c r="D215" s="119"/>
      <c r="E215" s="63"/>
      <c r="F215" s="119"/>
      <c r="G215" s="63"/>
      <c r="H215" s="119"/>
      <c r="I215" s="230"/>
      <c r="J215" s="119"/>
      <c r="K215" s="63"/>
      <c r="L215" s="119"/>
      <c r="M215" s="63"/>
      <c r="N215" s="119"/>
      <c r="O215" s="63"/>
      <c r="P215" s="119"/>
      <c r="Q215" s="230"/>
      <c r="R215" s="119"/>
      <c r="S215" s="63"/>
      <c r="T215" s="119"/>
      <c r="U215" s="63"/>
      <c r="V215" s="119"/>
      <c r="W215" s="63"/>
      <c r="X215" s="119"/>
      <c r="Y215" s="230"/>
      <c r="Z215" s="119"/>
      <c r="AA215" s="63"/>
      <c r="AB215" s="119"/>
      <c r="AC215" s="63"/>
      <c r="AD215" s="119"/>
      <c r="AE215" s="63"/>
      <c r="AF215" s="119"/>
      <c r="AG215" s="230"/>
      <c r="AH215" s="119"/>
      <c r="AI215" s="275"/>
      <c r="AJ215" s="230"/>
      <c r="AK215" s="119"/>
    </row>
    <row r="216" spans="1:37" s="66" customFormat="1" x14ac:dyDescent="0.2">
      <c r="A216" s="650" t="s">
        <v>192</v>
      </c>
      <c r="B216" s="650"/>
      <c r="C216" s="107"/>
      <c r="D216" s="119"/>
      <c r="E216" s="107"/>
      <c r="F216" s="119"/>
      <c r="G216" s="107"/>
      <c r="H216" s="119"/>
      <c r="I216" s="229"/>
      <c r="J216" s="119"/>
      <c r="K216" s="107"/>
      <c r="L216" s="119"/>
      <c r="M216" s="107"/>
      <c r="N216" s="119"/>
      <c r="O216" s="107"/>
      <c r="P216" s="119"/>
      <c r="Q216" s="229"/>
      <c r="R216" s="119"/>
      <c r="S216" s="107"/>
      <c r="T216" s="119"/>
      <c r="U216" s="107"/>
      <c r="V216" s="119"/>
      <c r="W216" s="107"/>
      <c r="X216" s="119"/>
      <c r="Y216" s="229"/>
      <c r="Z216" s="119"/>
      <c r="AA216" s="107"/>
      <c r="AB216" s="119"/>
      <c r="AC216" s="107"/>
      <c r="AD216" s="119"/>
      <c r="AE216" s="107"/>
      <c r="AF216" s="119"/>
      <c r="AG216" s="229"/>
      <c r="AH216" s="119"/>
      <c r="AI216" s="274"/>
      <c r="AJ216" s="229"/>
      <c r="AK216" s="119"/>
    </row>
    <row r="217" spans="1:37" s="66" customFormat="1" hidden="1" outlineLevel="1" x14ac:dyDescent="0.2">
      <c r="A217" s="62"/>
      <c r="B217" s="62" t="s">
        <v>2</v>
      </c>
      <c r="C217" s="107"/>
      <c r="D217" s="119"/>
      <c r="E217" s="107"/>
      <c r="F217" s="119"/>
      <c r="G217" s="107"/>
      <c r="H217" s="119"/>
      <c r="I217" s="229"/>
      <c r="J217" s="119"/>
      <c r="K217" s="107"/>
      <c r="L217" s="119"/>
      <c r="M217" s="107"/>
      <c r="N217" s="119"/>
      <c r="O217" s="107"/>
      <c r="P217" s="119"/>
      <c r="Q217" s="229"/>
      <c r="R217" s="119"/>
      <c r="S217" s="107"/>
      <c r="T217" s="119"/>
      <c r="U217" s="107"/>
      <c r="V217" s="119"/>
      <c r="W217" s="107"/>
      <c r="X217" s="119"/>
      <c r="Y217" s="229"/>
      <c r="Z217" s="119"/>
      <c r="AA217" s="107"/>
      <c r="AB217" s="119"/>
      <c r="AC217" s="107"/>
      <c r="AD217" s="119"/>
      <c r="AE217" s="107"/>
      <c r="AF217" s="119"/>
      <c r="AG217" s="229"/>
      <c r="AH217" s="119"/>
      <c r="AI217" s="274"/>
      <c r="AJ217" s="229"/>
      <c r="AK217" s="119"/>
    </row>
    <row r="218" spans="1:37" s="66" customFormat="1" hidden="1" outlineLevel="1" x14ac:dyDescent="0.2">
      <c r="A218" s="62">
        <v>81</v>
      </c>
      <c r="B218" s="62" t="s">
        <v>193</v>
      </c>
      <c r="C218" s="107"/>
      <c r="D218" s="119"/>
      <c r="E218" s="107"/>
      <c r="F218" s="119"/>
      <c r="G218" s="107"/>
      <c r="H218" s="119"/>
      <c r="I218" s="229"/>
      <c r="J218" s="119"/>
      <c r="K218" s="107"/>
      <c r="L218" s="119"/>
      <c r="M218" s="107"/>
      <c r="N218" s="119"/>
      <c r="O218" s="107"/>
      <c r="P218" s="119"/>
      <c r="Q218" s="229"/>
      <c r="R218" s="119"/>
      <c r="S218" s="107"/>
      <c r="T218" s="119"/>
      <c r="U218" s="107"/>
      <c r="V218" s="119"/>
      <c r="W218" s="107"/>
      <c r="X218" s="119"/>
      <c r="Y218" s="229"/>
      <c r="Z218" s="119"/>
      <c r="AA218" s="107"/>
      <c r="AB218" s="119"/>
      <c r="AC218" s="107"/>
      <c r="AD218" s="119"/>
      <c r="AE218" s="107"/>
      <c r="AF218" s="119"/>
      <c r="AG218" s="229"/>
      <c r="AH218" s="119"/>
      <c r="AI218" s="274"/>
      <c r="AJ218" s="229"/>
      <c r="AK218" s="119"/>
    </row>
    <row r="219" spans="1:37" s="66" customFormat="1" hidden="1" outlineLevel="1" x14ac:dyDescent="0.2">
      <c r="A219" s="62">
        <v>8101</v>
      </c>
      <c r="B219" s="62" t="s">
        <v>194</v>
      </c>
      <c r="C219" s="107"/>
      <c r="D219" s="119"/>
      <c r="E219" s="107"/>
      <c r="F219" s="119"/>
      <c r="G219" s="107"/>
      <c r="H219" s="119"/>
      <c r="I219" s="229"/>
      <c r="J219" s="119"/>
      <c r="K219" s="107"/>
      <c r="L219" s="119"/>
      <c r="M219" s="107"/>
      <c r="N219" s="119"/>
      <c r="O219" s="107"/>
      <c r="P219" s="119"/>
      <c r="Q219" s="229"/>
      <c r="R219" s="119"/>
      <c r="S219" s="107"/>
      <c r="T219" s="119"/>
      <c r="U219" s="107"/>
      <c r="V219" s="119"/>
      <c r="W219" s="107"/>
      <c r="X219" s="119"/>
      <c r="Y219" s="229"/>
      <c r="Z219" s="119"/>
      <c r="AA219" s="107"/>
      <c r="AB219" s="119"/>
      <c r="AC219" s="107"/>
      <c r="AD219" s="119"/>
      <c r="AE219" s="107"/>
      <c r="AF219" s="119"/>
      <c r="AG219" s="229"/>
      <c r="AH219" s="119"/>
      <c r="AI219" s="274"/>
      <c r="AJ219" s="229"/>
      <c r="AK219" s="119"/>
    </row>
    <row r="220" spans="1:37" s="66" customFormat="1" hidden="1" outlineLevel="1" x14ac:dyDescent="0.2">
      <c r="A220" s="62">
        <v>81010001</v>
      </c>
      <c r="B220" s="62" t="s">
        <v>195</v>
      </c>
      <c r="C220" s="107">
        <v>33973.61</v>
      </c>
      <c r="D220" s="119">
        <f>+C220/C223</f>
        <v>0.17975319973786441</v>
      </c>
      <c r="E220" s="107">
        <v>31619.479999999996</v>
      </c>
      <c r="F220" s="119">
        <f>+E220/E223</f>
        <v>0.17008822893714196</v>
      </c>
      <c r="G220" s="107">
        <v>12942.850000000006</v>
      </c>
      <c r="H220" s="119">
        <f>+G220/G223</f>
        <v>4.5225195817094381E-2</v>
      </c>
      <c r="I220" s="229">
        <f>+C220+E220+G220</f>
        <v>78535.94</v>
      </c>
      <c r="J220" s="119">
        <f>+I220/I223</f>
        <v>0.11879790573907802</v>
      </c>
      <c r="K220" s="107">
        <v>49712.789999999994</v>
      </c>
      <c r="L220" s="119">
        <f>+K220/K223</f>
        <v>0.14559057518667848</v>
      </c>
      <c r="M220" s="107">
        <v>56506.000000000015</v>
      </c>
      <c r="N220" s="119">
        <f>+M220/M223</f>
        <v>0.1439286662367435</v>
      </c>
      <c r="O220" s="107">
        <v>68773.959999999992</v>
      </c>
      <c r="P220" s="119">
        <f>+O220/O223</f>
        <v>0.15113813073708637</v>
      </c>
      <c r="Q220" s="229">
        <f>+K220+M220+O220</f>
        <v>174992.75</v>
      </c>
      <c r="R220" s="119">
        <f>+Q220/Q223</f>
        <v>0.14716480017947112</v>
      </c>
      <c r="S220" s="107">
        <v>86461.56</v>
      </c>
      <c r="T220" s="119">
        <f>+S220/S223</f>
        <v>0.32571311746922077</v>
      </c>
      <c r="U220" s="107">
        <v>43239.81</v>
      </c>
      <c r="V220" s="119">
        <f>+U220/U223</f>
        <v>0.40488859241042163</v>
      </c>
      <c r="W220" s="107">
        <v>32025.659999999974</v>
      </c>
      <c r="X220" s="119">
        <f>+W220/W223</f>
        <v>0.11814683181181299</v>
      </c>
      <c r="Y220" s="229">
        <f>+S220+U220+W220</f>
        <v>161727.02999999997</v>
      </c>
      <c r="Z220" s="119">
        <f>+Y220/Y223</f>
        <v>0.25139670119127655</v>
      </c>
      <c r="AA220" s="107">
        <v>48577.460000000021</v>
      </c>
      <c r="AB220" s="119">
        <f>+AA220/AA223</f>
        <v>0.1871399544122033</v>
      </c>
      <c r="AC220" s="107">
        <v>14925.090000000026</v>
      </c>
      <c r="AD220" s="119">
        <f>+AC220/AC223</f>
        <v>5.7841823544631077E-2</v>
      </c>
      <c r="AE220" s="107">
        <v>46562.179999999935</v>
      </c>
      <c r="AF220" s="119">
        <f>+AE220/AE223</f>
        <v>0.26793630457867695</v>
      </c>
      <c r="AG220" s="229">
        <f>+AA220+AC220+AE220</f>
        <v>110064.72999999998</v>
      </c>
      <c r="AH220" s="119">
        <f>+AG220/AG223</f>
        <v>0.1591929792173139</v>
      </c>
      <c r="AI220" s="273">
        <f t="shared" ref="AI220:AI223" si="36">+IFERROR(AG220/Y220-1,"0")</f>
        <v>-0.31944134508622335</v>
      </c>
      <c r="AJ220" s="229">
        <f>+I220+Q220+Y220+AG220</f>
        <v>525320.44999999995</v>
      </c>
      <c r="AK220" s="119">
        <f>+AJ220/AJ223</f>
        <v>0.16494156220468253</v>
      </c>
    </row>
    <row r="221" spans="1:37" s="66" customFormat="1" hidden="1" outlineLevel="1" x14ac:dyDescent="0.2">
      <c r="A221" s="62">
        <v>81010002</v>
      </c>
      <c r="B221" s="62" t="s">
        <v>196</v>
      </c>
      <c r="C221" s="107">
        <v>155027.81</v>
      </c>
      <c r="D221" s="119">
        <f>+C221/C223</f>
        <v>0.8202468002621357</v>
      </c>
      <c r="E221" s="107">
        <v>154280.97999999998</v>
      </c>
      <c r="F221" s="119">
        <f>+E221/E223</f>
        <v>0.82991177106285807</v>
      </c>
      <c r="G221" s="107">
        <v>273243.86000000004</v>
      </c>
      <c r="H221" s="119">
        <f>+G221/G223</f>
        <v>0.9547748041829055</v>
      </c>
      <c r="I221" s="229">
        <f>+C221+E221+G221</f>
        <v>582552.65</v>
      </c>
      <c r="J221" s="119">
        <f>+I221/I223</f>
        <v>0.88120209426092189</v>
      </c>
      <c r="K221" s="107">
        <v>291743.30999999994</v>
      </c>
      <c r="L221" s="119">
        <f>+K221/K223</f>
        <v>0.85440942481332161</v>
      </c>
      <c r="M221" s="107">
        <v>336091.26</v>
      </c>
      <c r="N221" s="119">
        <f>+M221/M223</f>
        <v>0.8560713337632565</v>
      </c>
      <c r="O221" s="107">
        <v>386266.47</v>
      </c>
      <c r="P221" s="119">
        <f>+O221/O223</f>
        <v>0.84886186926291374</v>
      </c>
      <c r="Q221" s="229">
        <f>+K221+M221+O221</f>
        <v>1014101.0399999999</v>
      </c>
      <c r="R221" s="119">
        <f>+Q221/Q223</f>
        <v>0.8528351998205288</v>
      </c>
      <c r="S221" s="107">
        <v>178991.55000000005</v>
      </c>
      <c r="T221" s="119">
        <f>+S221/S223</f>
        <v>0.67428688253077917</v>
      </c>
      <c r="U221" s="107">
        <v>63554.530000000028</v>
      </c>
      <c r="V221" s="119">
        <f>+U221/U223</f>
        <v>0.59511140758957837</v>
      </c>
      <c r="W221" s="107">
        <v>239040.93999999994</v>
      </c>
      <c r="X221" s="119">
        <f>+W221/W223</f>
        <v>0.88185316818818704</v>
      </c>
      <c r="Y221" s="229">
        <f>+S221+U221+W221</f>
        <v>481587.02</v>
      </c>
      <c r="Z221" s="119">
        <f>+Y221/Y223</f>
        <v>0.74860329880872334</v>
      </c>
      <c r="AA221" s="107">
        <v>211000.78000000026</v>
      </c>
      <c r="AB221" s="119">
        <f>+AA221/AA223</f>
        <v>0.81286004558779668</v>
      </c>
      <c r="AC221" s="107">
        <v>243107.75</v>
      </c>
      <c r="AD221" s="119">
        <f>+AC221/AC223</f>
        <v>0.94215817645536892</v>
      </c>
      <c r="AE221" s="107">
        <v>127218.59999999963</v>
      </c>
      <c r="AF221" s="119">
        <f>+AE221/AE223</f>
        <v>0.7320636954213231</v>
      </c>
      <c r="AG221" s="229">
        <f>+AA221+AC221+AE221</f>
        <v>581327.12999999989</v>
      </c>
      <c r="AH221" s="119">
        <f>+AG221/AG223</f>
        <v>0.8408070207826861</v>
      </c>
      <c r="AI221" s="273">
        <f t="shared" si="36"/>
        <v>0.20710713922480695</v>
      </c>
      <c r="AJ221" s="229">
        <f>+I221+Q221+Y221+AG221</f>
        <v>2659567.84</v>
      </c>
      <c r="AK221" s="119">
        <f>+AJ221/AJ223</f>
        <v>0.83505843779531741</v>
      </c>
    </row>
    <row r="222" spans="1:37" s="66" customFormat="1" hidden="1" outlineLevel="1" x14ac:dyDescent="0.2">
      <c r="A222" s="62"/>
      <c r="B222" s="62" t="s">
        <v>2</v>
      </c>
      <c r="C222" s="107" t="s">
        <v>264</v>
      </c>
      <c r="D222" s="119"/>
      <c r="E222" s="63" t="s">
        <v>264</v>
      </c>
      <c r="F222" s="119"/>
      <c r="G222" s="63" t="s">
        <v>264</v>
      </c>
      <c r="H222" s="119"/>
      <c r="I222" s="230" t="s">
        <v>264</v>
      </c>
      <c r="J222" s="119"/>
      <c r="K222" s="63" t="s">
        <v>264</v>
      </c>
      <c r="L222" s="119"/>
      <c r="M222" s="63" t="s">
        <v>264</v>
      </c>
      <c r="N222" s="119"/>
      <c r="O222" s="63" t="s">
        <v>264</v>
      </c>
      <c r="P222" s="119"/>
      <c r="Q222" s="230" t="s">
        <v>264</v>
      </c>
      <c r="R222" s="119"/>
      <c r="S222" s="63" t="s">
        <v>264</v>
      </c>
      <c r="T222" s="119"/>
      <c r="U222" s="63" t="s">
        <v>264</v>
      </c>
      <c r="V222" s="119"/>
      <c r="W222" s="63" t="s">
        <v>264</v>
      </c>
      <c r="X222" s="119"/>
      <c r="Y222" s="230" t="s">
        <v>264</v>
      </c>
      <c r="Z222" s="119"/>
      <c r="AA222" s="63" t="s">
        <v>264</v>
      </c>
      <c r="AB222" s="119"/>
      <c r="AC222" s="63" t="s">
        <v>264</v>
      </c>
      <c r="AD222" s="119"/>
      <c r="AE222" s="63" t="s">
        <v>264</v>
      </c>
      <c r="AF222" s="119"/>
      <c r="AG222" s="230" t="s">
        <v>264</v>
      </c>
      <c r="AH222" s="119"/>
      <c r="AI222" s="275"/>
      <c r="AJ222" s="230" t="s">
        <v>264</v>
      </c>
      <c r="AK222" s="119"/>
    </row>
    <row r="223" spans="1:37" s="66" customFormat="1" collapsed="1" x14ac:dyDescent="0.2">
      <c r="A223" s="64" t="s">
        <v>197</v>
      </c>
      <c r="B223" s="64" t="s">
        <v>194</v>
      </c>
      <c r="C223" s="108">
        <f>SUM(C220:C222)</f>
        <v>189001.41999999998</v>
      </c>
      <c r="D223" s="119">
        <f>C223/C31</f>
        <v>1.7529122914099783E-2</v>
      </c>
      <c r="E223" s="108">
        <f>SUM(E220:E222)</f>
        <v>185900.45999999996</v>
      </c>
      <c r="F223" s="119">
        <f>E223/E31</f>
        <v>1.4454068130289032E-2</v>
      </c>
      <c r="G223" s="108">
        <f>SUM(G220:G222)</f>
        <v>286186.71000000008</v>
      </c>
      <c r="H223" s="119">
        <f>G223/G31</f>
        <v>1.8927630607524587E-2</v>
      </c>
      <c r="I223" s="231">
        <f>SUM(I220:I222)</f>
        <v>661088.59000000008</v>
      </c>
      <c r="J223" s="119">
        <f>I223/I31</f>
        <v>1.7054343131362046E-2</v>
      </c>
      <c r="K223" s="108">
        <f>SUM(K220:K222)</f>
        <v>341456.09999999992</v>
      </c>
      <c r="L223" s="119">
        <f>K223/K31</f>
        <v>2.4405850278786664E-2</v>
      </c>
      <c r="M223" s="108">
        <f>SUM(M220:M222)</f>
        <v>392597.26</v>
      </c>
      <c r="N223" s="119">
        <f>M223/M31</f>
        <v>3.2463872301522749E-2</v>
      </c>
      <c r="O223" s="108">
        <f>SUM(O220:O222)</f>
        <v>455040.42999999993</v>
      </c>
      <c r="P223" s="119">
        <f>O223/O31</f>
        <v>2.1438222715124151E-2</v>
      </c>
      <c r="Q223" s="231">
        <f>SUM(Q220:Q222)</f>
        <v>1189093.79</v>
      </c>
      <c r="R223" s="119">
        <f>Q223/Q31</f>
        <v>2.5134213586212484E-2</v>
      </c>
      <c r="S223" s="108">
        <f>SUM(S220:S222)</f>
        <v>265453.11000000004</v>
      </c>
      <c r="T223" s="119">
        <f>S223/S31</f>
        <v>1.8009002782601549E-2</v>
      </c>
      <c r="U223" s="108">
        <f>SUM(U220:U222)</f>
        <v>106794.34000000003</v>
      </c>
      <c r="V223" s="119">
        <f>U223/U31</f>
        <v>9.2783769352860618E-3</v>
      </c>
      <c r="W223" s="108">
        <f>SUM(W220:W222)</f>
        <v>271066.59999999992</v>
      </c>
      <c r="X223" s="119">
        <f>W223/W31</f>
        <v>1.3442723179579359E-2</v>
      </c>
      <c r="Y223" s="231">
        <f>SUM(Y220:Y222)</f>
        <v>643314.05000000005</v>
      </c>
      <c r="Z223" s="119">
        <f>Y223/Y31</f>
        <v>1.3860163760103494E-2</v>
      </c>
      <c r="AA223" s="108">
        <f>SUM(AA220:AA222)</f>
        <v>259578.24000000028</v>
      </c>
      <c r="AB223" s="119">
        <f>AA223/AA31</f>
        <v>2.326939191920949E-2</v>
      </c>
      <c r="AC223" s="108">
        <f>SUM(AC220:AC222)</f>
        <v>258032.84000000003</v>
      </c>
      <c r="AD223" s="119">
        <f>AC223/AC31</f>
        <v>1.9099328893771861E-2</v>
      </c>
      <c r="AE223" s="108">
        <f>SUM(AE220:AE222)</f>
        <v>173780.77999999956</v>
      </c>
      <c r="AF223" s="119">
        <f>AE223/AE31</f>
        <v>1.0812652195267376E-2</v>
      </c>
      <c r="AG223" s="231">
        <f>SUM(AG220:AG222)</f>
        <v>691391.85999999987</v>
      </c>
      <c r="AH223" s="119">
        <f>AG223/AG31</f>
        <v>1.6971926106785641E-2</v>
      </c>
      <c r="AI223" s="273">
        <f t="shared" si="36"/>
        <v>7.4734587251747087E-2</v>
      </c>
      <c r="AJ223" s="231">
        <f>SUM(AJ220:AJ222)</f>
        <v>3184888.29</v>
      </c>
      <c r="AK223" s="119">
        <f>AJ223/AJ31</f>
        <v>1.8385803449648741E-2</v>
      </c>
    </row>
    <row r="224" spans="1:37" s="66" customFormat="1" hidden="1" outlineLevel="1" x14ac:dyDescent="0.2">
      <c r="A224" s="62"/>
      <c r="B224" s="62" t="s">
        <v>2</v>
      </c>
      <c r="C224" s="107"/>
      <c r="D224" s="119"/>
      <c r="E224" s="63"/>
      <c r="F224" s="119"/>
      <c r="G224" s="63"/>
      <c r="H224" s="119"/>
      <c r="I224" s="230"/>
      <c r="J224" s="119"/>
      <c r="K224" s="63"/>
      <c r="L224" s="119"/>
      <c r="M224" s="63"/>
      <c r="N224" s="119"/>
      <c r="O224" s="63"/>
      <c r="P224" s="119"/>
      <c r="Q224" s="230"/>
      <c r="R224" s="119"/>
      <c r="S224" s="63"/>
      <c r="T224" s="119"/>
      <c r="U224" s="63"/>
      <c r="V224" s="119"/>
      <c r="W224" s="63"/>
      <c r="X224" s="119"/>
      <c r="Y224" s="230"/>
      <c r="Z224" s="119"/>
      <c r="AA224" s="63"/>
      <c r="AB224" s="119"/>
      <c r="AC224" s="63"/>
      <c r="AD224" s="119"/>
      <c r="AE224" s="63"/>
      <c r="AF224" s="119"/>
      <c r="AG224" s="230"/>
      <c r="AH224" s="119"/>
      <c r="AI224" s="275"/>
      <c r="AJ224" s="230"/>
      <c r="AK224" s="119"/>
    </row>
    <row r="225" spans="1:37" s="66" customFormat="1" hidden="1" outlineLevel="1" x14ac:dyDescent="0.2">
      <c r="A225" s="62">
        <v>8103</v>
      </c>
      <c r="B225" s="62" t="s">
        <v>198</v>
      </c>
      <c r="C225" s="107"/>
      <c r="D225" s="119"/>
      <c r="E225" s="107"/>
      <c r="F225" s="119"/>
      <c r="G225" s="107"/>
      <c r="H225" s="119"/>
      <c r="I225" s="229"/>
      <c r="J225" s="119"/>
      <c r="K225" s="107"/>
      <c r="L225" s="119"/>
      <c r="M225" s="107"/>
      <c r="N225" s="119"/>
      <c r="O225" s="107"/>
      <c r="P225" s="119"/>
      <c r="Q225" s="229"/>
      <c r="R225" s="119"/>
      <c r="S225" s="107"/>
      <c r="T225" s="119"/>
      <c r="U225" s="107"/>
      <c r="V225" s="119"/>
      <c r="W225" s="107"/>
      <c r="X225" s="119"/>
      <c r="Y225" s="229"/>
      <c r="Z225" s="119"/>
      <c r="AA225" s="107"/>
      <c r="AB225" s="119"/>
      <c r="AC225" s="107"/>
      <c r="AD225" s="119"/>
      <c r="AE225" s="107"/>
      <c r="AF225" s="119"/>
      <c r="AG225" s="229"/>
      <c r="AH225" s="119"/>
      <c r="AI225" s="274"/>
      <c r="AJ225" s="229"/>
      <c r="AK225" s="119"/>
    </row>
    <row r="226" spans="1:37" s="66" customFormat="1" hidden="1" outlineLevel="1" x14ac:dyDescent="0.2">
      <c r="A226" s="62">
        <v>81030001</v>
      </c>
      <c r="B226" s="62" t="s">
        <v>199</v>
      </c>
      <c r="C226" s="107">
        <v>0</v>
      </c>
      <c r="D226" s="119">
        <f>+C226/C230</f>
        <v>0</v>
      </c>
      <c r="E226" s="107">
        <v>0</v>
      </c>
      <c r="F226" s="119">
        <f>+E226/E230</f>
        <v>0</v>
      </c>
      <c r="G226" s="107">
        <v>0</v>
      </c>
      <c r="H226" s="119">
        <f>+G226/G230</f>
        <v>0</v>
      </c>
      <c r="I226" s="229">
        <f>+C226+E226+G226</f>
        <v>0</v>
      </c>
      <c r="J226" s="119">
        <f>+I226/I230</f>
        <v>0</v>
      </c>
      <c r="K226" s="107">
        <v>0</v>
      </c>
      <c r="L226" s="119">
        <f>+K226/K230</f>
        <v>0</v>
      </c>
      <c r="M226" s="107">
        <v>0</v>
      </c>
      <c r="N226" s="119">
        <f>+M226/M230</f>
        <v>0</v>
      </c>
      <c r="O226" s="107">
        <v>0</v>
      </c>
      <c r="P226" s="119">
        <f>+O226/O230</f>
        <v>0</v>
      </c>
      <c r="Q226" s="229">
        <f>+K226+M226+O226</f>
        <v>0</v>
      </c>
      <c r="R226" s="119">
        <f>+Q226/Q230</f>
        <v>0</v>
      </c>
      <c r="S226" s="107">
        <v>0</v>
      </c>
      <c r="T226" s="119">
        <f>+S226/S230</f>
        <v>0</v>
      </c>
      <c r="U226" s="107">
        <v>0</v>
      </c>
      <c r="V226" s="119">
        <f>+U226/U230</f>
        <v>0</v>
      </c>
      <c r="W226" s="107">
        <v>0</v>
      </c>
      <c r="X226" s="119">
        <f>+W226/W230</f>
        <v>0</v>
      </c>
      <c r="Y226" s="229">
        <f>+S226+U226+W226</f>
        <v>0</v>
      </c>
      <c r="Z226" s="119">
        <f>+Y226/Y230</f>
        <v>0</v>
      </c>
      <c r="AA226" s="107">
        <v>0</v>
      </c>
      <c r="AB226" s="119">
        <f>+AA226/AA230</f>
        <v>0</v>
      </c>
      <c r="AC226" s="107">
        <v>19465.75</v>
      </c>
      <c r="AD226" s="119">
        <f>+AC226/AC230</f>
        <v>0.28174005448163636</v>
      </c>
      <c r="AE226" s="107">
        <v>2256.6799999999998</v>
      </c>
      <c r="AF226" s="119">
        <f>+AE226/AE230</f>
        <v>9.1998538903329527E-2</v>
      </c>
      <c r="AG226" s="229">
        <f>+AA226+AC226+AE226</f>
        <v>21722.43</v>
      </c>
      <c r="AH226" s="119">
        <f>+AG226/AG230</f>
        <v>2.8077782785772262E-2</v>
      </c>
      <c r="AI226" s="273" t="str">
        <f t="shared" ref="AI226:AI230" si="37">+IFERROR(AG226/Y226-1,"0")</f>
        <v>0</v>
      </c>
      <c r="AJ226" s="229">
        <f>+I226+Q226+Y226+AG226</f>
        <v>21722.43</v>
      </c>
      <c r="AK226" s="119">
        <f>+AJ226/AJ230</f>
        <v>8.894662092673887E-3</v>
      </c>
    </row>
    <row r="227" spans="1:37" s="66" customFormat="1" hidden="1" outlineLevel="1" x14ac:dyDescent="0.2">
      <c r="A227" s="62">
        <v>81030002</v>
      </c>
      <c r="B227" s="62" t="s">
        <v>200</v>
      </c>
      <c r="C227" s="107">
        <v>141114.26</v>
      </c>
      <c r="D227" s="119">
        <f>+C227/C230</f>
        <v>1</v>
      </c>
      <c r="E227" s="107">
        <v>166558.15</v>
      </c>
      <c r="F227" s="119">
        <f>+E227/E230</f>
        <v>1</v>
      </c>
      <c r="G227" s="107">
        <v>83233.42</v>
      </c>
      <c r="H227" s="119">
        <f>+G227/G230</f>
        <v>1</v>
      </c>
      <c r="I227" s="229">
        <f>+C227+E227+G227</f>
        <v>390905.83</v>
      </c>
      <c r="J227" s="119">
        <f>+I227/I230</f>
        <v>1</v>
      </c>
      <c r="K227" s="107">
        <v>44034.39</v>
      </c>
      <c r="L227" s="119">
        <f>+K227/K230</f>
        <v>0.10278862505033293</v>
      </c>
      <c r="M227" s="107">
        <v>102235.11</v>
      </c>
      <c r="N227" s="119">
        <f>+M227/M230</f>
        <v>1</v>
      </c>
      <c r="O227" s="107">
        <v>43670.07</v>
      </c>
      <c r="P227" s="119">
        <f>+O227/O230</f>
        <v>1</v>
      </c>
      <c r="Q227" s="229">
        <f>+K227+M227+O227</f>
        <v>189939.57</v>
      </c>
      <c r="R227" s="119">
        <f>+Q227/Q230</f>
        <v>0.33073077423215236</v>
      </c>
      <c r="S227" s="107">
        <v>144502.9</v>
      </c>
      <c r="T227" s="119">
        <f>+S227/S230</f>
        <v>0.23264627638914531</v>
      </c>
      <c r="U227" s="107">
        <v>86633.299999999901</v>
      </c>
      <c r="V227" s="119">
        <f>+U227/U230</f>
        <v>1</v>
      </c>
      <c r="W227" s="107">
        <v>-4433.5699999999497</v>
      </c>
      <c r="X227" s="119">
        <f>+W227/W230</f>
        <v>1</v>
      </c>
      <c r="Y227" s="229">
        <f>+S227+U227+W227</f>
        <v>226702.62999999995</v>
      </c>
      <c r="Z227" s="119">
        <f>+Y227/Y230</f>
        <v>0.32232900836424827</v>
      </c>
      <c r="AA227" s="107">
        <v>9025.6899999999405</v>
      </c>
      <c r="AB227" s="119">
        <f>+AA227/AA230</f>
        <v>1.3272464362334107E-2</v>
      </c>
      <c r="AC227" s="107">
        <v>49625.42</v>
      </c>
      <c r="AD227" s="119">
        <f>+AC227/AC230</f>
        <v>0.71825994551836359</v>
      </c>
      <c r="AE227" s="107">
        <v>22272.84</v>
      </c>
      <c r="AF227" s="119">
        <f>+AE227/AE230</f>
        <v>0.90800146109667046</v>
      </c>
      <c r="AG227" s="229">
        <f>+AA227+AC227+AE227</f>
        <v>80923.949999999939</v>
      </c>
      <c r="AH227" s="119">
        <f>+AG227/AG230</f>
        <v>0.10459994992579989</v>
      </c>
      <c r="AI227" s="273">
        <f t="shared" si="37"/>
        <v>-0.64303920955835425</v>
      </c>
      <c r="AJ227" s="229">
        <f>+I227+Q227+Y227+AG227</f>
        <v>888471.98</v>
      </c>
      <c r="AK227" s="119">
        <f>+AJ227/AJ230</f>
        <v>0.36380174966193524</v>
      </c>
    </row>
    <row r="228" spans="1:37" s="66" customFormat="1" hidden="1" outlineLevel="1" x14ac:dyDescent="0.2">
      <c r="A228" s="62">
        <v>81030003</v>
      </c>
      <c r="B228" s="62" t="s">
        <v>201</v>
      </c>
      <c r="C228" s="107">
        <v>0</v>
      </c>
      <c r="D228" s="119">
        <f>+C228/C230</f>
        <v>0</v>
      </c>
      <c r="E228" s="107">
        <v>0</v>
      </c>
      <c r="F228" s="119">
        <f>+E228/E230</f>
        <v>0</v>
      </c>
      <c r="G228" s="107">
        <v>0</v>
      </c>
      <c r="H228" s="119">
        <f>+G228/G230</f>
        <v>0</v>
      </c>
      <c r="I228" s="229">
        <f>+C228+E228+G228</f>
        <v>0</v>
      </c>
      <c r="J228" s="119">
        <f>+I228/I230</f>
        <v>0</v>
      </c>
      <c r="K228" s="107">
        <v>384363.11</v>
      </c>
      <c r="L228" s="119">
        <f>+K228/K230</f>
        <v>0.89721137494966707</v>
      </c>
      <c r="M228" s="107">
        <v>0</v>
      </c>
      <c r="N228" s="119">
        <f>+M228/M230</f>
        <v>0</v>
      </c>
      <c r="O228" s="107">
        <v>0</v>
      </c>
      <c r="P228" s="119">
        <f>+O228/O230</f>
        <v>0</v>
      </c>
      <c r="Q228" s="229">
        <f>+K228+M228+O228</f>
        <v>384363.11</v>
      </c>
      <c r="R228" s="119">
        <f>+Q228/Q230</f>
        <v>0.66926922576784775</v>
      </c>
      <c r="S228" s="107">
        <v>476624.17</v>
      </c>
      <c r="T228" s="119">
        <f>+S228/S230</f>
        <v>0.76735372361085474</v>
      </c>
      <c r="U228" s="107">
        <v>0</v>
      </c>
      <c r="V228" s="119">
        <f>+U228/U230</f>
        <v>0</v>
      </c>
      <c r="W228" s="107">
        <v>0</v>
      </c>
      <c r="X228" s="119">
        <f>+W228/W230</f>
        <v>0</v>
      </c>
      <c r="Y228" s="229">
        <f>+S228+U228+W228</f>
        <v>476624.17</v>
      </c>
      <c r="Z228" s="119">
        <f>+Y228/Y230</f>
        <v>0.67767099163575173</v>
      </c>
      <c r="AA228" s="107">
        <v>671005.52</v>
      </c>
      <c r="AB228" s="119">
        <f>+AA228/AA230</f>
        <v>0.98672753563766591</v>
      </c>
      <c r="AC228" s="107">
        <v>0</v>
      </c>
      <c r="AD228" s="119">
        <f>+AC228/AC230</f>
        <v>0</v>
      </c>
      <c r="AE228" s="107">
        <v>0</v>
      </c>
      <c r="AF228" s="119">
        <f>+AE228/AE230</f>
        <v>0</v>
      </c>
      <c r="AG228" s="229">
        <f>+AA228+AC228+AE228</f>
        <v>671005.52</v>
      </c>
      <c r="AH228" s="119">
        <f>+AG228/AG230</f>
        <v>0.86732226728842787</v>
      </c>
      <c r="AI228" s="273">
        <f t="shared" si="37"/>
        <v>0.40782940151776192</v>
      </c>
      <c r="AJ228" s="229">
        <f>+I228+Q228+Y228+AG228</f>
        <v>1531992.8</v>
      </c>
      <c r="AK228" s="119">
        <f>+AJ228/AJ230</f>
        <v>0.6273035882453909</v>
      </c>
    </row>
    <row r="229" spans="1:37" s="66" customFormat="1" hidden="1" outlineLevel="1" x14ac:dyDescent="0.2">
      <c r="A229" s="62"/>
      <c r="B229" s="62" t="s">
        <v>2</v>
      </c>
      <c r="C229" s="107" t="s">
        <v>264</v>
      </c>
      <c r="D229" s="119"/>
      <c r="E229" s="63" t="s">
        <v>264</v>
      </c>
      <c r="F229" s="119"/>
      <c r="G229" s="63" t="s">
        <v>264</v>
      </c>
      <c r="H229" s="119"/>
      <c r="I229" s="230" t="s">
        <v>264</v>
      </c>
      <c r="J229" s="119"/>
      <c r="K229" s="63" t="s">
        <v>264</v>
      </c>
      <c r="L229" s="119"/>
      <c r="M229" s="63" t="s">
        <v>264</v>
      </c>
      <c r="N229" s="119"/>
      <c r="O229" s="63" t="s">
        <v>264</v>
      </c>
      <c r="P229" s="119"/>
      <c r="Q229" s="230" t="s">
        <v>264</v>
      </c>
      <c r="R229" s="119"/>
      <c r="S229" s="63" t="s">
        <v>264</v>
      </c>
      <c r="T229" s="119"/>
      <c r="U229" s="63" t="s">
        <v>264</v>
      </c>
      <c r="V229" s="119"/>
      <c r="W229" s="63" t="s">
        <v>264</v>
      </c>
      <c r="X229" s="119"/>
      <c r="Y229" s="230" t="s">
        <v>264</v>
      </c>
      <c r="Z229" s="119"/>
      <c r="AA229" s="63" t="s">
        <v>264</v>
      </c>
      <c r="AB229" s="119"/>
      <c r="AC229" s="63" t="s">
        <v>264</v>
      </c>
      <c r="AD229" s="119"/>
      <c r="AE229" s="63" t="s">
        <v>264</v>
      </c>
      <c r="AF229" s="119"/>
      <c r="AG229" s="230" t="s">
        <v>264</v>
      </c>
      <c r="AH229" s="119"/>
      <c r="AI229" s="275"/>
      <c r="AJ229" s="230" t="s">
        <v>264</v>
      </c>
      <c r="AK229" s="119"/>
    </row>
    <row r="230" spans="1:37" s="66" customFormat="1" collapsed="1" x14ac:dyDescent="0.2">
      <c r="A230" s="64" t="s">
        <v>202</v>
      </c>
      <c r="B230" s="64" t="s">
        <v>198</v>
      </c>
      <c r="C230" s="108">
        <f>SUM(C226:C229)</f>
        <v>141114.26</v>
      </c>
      <c r="D230" s="119">
        <f>C230/C31</f>
        <v>1.3087781078429119E-2</v>
      </c>
      <c r="E230" s="108">
        <f>SUM(E226:E229)</f>
        <v>166558.15</v>
      </c>
      <c r="F230" s="119">
        <f>E230/E31</f>
        <v>1.2950171547477077E-2</v>
      </c>
      <c r="G230" s="108">
        <f>SUM(G226:G229)</f>
        <v>83233.42</v>
      </c>
      <c r="H230" s="119">
        <f>G230/G31</f>
        <v>5.5048378310821938E-3</v>
      </c>
      <c r="I230" s="231">
        <f>SUM(I226:I229)</f>
        <v>390905.83</v>
      </c>
      <c r="J230" s="119">
        <f>I230/I31</f>
        <v>1.008434006835586E-2</v>
      </c>
      <c r="K230" s="108">
        <f>SUM(K226:K229)</f>
        <v>428397.5</v>
      </c>
      <c r="L230" s="119">
        <f>K230/K31</f>
        <v>3.0620056999440079E-2</v>
      </c>
      <c r="M230" s="108">
        <f>SUM(M226:M229)</f>
        <v>102235.11</v>
      </c>
      <c r="N230" s="119">
        <f>M230/M31</f>
        <v>8.4538225146353063E-3</v>
      </c>
      <c r="O230" s="108">
        <f>SUM(O226:O229)</f>
        <v>43670.07</v>
      </c>
      <c r="P230" s="119">
        <f>O230/O31</f>
        <v>2.0574186927633264E-3</v>
      </c>
      <c r="Q230" s="231">
        <f>SUM(Q226:Q229)</f>
        <v>574302.67999999993</v>
      </c>
      <c r="R230" s="119">
        <f>Q230/Q31</f>
        <v>1.2139199063729227E-2</v>
      </c>
      <c r="S230" s="108">
        <f>SUM(S226:S229)</f>
        <v>621127.06999999995</v>
      </c>
      <c r="T230" s="119">
        <f>S230/S31</f>
        <v>4.2138813638232173E-2</v>
      </c>
      <c r="U230" s="108">
        <f>SUM(U226:U229)</f>
        <v>86633.299999999901</v>
      </c>
      <c r="V230" s="119">
        <f>U230/U31</f>
        <v>7.5267697946138053E-3</v>
      </c>
      <c r="W230" s="108">
        <f>SUM(W226:W229)</f>
        <v>-4433.5699999999497</v>
      </c>
      <c r="X230" s="119">
        <f>W230/W31</f>
        <v>-2.1986941293131282E-4</v>
      </c>
      <c r="Y230" s="231">
        <f>SUM(Y226:Y229)</f>
        <v>703326.79999999993</v>
      </c>
      <c r="Z230" s="119">
        <f>Y230/Y31</f>
        <v>1.5153134965526643E-2</v>
      </c>
      <c r="AA230" s="108">
        <f>SUM(AA226:AA229)</f>
        <v>680031.21</v>
      </c>
      <c r="AB230" s="119">
        <f>AA230/AA31</f>
        <v>6.0960089500507575E-2</v>
      </c>
      <c r="AC230" s="108">
        <f>SUM(AC226:AC229)</f>
        <v>69091.17</v>
      </c>
      <c r="AD230" s="119">
        <f>AC230/AC31</f>
        <v>5.1140582705887488E-3</v>
      </c>
      <c r="AE230" s="108">
        <f>SUM(AE226:AE229)</f>
        <v>24529.52</v>
      </c>
      <c r="AF230" s="119">
        <f>AE230/AE31</f>
        <v>1.5262284372118463E-3</v>
      </c>
      <c r="AG230" s="231">
        <f>SUM(AG226:AG229)</f>
        <v>773651.89999999991</v>
      </c>
      <c r="AH230" s="119">
        <f>AG230/AG31</f>
        <v>1.8991202585425745E-2</v>
      </c>
      <c r="AI230" s="273">
        <f t="shared" si="37"/>
        <v>9.9989222648703358E-2</v>
      </c>
      <c r="AJ230" s="231">
        <f>SUM(AJ226:AJ229)</f>
        <v>2442187.21</v>
      </c>
      <c r="AK230" s="119">
        <f>AJ230/AJ31</f>
        <v>1.4098319922645083E-2</v>
      </c>
    </row>
    <row r="231" spans="1:37" s="66" customFormat="1" hidden="1" outlineLevel="1" x14ac:dyDescent="0.2">
      <c r="A231" s="62"/>
      <c r="B231" s="62" t="s">
        <v>2</v>
      </c>
      <c r="C231" s="107"/>
      <c r="D231" s="119"/>
      <c r="E231" s="63"/>
      <c r="F231" s="119"/>
      <c r="G231" s="63"/>
      <c r="H231" s="119"/>
      <c r="I231" s="230"/>
      <c r="J231" s="119"/>
      <c r="K231" s="63"/>
      <c r="L231" s="119"/>
      <c r="M231" s="63"/>
      <c r="N231" s="119"/>
      <c r="O231" s="63"/>
      <c r="P231" s="119"/>
      <c r="Q231" s="230"/>
      <c r="R231" s="119"/>
      <c r="S231" s="63"/>
      <c r="T231" s="119"/>
      <c r="U231" s="63"/>
      <c r="V231" s="119"/>
      <c r="W231" s="63"/>
      <c r="X231" s="119"/>
      <c r="Y231" s="230"/>
      <c r="Z231" s="119"/>
      <c r="AA231" s="63"/>
      <c r="AB231" s="119"/>
      <c r="AC231" s="63"/>
      <c r="AD231" s="119"/>
      <c r="AE231" s="63"/>
      <c r="AF231" s="119"/>
      <c r="AG231" s="230"/>
      <c r="AH231" s="119"/>
      <c r="AI231" s="275"/>
      <c r="AJ231" s="230"/>
      <c r="AK231" s="119"/>
    </row>
    <row r="232" spans="1:37" s="66" customFormat="1" hidden="1" outlineLevel="1" x14ac:dyDescent="0.2">
      <c r="A232" s="62">
        <v>8104</v>
      </c>
      <c r="B232" s="62" t="s">
        <v>203</v>
      </c>
      <c r="C232" s="107"/>
      <c r="D232" s="119"/>
      <c r="E232" s="107"/>
      <c r="F232" s="119"/>
      <c r="G232" s="107"/>
      <c r="H232" s="119"/>
      <c r="I232" s="229"/>
      <c r="J232" s="119"/>
      <c r="K232" s="107"/>
      <c r="L232" s="119"/>
      <c r="M232" s="107"/>
      <c r="N232" s="119"/>
      <c r="O232" s="107"/>
      <c r="P232" s="119"/>
      <c r="Q232" s="229"/>
      <c r="R232" s="119"/>
      <c r="S232" s="107"/>
      <c r="T232" s="119"/>
      <c r="U232" s="107"/>
      <c r="V232" s="119"/>
      <c r="W232" s="107"/>
      <c r="X232" s="119"/>
      <c r="Y232" s="229"/>
      <c r="Z232" s="119"/>
      <c r="AA232" s="107"/>
      <c r="AB232" s="119"/>
      <c r="AC232" s="107"/>
      <c r="AD232" s="119"/>
      <c r="AE232" s="107"/>
      <c r="AF232" s="119"/>
      <c r="AG232" s="229"/>
      <c r="AH232" s="119"/>
      <c r="AI232" s="274"/>
      <c r="AJ232" s="229"/>
      <c r="AK232" s="119"/>
    </row>
    <row r="233" spans="1:37" s="66" customFormat="1" hidden="1" outlineLevel="1" x14ac:dyDescent="0.2">
      <c r="A233" s="62">
        <v>81040001</v>
      </c>
      <c r="B233" s="62" t="s">
        <v>203</v>
      </c>
      <c r="C233" s="107">
        <v>0</v>
      </c>
      <c r="D233" s="119"/>
      <c r="E233" s="107">
        <v>0</v>
      </c>
      <c r="F233" s="119"/>
      <c r="G233" s="107">
        <v>0</v>
      </c>
      <c r="H233" s="119"/>
      <c r="I233" s="229">
        <f>+C233+E233+G233</f>
        <v>0</v>
      </c>
      <c r="J233" s="119"/>
      <c r="K233" s="107">
        <v>0</v>
      </c>
      <c r="L233" s="119"/>
      <c r="M233" s="107">
        <v>0</v>
      </c>
      <c r="N233" s="119"/>
      <c r="O233" s="107">
        <v>0</v>
      </c>
      <c r="P233" s="119"/>
      <c r="Q233" s="229">
        <f>+K233+M233+O233</f>
        <v>0</v>
      </c>
      <c r="R233" s="119"/>
      <c r="S233" s="107">
        <v>0</v>
      </c>
      <c r="T233" s="119"/>
      <c r="U233" s="107">
        <v>0</v>
      </c>
      <c r="V233" s="119"/>
      <c r="W233" s="107">
        <v>0</v>
      </c>
      <c r="X233" s="119"/>
      <c r="Y233" s="229">
        <f>+S233+U233+W233</f>
        <v>0</v>
      </c>
      <c r="Z233" s="119"/>
      <c r="AA233" s="107">
        <v>0</v>
      </c>
      <c r="AB233" s="119"/>
      <c r="AC233" s="107">
        <v>0</v>
      </c>
      <c r="AD233" s="119"/>
      <c r="AE233" s="107">
        <v>0</v>
      </c>
      <c r="AF233" s="119"/>
      <c r="AG233" s="229">
        <f>+AA233+AC233+AE233</f>
        <v>0</v>
      </c>
      <c r="AH233" s="119"/>
      <c r="AI233" s="273" t="str">
        <f t="shared" ref="AI233:AI236" si="38">+IFERROR(AG233/Y233-1,"0")</f>
        <v>0</v>
      </c>
      <c r="AJ233" s="229">
        <f>+I233+Q233+Y233+AG233</f>
        <v>0</v>
      </c>
      <c r="AK233" s="119"/>
    </row>
    <row r="234" spans="1:37" s="66" customFormat="1" hidden="1" outlineLevel="1" x14ac:dyDescent="0.2">
      <c r="A234" s="62">
        <v>81040002</v>
      </c>
      <c r="B234" s="62" t="s">
        <v>205</v>
      </c>
      <c r="C234" s="107">
        <v>48226.34</v>
      </c>
      <c r="D234" s="119">
        <f>+C234/C236</f>
        <v>1</v>
      </c>
      <c r="E234" s="107">
        <v>75262.399999999994</v>
      </c>
      <c r="F234" s="119">
        <f>+E234/E236</f>
        <v>1</v>
      </c>
      <c r="G234" s="107">
        <v>0</v>
      </c>
      <c r="H234" s="119" t="e">
        <f>+G234/G236</f>
        <v>#DIV/0!</v>
      </c>
      <c r="I234" s="229">
        <f>+C234+E234+G234</f>
        <v>123488.73999999999</v>
      </c>
      <c r="J234" s="119">
        <f>+I234/I236</f>
        <v>1</v>
      </c>
      <c r="K234" s="107">
        <v>0</v>
      </c>
      <c r="L234" s="119" t="e">
        <f>+K234/K236</f>
        <v>#DIV/0!</v>
      </c>
      <c r="M234" s="107">
        <v>0</v>
      </c>
      <c r="N234" s="119" t="e">
        <f>+M234/M236</f>
        <v>#DIV/0!</v>
      </c>
      <c r="O234" s="107">
        <v>0</v>
      </c>
      <c r="P234" s="119" t="e">
        <f>+O234/O236</f>
        <v>#DIV/0!</v>
      </c>
      <c r="Q234" s="229">
        <f>+K234+M234+O234</f>
        <v>0</v>
      </c>
      <c r="R234" s="119" t="e">
        <f>+Q234/Q236</f>
        <v>#DIV/0!</v>
      </c>
      <c r="S234" s="107">
        <v>0</v>
      </c>
      <c r="T234" s="119" t="e">
        <f>+S234/S236</f>
        <v>#DIV/0!</v>
      </c>
      <c r="U234" s="107">
        <v>0</v>
      </c>
      <c r="V234" s="119" t="e">
        <f>+U234/U236</f>
        <v>#DIV/0!</v>
      </c>
      <c r="W234" s="107">
        <v>0</v>
      </c>
      <c r="X234" s="119" t="e">
        <f>+W234/W236</f>
        <v>#DIV/0!</v>
      </c>
      <c r="Y234" s="229">
        <f>+S234+U234+W234</f>
        <v>0</v>
      </c>
      <c r="Z234" s="119" t="e">
        <f>+Y234/Y236</f>
        <v>#DIV/0!</v>
      </c>
      <c r="AA234" s="107">
        <v>0</v>
      </c>
      <c r="AB234" s="119" t="e">
        <f>+AA234/AA236</f>
        <v>#DIV/0!</v>
      </c>
      <c r="AC234" s="107">
        <v>41379.31</v>
      </c>
      <c r="AD234" s="119">
        <f>+AC234/AC236</f>
        <v>1</v>
      </c>
      <c r="AE234" s="107">
        <v>0</v>
      </c>
      <c r="AF234" s="119" t="e">
        <f>+AE234/AE236</f>
        <v>#DIV/0!</v>
      </c>
      <c r="AG234" s="229">
        <f>+AA234+AC234+AE234</f>
        <v>41379.31</v>
      </c>
      <c r="AH234" s="119">
        <f>+AG234/AG236</f>
        <v>1</v>
      </c>
      <c r="AI234" s="273" t="str">
        <f t="shared" si="38"/>
        <v>0</v>
      </c>
      <c r="AJ234" s="229">
        <f>+I234+Q234+Y234+AG234</f>
        <v>164868.04999999999</v>
      </c>
      <c r="AK234" s="119">
        <f>+AJ234/AJ236</f>
        <v>1</v>
      </c>
    </row>
    <row r="235" spans="1:37" s="66" customFormat="1" hidden="1" outlineLevel="1" x14ac:dyDescent="0.2">
      <c r="A235" s="62"/>
      <c r="B235" s="62" t="s">
        <v>2</v>
      </c>
      <c r="C235" s="107" t="s">
        <v>264</v>
      </c>
      <c r="D235" s="119"/>
      <c r="E235" s="63" t="s">
        <v>264</v>
      </c>
      <c r="F235" s="119"/>
      <c r="G235" s="63" t="s">
        <v>264</v>
      </c>
      <c r="H235" s="119"/>
      <c r="I235" s="230" t="s">
        <v>264</v>
      </c>
      <c r="J235" s="119"/>
      <c r="K235" s="63" t="s">
        <v>264</v>
      </c>
      <c r="L235" s="119"/>
      <c r="M235" s="63" t="s">
        <v>264</v>
      </c>
      <c r="N235" s="119"/>
      <c r="O235" s="63" t="s">
        <v>264</v>
      </c>
      <c r="P235" s="119"/>
      <c r="Q235" s="230" t="s">
        <v>264</v>
      </c>
      <c r="R235" s="119"/>
      <c r="S235" s="63" t="s">
        <v>264</v>
      </c>
      <c r="T235" s="119"/>
      <c r="U235" s="63" t="s">
        <v>264</v>
      </c>
      <c r="V235" s="119"/>
      <c r="W235" s="63" t="s">
        <v>264</v>
      </c>
      <c r="X235" s="119"/>
      <c r="Y235" s="230" t="s">
        <v>264</v>
      </c>
      <c r="Z235" s="119"/>
      <c r="AA235" s="63" t="s">
        <v>264</v>
      </c>
      <c r="AB235" s="119"/>
      <c r="AC235" s="63" t="s">
        <v>264</v>
      </c>
      <c r="AD235" s="119"/>
      <c r="AE235" s="63" t="s">
        <v>264</v>
      </c>
      <c r="AF235" s="119"/>
      <c r="AG235" s="230" t="s">
        <v>264</v>
      </c>
      <c r="AH235" s="119"/>
      <c r="AI235" s="275"/>
      <c r="AJ235" s="230" t="s">
        <v>264</v>
      </c>
      <c r="AK235" s="119"/>
    </row>
    <row r="236" spans="1:37" s="66" customFormat="1" collapsed="1" x14ac:dyDescent="0.2">
      <c r="A236" s="64" t="s">
        <v>378</v>
      </c>
      <c r="B236" s="64" t="s">
        <v>204</v>
      </c>
      <c r="C236" s="108">
        <f>SUM(C233:C235)</f>
        <v>48226.34</v>
      </c>
      <c r="D236" s="119">
        <f>C236/C31</f>
        <v>4.4727994189523385E-3</v>
      </c>
      <c r="E236" s="108">
        <f>SUM(E233:E235)</f>
        <v>75262.399999999994</v>
      </c>
      <c r="F236" s="119">
        <f>E236/E31</f>
        <v>5.8517760378272617E-3</v>
      </c>
      <c r="G236" s="108">
        <f>SUM(G233:G235)</f>
        <v>0</v>
      </c>
      <c r="H236" s="119">
        <f>G236/G31</f>
        <v>0</v>
      </c>
      <c r="I236" s="231">
        <f>SUM(I233:I235)</f>
        <v>123488.73999999999</v>
      </c>
      <c r="J236" s="119">
        <f>I236/I31</f>
        <v>3.1856840016245827E-3</v>
      </c>
      <c r="K236" s="108">
        <f>SUM(K233:K235)</f>
        <v>0</v>
      </c>
      <c r="L236" s="119">
        <f>K236/K31</f>
        <v>0</v>
      </c>
      <c r="M236" s="108">
        <f>SUM(M233:M235)</f>
        <v>0</v>
      </c>
      <c r="N236" s="119">
        <f>M236/M31</f>
        <v>0</v>
      </c>
      <c r="O236" s="108">
        <f>SUM(O233:O235)</f>
        <v>0</v>
      </c>
      <c r="P236" s="119">
        <f>O236/O31</f>
        <v>0</v>
      </c>
      <c r="Q236" s="231">
        <f>SUM(Q233:Q235)</f>
        <v>0</v>
      </c>
      <c r="R236" s="119">
        <f>Q236/Q31</f>
        <v>0</v>
      </c>
      <c r="S236" s="108">
        <f>SUM(S233:S235)</f>
        <v>0</v>
      </c>
      <c r="T236" s="119">
        <f>S236/S31</f>
        <v>0</v>
      </c>
      <c r="U236" s="108">
        <f>SUM(U233:U235)</f>
        <v>0</v>
      </c>
      <c r="V236" s="119">
        <f>U236/U31</f>
        <v>0</v>
      </c>
      <c r="W236" s="108">
        <f>SUM(W233:W235)</f>
        <v>0</v>
      </c>
      <c r="X236" s="119">
        <f>W236/W31</f>
        <v>0</v>
      </c>
      <c r="Y236" s="231">
        <f>SUM(Y233:Y235)</f>
        <v>0</v>
      </c>
      <c r="Z236" s="119">
        <f>Y236/Y31</f>
        <v>0</v>
      </c>
      <c r="AA236" s="108">
        <f>SUM(AA233:AA235)</f>
        <v>0</v>
      </c>
      <c r="AB236" s="119">
        <f>AA236/AA31</f>
        <v>0</v>
      </c>
      <c r="AC236" s="108">
        <f>SUM(AC233:AC235)</f>
        <v>41379.31</v>
      </c>
      <c r="AD236" s="119">
        <f>AC236/AC31</f>
        <v>3.0628545230418839E-3</v>
      </c>
      <c r="AE236" s="108">
        <f>SUM(AE233:AE235)</f>
        <v>0</v>
      </c>
      <c r="AF236" s="119">
        <f>AE236/AE31</f>
        <v>0</v>
      </c>
      <c r="AG236" s="231">
        <f>SUM(AG233:AG235)</f>
        <v>41379.31</v>
      </c>
      <c r="AH236" s="119">
        <f>AG236/AG31</f>
        <v>1.0157576799787263E-3</v>
      </c>
      <c r="AI236" s="273" t="str">
        <f t="shared" si="38"/>
        <v>0</v>
      </c>
      <c r="AJ236" s="231">
        <f>SUM(AJ233:AJ235)</f>
        <v>164868.04999999999</v>
      </c>
      <c r="AK236" s="119">
        <f>AJ236/AJ31</f>
        <v>9.5175443733596721E-4</v>
      </c>
    </row>
    <row r="237" spans="1:37" s="66" customFormat="1" hidden="1" outlineLevel="1" x14ac:dyDescent="0.2">
      <c r="A237" s="62"/>
      <c r="B237" s="62" t="s">
        <v>2</v>
      </c>
      <c r="C237" s="107"/>
      <c r="D237" s="119"/>
      <c r="E237" s="63"/>
      <c r="F237" s="119"/>
      <c r="G237" s="63"/>
      <c r="H237" s="119"/>
      <c r="I237" s="230"/>
      <c r="J237" s="119"/>
      <c r="K237" s="63"/>
      <c r="L237" s="119"/>
      <c r="M237" s="63"/>
      <c r="N237" s="119"/>
      <c r="O237" s="63"/>
      <c r="P237" s="119"/>
      <c r="Q237" s="230"/>
      <c r="R237" s="119"/>
      <c r="S237" s="63"/>
      <c r="T237" s="119"/>
      <c r="U237" s="63"/>
      <c r="V237" s="119"/>
      <c r="W237" s="63"/>
      <c r="X237" s="119"/>
      <c r="Y237" s="230"/>
      <c r="Z237" s="119"/>
      <c r="AA237" s="63"/>
      <c r="AB237" s="119"/>
      <c r="AC237" s="63"/>
      <c r="AD237" s="119"/>
      <c r="AE237" s="63"/>
      <c r="AF237" s="119"/>
      <c r="AG237" s="230"/>
      <c r="AH237" s="119"/>
      <c r="AI237" s="275"/>
      <c r="AJ237" s="230"/>
      <c r="AK237" s="119"/>
    </row>
    <row r="238" spans="1:37" s="66" customFormat="1" hidden="1" outlineLevel="1" x14ac:dyDescent="0.2">
      <c r="A238" s="62">
        <v>8106</v>
      </c>
      <c r="B238" s="62" t="s">
        <v>193</v>
      </c>
      <c r="C238" s="107"/>
      <c r="D238" s="119"/>
      <c r="E238" s="107"/>
      <c r="F238" s="119"/>
      <c r="G238" s="107"/>
      <c r="H238" s="119"/>
      <c r="I238" s="229"/>
      <c r="J238" s="119"/>
      <c r="K238" s="107"/>
      <c r="L238" s="119"/>
      <c r="M238" s="107"/>
      <c r="N238" s="119"/>
      <c r="O238" s="107"/>
      <c r="P238" s="119"/>
      <c r="Q238" s="229"/>
      <c r="R238" s="119"/>
      <c r="S238" s="107"/>
      <c r="T238" s="119"/>
      <c r="U238" s="107"/>
      <c r="V238" s="119"/>
      <c r="W238" s="107"/>
      <c r="X238" s="119"/>
      <c r="Y238" s="229"/>
      <c r="Z238" s="119"/>
      <c r="AA238" s="107"/>
      <c r="AB238" s="119"/>
      <c r="AC238" s="107"/>
      <c r="AD238" s="119"/>
      <c r="AE238" s="107"/>
      <c r="AF238" s="119"/>
      <c r="AG238" s="229"/>
      <c r="AH238" s="119"/>
      <c r="AI238" s="274"/>
      <c r="AJ238" s="229"/>
      <c r="AK238" s="119"/>
    </row>
    <row r="239" spans="1:37" s="66" customFormat="1" hidden="1" outlineLevel="1" x14ac:dyDescent="0.2">
      <c r="A239" s="62">
        <v>81060001</v>
      </c>
      <c r="B239" s="62" t="s">
        <v>206</v>
      </c>
      <c r="C239" s="107">
        <v>2383</v>
      </c>
      <c r="D239" s="119"/>
      <c r="E239" s="107">
        <v>0</v>
      </c>
      <c r="F239" s="119"/>
      <c r="G239" s="107">
        <v>0</v>
      </c>
      <c r="H239" s="119"/>
      <c r="I239" s="229">
        <f>+C239+E239+G239</f>
        <v>2383</v>
      </c>
      <c r="J239" s="119"/>
      <c r="K239" s="107">
        <v>0</v>
      </c>
      <c r="L239" s="119"/>
      <c r="M239" s="107">
        <v>4448.09</v>
      </c>
      <c r="N239" s="119"/>
      <c r="O239" s="107">
        <v>0</v>
      </c>
      <c r="P239" s="119"/>
      <c r="Q239" s="229">
        <f>+K239+M239+O239</f>
        <v>4448.09</v>
      </c>
      <c r="R239" s="119"/>
      <c r="S239" s="107">
        <v>4230.7299999999996</v>
      </c>
      <c r="T239" s="119"/>
      <c r="U239" s="107">
        <v>0</v>
      </c>
      <c r="V239" s="119"/>
      <c r="W239" s="107">
        <v>1609</v>
      </c>
      <c r="X239" s="119"/>
      <c r="Y239" s="229">
        <f>+S239+U239+W239</f>
        <v>5839.73</v>
      </c>
      <c r="Z239" s="119"/>
      <c r="AA239" s="107">
        <v>0</v>
      </c>
      <c r="AB239" s="119"/>
      <c r="AC239" s="107">
        <v>0.17000000000007276</v>
      </c>
      <c r="AD239" s="119"/>
      <c r="AE239" s="107">
        <v>0</v>
      </c>
      <c r="AF239" s="119"/>
      <c r="AG239" s="229">
        <f>+AA239+AC239+AE239</f>
        <v>0.17000000000007276</v>
      </c>
      <c r="AH239" s="119"/>
      <c r="AI239" s="273">
        <f t="shared" ref="AI239:AI245" si="39">+IFERROR(AG239/Y239-1,"0")</f>
        <v>-0.99997088906507658</v>
      </c>
      <c r="AJ239" s="229">
        <f>+I239+Q239+Y239+AG239</f>
        <v>12670.99</v>
      </c>
      <c r="AK239" s="119"/>
    </row>
    <row r="240" spans="1:37" s="66" customFormat="1" hidden="1" outlineLevel="1" x14ac:dyDescent="0.2">
      <c r="A240" s="62">
        <v>81060002</v>
      </c>
      <c r="B240" s="62" t="s">
        <v>207</v>
      </c>
      <c r="C240" s="107">
        <v>-57.15</v>
      </c>
      <c r="D240" s="119"/>
      <c r="E240" s="107">
        <v>-11.95</v>
      </c>
      <c r="F240" s="119"/>
      <c r="G240" s="107">
        <v>-3.26000000000001</v>
      </c>
      <c r="H240" s="119"/>
      <c r="I240" s="229">
        <f>+C240+E240+G240</f>
        <v>-72.36</v>
      </c>
      <c r="J240" s="119"/>
      <c r="K240" s="107">
        <v>-2.84</v>
      </c>
      <c r="L240" s="119"/>
      <c r="M240" s="107">
        <v>-32.76</v>
      </c>
      <c r="N240" s="119"/>
      <c r="O240" s="107">
        <v>5.94</v>
      </c>
      <c r="P240" s="119"/>
      <c r="Q240" s="229">
        <f>+K240+M240+O240</f>
        <v>-29.659999999999993</v>
      </c>
      <c r="R240" s="119"/>
      <c r="S240" s="107">
        <v>-11.47</v>
      </c>
      <c r="T240" s="119"/>
      <c r="U240" s="107">
        <v>-6.1300000000000097</v>
      </c>
      <c r="V240" s="119"/>
      <c r="W240" s="107">
        <v>-24.59</v>
      </c>
      <c r="X240" s="119"/>
      <c r="Y240" s="229">
        <f>+S240+U240+W240</f>
        <v>-42.190000000000012</v>
      </c>
      <c r="Z240" s="119"/>
      <c r="AA240" s="107">
        <v>-3.56</v>
      </c>
      <c r="AB240" s="119"/>
      <c r="AC240" s="107">
        <v>-9.3899999999999899</v>
      </c>
      <c r="AD240" s="119"/>
      <c r="AE240" s="107">
        <v>8.1800000000000104</v>
      </c>
      <c r="AF240" s="119"/>
      <c r="AG240" s="229">
        <f>+AA240+AC240+AE240</f>
        <v>-4.76999999999998</v>
      </c>
      <c r="AH240" s="119"/>
      <c r="AI240" s="273">
        <f t="shared" si="39"/>
        <v>-0.88694003318321923</v>
      </c>
      <c r="AJ240" s="229">
        <f>+I240+Q240+Y240+AG240</f>
        <v>-148.97999999999999</v>
      </c>
      <c r="AK240" s="119"/>
    </row>
    <row r="241" spans="1:37" s="66" customFormat="1" hidden="1" outlineLevel="1" x14ac:dyDescent="0.2">
      <c r="A241" s="62">
        <v>81060003</v>
      </c>
      <c r="B241" s="62" t="s">
        <v>208</v>
      </c>
      <c r="C241" s="107">
        <v>0</v>
      </c>
      <c r="D241" s="119"/>
      <c r="E241" s="107">
        <v>0</v>
      </c>
      <c r="F241" s="119"/>
      <c r="G241" s="107">
        <v>23400</v>
      </c>
      <c r="H241" s="119"/>
      <c r="I241" s="229">
        <f>+C241+E241+G241</f>
        <v>23400</v>
      </c>
      <c r="J241" s="119"/>
      <c r="K241" s="107">
        <v>0</v>
      </c>
      <c r="L241" s="119"/>
      <c r="M241" s="107">
        <v>39196.75</v>
      </c>
      <c r="N241" s="119"/>
      <c r="O241" s="107">
        <v>27117</v>
      </c>
      <c r="P241" s="119"/>
      <c r="Q241" s="229">
        <f>+K241+M241+O241</f>
        <v>66313.75</v>
      </c>
      <c r="R241" s="119"/>
      <c r="S241" s="107">
        <v>13558.5</v>
      </c>
      <c r="T241" s="119"/>
      <c r="U241" s="107">
        <v>13800</v>
      </c>
      <c r="V241" s="119"/>
      <c r="W241" s="107">
        <v>0</v>
      </c>
      <c r="X241" s="119"/>
      <c r="Y241" s="229">
        <f>+S241+U241+W241</f>
        <v>27358.5</v>
      </c>
      <c r="Z241" s="119"/>
      <c r="AA241" s="107">
        <v>34689.75</v>
      </c>
      <c r="AB241" s="119"/>
      <c r="AC241" s="107">
        <v>15283.5</v>
      </c>
      <c r="AD241" s="119"/>
      <c r="AE241" s="107">
        <v>0</v>
      </c>
      <c r="AF241" s="119"/>
      <c r="AG241" s="229">
        <f>+AA241+AC241+AE241</f>
        <v>49973.25</v>
      </c>
      <c r="AH241" s="119"/>
      <c r="AI241" s="273">
        <f t="shared" si="39"/>
        <v>0.82660781841109721</v>
      </c>
      <c r="AJ241" s="229">
        <f>+I241+Q241+Y241+AG241</f>
        <v>167045.5</v>
      </c>
      <c r="AK241" s="119"/>
    </row>
    <row r="242" spans="1:37" s="66" customFormat="1" hidden="1" outlineLevel="1" x14ac:dyDescent="0.2">
      <c r="A242" s="62"/>
      <c r="B242" s="62" t="s">
        <v>2</v>
      </c>
      <c r="C242" s="107" t="s">
        <v>264</v>
      </c>
      <c r="D242" s="119"/>
      <c r="E242" s="63" t="s">
        <v>264</v>
      </c>
      <c r="F242" s="119"/>
      <c r="G242" s="63" t="s">
        <v>264</v>
      </c>
      <c r="H242" s="119"/>
      <c r="I242" s="230" t="s">
        <v>264</v>
      </c>
      <c r="J242" s="119"/>
      <c r="K242" s="63" t="s">
        <v>264</v>
      </c>
      <c r="L242" s="119"/>
      <c r="M242" s="63" t="s">
        <v>264</v>
      </c>
      <c r="N242" s="119"/>
      <c r="O242" s="63" t="s">
        <v>264</v>
      </c>
      <c r="P242" s="119"/>
      <c r="Q242" s="230" t="s">
        <v>264</v>
      </c>
      <c r="R242" s="119"/>
      <c r="S242" s="63" t="s">
        <v>264</v>
      </c>
      <c r="T242" s="119"/>
      <c r="U242" s="63" t="s">
        <v>264</v>
      </c>
      <c r="V242" s="119"/>
      <c r="W242" s="63" t="s">
        <v>264</v>
      </c>
      <c r="X242" s="119"/>
      <c r="Y242" s="230" t="s">
        <v>264</v>
      </c>
      <c r="Z242" s="119"/>
      <c r="AA242" s="63" t="s">
        <v>264</v>
      </c>
      <c r="AB242" s="119"/>
      <c r="AC242" s="63" t="s">
        <v>264</v>
      </c>
      <c r="AD242" s="119"/>
      <c r="AE242" s="63" t="s">
        <v>264</v>
      </c>
      <c r="AF242" s="119"/>
      <c r="AG242" s="230" t="s">
        <v>264</v>
      </c>
      <c r="AH242" s="119"/>
      <c r="AI242" s="275"/>
      <c r="AJ242" s="230" t="s">
        <v>264</v>
      </c>
      <c r="AK242" s="119"/>
    </row>
    <row r="243" spans="1:37" s="66" customFormat="1" collapsed="1" x14ac:dyDescent="0.2">
      <c r="A243" s="64" t="s">
        <v>209</v>
      </c>
      <c r="B243" s="64" t="s">
        <v>193</v>
      </c>
      <c r="C243" s="108">
        <f>SUM(C239:C242)</f>
        <v>2325.85</v>
      </c>
      <c r="D243" s="119">
        <f>C243/C31</f>
        <v>2.1571324982510174E-4</v>
      </c>
      <c r="E243" s="108">
        <f>SUM(E239:E242)</f>
        <v>-11.95</v>
      </c>
      <c r="F243" s="119">
        <f>E243/E31</f>
        <v>-9.29132257967269E-7</v>
      </c>
      <c r="G243" s="108">
        <f>SUM(G239:G242)</f>
        <v>23396.74</v>
      </c>
      <c r="H243" s="119">
        <f>G243/G31</f>
        <v>1.5473983824765823E-3</v>
      </c>
      <c r="I243" s="231">
        <f>SUM(I239:I242)</f>
        <v>25710.639999999999</v>
      </c>
      <c r="J243" s="119">
        <f>I243/I31</f>
        <v>6.6326674415439872E-4</v>
      </c>
      <c r="K243" s="108">
        <f>SUM(K239:K242)</f>
        <v>-2.84</v>
      </c>
      <c r="L243" s="119">
        <f>K243/K31</f>
        <v>-2.0299129168216393E-7</v>
      </c>
      <c r="M243" s="108">
        <f>SUM(M239:M242)</f>
        <v>43612.08</v>
      </c>
      <c r="N243" s="119">
        <f>M243/M31</f>
        <v>3.6062834364248854E-3</v>
      </c>
      <c r="O243" s="108">
        <f>SUM(O239:O242)</f>
        <v>27122.94</v>
      </c>
      <c r="P243" s="119">
        <f>O243/O31</f>
        <v>1.2778372866976886E-3</v>
      </c>
      <c r="Q243" s="231">
        <f>SUM(Q239:Q242)</f>
        <v>70732.179999999993</v>
      </c>
      <c r="R243" s="119">
        <f>Q243/Q31</f>
        <v>1.4950862030306514E-3</v>
      </c>
      <c r="S243" s="108">
        <f>SUM(S239:S242)</f>
        <v>17777.759999999998</v>
      </c>
      <c r="T243" s="119">
        <f>S243/S31</f>
        <v>1.206087694012786E-3</v>
      </c>
      <c r="U243" s="108">
        <f>SUM(U239:U242)</f>
        <v>13793.87</v>
      </c>
      <c r="V243" s="119">
        <f>U243/U31</f>
        <v>1.198422362611486E-3</v>
      </c>
      <c r="W243" s="108">
        <f>SUM(W239:W242)</f>
        <v>1584.41</v>
      </c>
      <c r="X243" s="119">
        <f>W243/W31</f>
        <v>7.8573992638552079E-5</v>
      </c>
      <c r="Y243" s="231">
        <f>SUM(Y239:Y242)</f>
        <v>33156.04</v>
      </c>
      <c r="Z243" s="119">
        <f>Y243/Y31</f>
        <v>7.1434495179538177E-4</v>
      </c>
      <c r="AA243" s="108">
        <f>SUM(AA239:AA242)</f>
        <v>34686.19</v>
      </c>
      <c r="AB243" s="119">
        <f>AA243/AA31</f>
        <v>3.1093767693862332E-3</v>
      </c>
      <c r="AC243" s="108">
        <f>SUM(AC239:AC242)</f>
        <v>15274.28</v>
      </c>
      <c r="AD243" s="119">
        <f>AC243/AC31</f>
        <v>1.1305867010399204E-3</v>
      </c>
      <c r="AE243" s="108">
        <f>SUM(AE239:AE242)</f>
        <v>8.1800000000000104</v>
      </c>
      <c r="AF243" s="119">
        <f>AE243/AE31</f>
        <v>5.0896016784645267E-7</v>
      </c>
      <c r="AG243" s="231">
        <f>SUM(AG239:AG242)</f>
        <v>49968.65</v>
      </c>
      <c r="AH243" s="119">
        <f>AG243/AG31</f>
        <v>1.2266043101170363E-3</v>
      </c>
      <c r="AI243" s="273">
        <f t="shared" si="39"/>
        <v>0.50707533227731649</v>
      </c>
      <c r="AJ243" s="231">
        <f>SUM(AJ239:AJ242)</f>
        <v>179567.51</v>
      </c>
      <c r="AK243" s="119">
        <f>AJ243/AJ31</f>
        <v>1.0366118507732134E-3</v>
      </c>
    </row>
    <row r="244" spans="1:37" s="66" customFormat="1" x14ac:dyDescent="0.2">
      <c r="A244" s="62"/>
      <c r="B244" s="62" t="s">
        <v>2</v>
      </c>
      <c r="C244" s="107" t="s">
        <v>264</v>
      </c>
      <c r="D244" s="119"/>
      <c r="E244" s="63" t="s">
        <v>264</v>
      </c>
      <c r="F244" s="119"/>
      <c r="G244" s="63" t="s">
        <v>264</v>
      </c>
      <c r="H244" s="119"/>
      <c r="I244" s="230" t="s">
        <v>264</v>
      </c>
      <c r="J244" s="119"/>
      <c r="K244" s="63" t="s">
        <v>264</v>
      </c>
      <c r="L244" s="119"/>
      <c r="M244" s="63" t="s">
        <v>264</v>
      </c>
      <c r="N244" s="119"/>
      <c r="O244" s="63" t="s">
        <v>264</v>
      </c>
      <c r="P244" s="119"/>
      <c r="Q244" s="230" t="s">
        <v>264</v>
      </c>
      <c r="R244" s="119"/>
      <c r="S244" s="63" t="s">
        <v>264</v>
      </c>
      <c r="T244" s="119"/>
      <c r="U244" s="63" t="s">
        <v>264</v>
      </c>
      <c r="V244" s="119"/>
      <c r="W244" s="63" t="s">
        <v>264</v>
      </c>
      <c r="X244" s="119"/>
      <c r="Y244" s="230" t="s">
        <v>264</v>
      </c>
      <c r="Z244" s="119"/>
      <c r="AA244" s="63" t="s">
        <v>264</v>
      </c>
      <c r="AB244" s="119"/>
      <c r="AC244" s="63" t="s">
        <v>264</v>
      </c>
      <c r="AD244" s="119"/>
      <c r="AE244" s="63" t="s">
        <v>264</v>
      </c>
      <c r="AF244" s="119"/>
      <c r="AG244" s="230" t="s">
        <v>264</v>
      </c>
      <c r="AH244" s="119"/>
      <c r="AI244" s="275"/>
      <c r="AJ244" s="230" t="s">
        <v>264</v>
      </c>
      <c r="AK244" s="119"/>
    </row>
    <row r="245" spans="1:37" s="66" customFormat="1" x14ac:dyDescent="0.2">
      <c r="A245" s="651" t="s">
        <v>454</v>
      </c>
      <c r="B245" s="651"/>
      <c r="C245" s="106">
        <f>+C243+C236+C230+C223</f>
        <v>380667.87</v>
      </c>
      <c r="D245" s="119">
        <f>C245/C31</f>
        <v>3.5305416661306342E-2</v>
      </c>
      <c r="E245" s="106">
        <f>+E243+E236+E230+E223</f>
        <v>427709.05999999994</v>
      </c>
      <c r="F245" s="119">
        <f>E245/E31</f>
        <v>3.3255086583335404E-2</v>
      </c>
      <c r="G245" s="106">
        <f>+G243+G236+G230+G223</f>
        <v>392816.87000000011</v>
      </c>
      <c r="H245" s="119">
        <f>G245/G31</f>
        <v>2.5979866821083365E-2</v>
      </c>
      <c r="I245" s="236">
        <f>+I243+I236+I230+I223</f>
        <v>1201193.8</v>
      </c>
      <c r="J245" s="119">
        <f>I245/I31</f>
        <v>3.0987633945496886E-2</v>
      </c>
      <c r="K245" s="106">
        <f>+K243+K236+K230+K223</f>
        <v>769850.75999999989</v>
      </c>
      <c r="L245" s="119">
        <f>K245/K31</f>
        <v>5.5025704286935061E-2</v>
      </c>
      <c r="M245" s="106">
        <f>+M243+M236+M230+M223</f>
        <v>538444.44999999995</v>
      </c>
      <c r="N245" s="119">
        <f>M245/M31</f>
        <v>4.4523978252582933E-2</v>
      </c>
      <c r="O245" s="106">
        <f>+O243+O236+O230+O223</f>
        <v>525833.43999999994</v>
      </c>
      <c r="P245" s="119">
        <f>O245/O31</f>
        <v>2.4773478694585169E-2</v>
      </c>
      <c r="Q245" s="236">
        <f>+Q243+Q236+Q230+Q223</f>
        <v>1834128.65</v>
      </c>
      <c r="R245" s="119">
        <f>Q245/Q31</f>
        <v>3.8768498852972358E-2</v>
      </c>
      <c r="S245" s="106">
        <f>+S243+S236+S230+S223</f>
        <v>904357.94</v>
      </c>
      <c r="T245" s="119">
        <f>S245/S31</f>
        <v>6.1353904114846501E-2</v>
      </c>
      <c r="U245" s="106">
        <f>+U243+U236+U230+U223</f>
        <v>207221.50999999992</v>
      </c>
      <c r="V245" s="119">
        <f>U245/U31</f>
        <v>1.8003569092511353E-2</v>
      </c>
      <c r="W245" s="106">
        <f>+W243+W236+W230+W223</f>
        <v>268217.43999999994</v>
      </c>
      <c r="X245" s="119">
        <f>W245/W31</f>
        <v>1.3301427759286596E-2</v>
      </c>
      <c r="Y245" s="236">
        <f>+Y243+Y236+Y230+Y223</f>
        <v>1379796.8900000001</v>
      </c>
      <c r="Z245" s="119">
        <f>Y245/Y31</f>
        <v>2.9727643677425523E-2</v>
      </c>
      <c r="AA245" s="106">
        <f>+AA243+AA236+AA230+AA223</f>
        <v>974295.64000000013</v>
      </c>
      <c r="AB245" s="119">
        <f>AA245/AA31</f>
        <v>8.7338858189103294E-2</v>
      </c>
      <c r="AC245" s="106">
        <f>+AC243+AC236+AC230+AC223</f>
        <v>383777.60000000003</v>
      </c>
      <c r="AD245" s="119">
        <f>AC245/AC31</f>
        <v>2.8406828388442412E-2</v>
      </c>
      <c r="AE245" s="106">
        <f>+AE243+AE236+AE230+AE223</f>
        <v>198318.47999999957</v>
      </c>
      <c r="AF245" s="119">
        <f>AE245/AE31</f>
        <v>1.233938959264707E-2</v>
      </c>
      <c r="AG245" s="236">
        <f>+AG243+AG236+AG230+AG223</f>
        <v>1556391.7199999997</v>
      </c>
      <c r="AH245" s="119">
        <f>AG245/AG31</f>
        <v>3.820549068230715E-2</v>
      </c>
      <c r="AI245" s="273">
        <f t="shared" si="39"/>
        <v>0.12798610525930343</v>
      </c>
      <c r="AJ245" s="236">
        <f>+AJ243+AJ236+AJ230+AJ223</f>
        <v>5971511.0600000005</v>
      </c>
      <c r="AK245" s="119">
        <f>AJ245/AJ31</f>
        <v>3.4472489660403005E-2</v>
      </c>
    </row>
    <row r="246" spans="1:37" s="66" customFormat="1" x14ac:dyDescent="0.2">
      <c r="A246" s="62"/>
      <c r="B246" s="62" t="s">
        <v>2</v>
      </c>
      <c r="C246" s="107"/>
      <c r="D246" s="119"/>
      <c r="E246" s="63"/>
      <c r="F246" s="119"/>
      <c r="G246" s="63"/>
      <c r="H246" s="119"/>
      <c r="I246" s="230"/>
      <c r="J246" s="119"/>
      <c r="K246" s="63"/>
      <c r="L246" s="119"/>
      <c r="M246" s="63"/>
      <c r="N246" s="119"/>
      <c r="O246" s="63"/>
      <c r="P246" s="119"/>
      <c r="Q246" s="230"/>
      <c r="R246" s="119"/>
      <c r="S246" s="63"/>
      <c r="T246" s="119"/>
      <c r="U246" s="63"/>
      <c r="V246" s="119"/>
      <c r="W246" s="63"/>
      <c r="X246" s="119"/>
      <c r="Y246" s="230"/>
      <c r="Z246" s="119"/>
      <c r="AA246" s="63"/>
      <c r="AB246" s="119"/>
      <c r="AC246" s="63"/>
      <c r="AD246" s="119"/>
      <c r="AE246" s="63"/>
      <c r="AF246" s="119"/>
      <c r="AG246" s="230"/>
      <c r="AH246" s="119"/>
      <c r="AI246" s="275"/>
      <c r="AJ246" s="230"/>
      <c r="AK246" s="119"/>
    </row>
    <row r="247" spans="1:37" s="66" customFormat="1" hidden="1" outlineLevel="1" x14ac:dyDescent="0.2">
      <c r="A247" s="62">
        <v>82</v>
      </c>
      <c r="B247" s="62" t="s">
        <v>211</v>
      </c>
      <c r="C247" s="107"/>
      <c r="D247" s="119"/>
      <c r="E247" s="107"/>
      <c r="F247" s="119"/>
      <c r="G247" s="107"/>
      <c r="H247" s="119"/>
      <c r="I247" s="229"/>
      <c r="J247" s="119"/>
      <c r="K247" s="107"/>
      <c r="L247" s="119"/>
      <c r="M247" s="107"/>
      <c r="N247" s="119"/>
      <c r="O247" s="107"/>
      <c r="P247" s="119"/>
      <c r="Q247" s="229"/>
      <c r="R247" s="119"/>
      <c r="S247" s="107"/>
      <c r="T247" s="119"/>
      <c r="U247" s="107"/>
      <c r="V247" s="119"/>
      <c r="W247" s="107"/>
      <c r="X247" s="119"/>
      <c r="Y247" s="229"/>
      <c r="Z247" s="119"/>
      <c r="AA247" s="107"/>
      <c r="AB247" s="119"/>
      <c r="AC247" s="107"/>
      <c r="AD247" s="119"/>
      <c r="AE247" s="107"/>
      <c r="AF247" s="119"/>
      <c r="AG247" s="229"/>
      <c r="AH247" s="119"/>
      <c r="AI247" s="274"/>
      <c r="AJ247" s="229"/>
      <c r="AK247" s="119"/>
    </row>
    <row r="248" spans="1:37" s="66" customFormat="1" hidden="1" outlineLevel="1" x14ac:dyDescent="0.2">
      <c r="A248" s="62">
        <v>82010001</v>
      </c>
      <c r="B248" s="62" t="s">
        <v>211</v>
      </c>
      <c r="C248" s="107">
        <v>-821400.35</v>
      </c>
      <c r="D248" s="119"/>
      <c r="E248" s="107">
        <v>-313546.28000000003</v>
      </c>
      <c r="F248" s="119"/>
      <c r="G248" s="107">
        <v>-426323.19</v>
      </c>
      <c r="H248" s="119"/>
      <c r="I248" s="229">
        <f>+C248+E248+G248</f>
        <v>-1561269.8199999998</v>
      </c>
      <c r="J248" s="119"/>
      <c r="K248" s="107">
        <v>-506591.25</v>
      </c>
      <c r="L248" s="119"/>
      <c r="M248" s="107">
        <v>-486244.8600000001</v>
      </c>
      <c r="N248" s="119"/>
      <c r="O248" s="107">
        <v>-985064.27</v>
      </c>
      <c r="P248" s="119"/>
      <c r="Q248" s="229">
        <f>+K248+M248+O248</f>
        <v>-1977900.3800000001</v>
      </c>
      <c r="R248" s="119"/>
      <c r="S248" s="107">
        <v>-879641.53000000026</v>
      </c>
      <c r="T248" s="119"/>
      <c r="U248" s="107">
        <v>-191986.4299999997</v>
      </c>
      <c r="V248" s="119"/>
      <c r="W248" s="107">
        <v>-398075.66999999993</v>
      </c>
      <c r="X248" s="119"/>
      <c r="Y248" s="229">
        <f>+S248+U248+W248</f>
        <v>-1469703.63</v>
      </c>
      <c r="Z248" s="119"/>
      <c r="AA248" s="107">
        <v>-507066.01999999955</v>
      </c>
      <c r="AB248" s="119"/>
      <c r="AC248" s="107">
        <v>-345801.36000000034</v>
      </c>
      <c r="AD248" s="119"/>
      <c r="AE248" s="107">
        <v>-438555.4299999997</v>
      </c>
      <c r="AF248" s="119"/>
      <c r="AG248" s="229">
        <f>+AA248+AC248+AE248</f>
        <v>-1291422.8099999996</v>
      </c>
      <c r="AH248" s="119"/>
      <c r="AI248" s="273">
        <f t="shared" ref="AI248:AI254" si="40">+IFERROR(AG248/Y248-1,"0")</f>
        <v>-0.12130392574453963</v>
      </c>
      <c r="AJ248" s="229">
        <f>+I248+Q248+Y248+AG248</f>
        <v>-6300296.6399999997</v>
      </c>
      <c r="AK248" s="119"/>
    </row>
    <row r="249" spans="1:37" s="66" customFormat="1" hidden="1" outlineLevel="1" x14ac:dyDescent="0.2">
      <c r="A249" s="62"/>
      <c r="B249" s="62"/>
      <c r="C249" s="107" t="s">
        <v>264</v>
      </c>
      <c r="D249" s="119"/>
      <c r="E249" s="63" t="s">
        <v>264</v>
      </c>
      <c r="F249" s="119"/>
      <c r="G249" s="63" t="s">
        <v>264</v>
      </c>
      <c r="H249" s="119"/>
      <c r="I249" s="230" t="s">
        <v>264</v>
      </c>
      <c r="J249" s="119"/>
      <c r="K249" s="63" t="s">
        <v>264</v>
      </c>
      <c r="L249" s="119"/>
      <c r="M249" s="63" t="s">
        <v>264</v>
      </c>
      <c r="N249" s="119"/>
      <c r="O249" s="63" t="s">
        <v>264</v>
      </c>
      <c r="P249" s="119"/>
      <c r="Q249" s="230" t="s">
        <v>264</v>
      </c>
      <c r="R249" s="119"/>
      <c r="S249" s="63" t="s">
        <v>264</v>
      </c>
      <c r="T249" s="119"/>
      <c r="U249" s="63" t="s">
        <v>264</v>
      </c>
      <c r="V249" s="119"/>
      <c r="W249" s="63" t="s">
        <v>264</v>
      </c>
      <c r="X249" s="119"/>
      <c r="Y249" s="230" t="s">
        <v>264</v>
      </c>
      <c r="Z249" s="119"/>
      <c r="AA249" s="63" t="s">
        <v>264</v>
      </c>
      <c r="AB249" s="119"/>
      <c r="AC249" s="63" t="s">
        <v>264</v>
      </c>
      <c r="AD249" s="119"/>
      <c r="AE249" s="63" t="s">
        <v>264</v>
      </c>
      <c r="AF249" s="119"/>
      <c r="AG249" s="230" t="s">
        <v>264</v>
      </c>
      <c r="AH249" s="119"/>
      <c r="AI249" s="275"/>
      <c r="AJ249" s="230" t="s">
        <v>264</v>
      </c>
      <c r="AK249" s="119"/>
    </row>
    <row r="250" spans="1:37" s="66" customFormat="1" collapsed="1" x14ac:dyDescent="0.2">
      <c r="A250" s="64" t="s">
        <v>212</v>
      </c>
      <c r="B250" s="64" t="s">
        <v>211</v>
      </c>
      <c r="C250" s="108">
        <f>+C248</f>
        <v>-821400.35</v>
      </c>
      <c r="D250" s="119">
        <f>C250/C31</f>
        <v>-7.6181584756530307E-2</v>
      </c>
      <c r="E250" s="108">
        <f>+E248</f>
        <v>-313546.28000000003</v>
      </c>
      <c r="F250" s="119">
        <f>E250/E31</f>
        <v>-2.4378741683149588E-2</v>
      </c>
      <c r="G250" s="108">
        <f>+G248</f>
        <v>-426323.19</v>
      </c>
      <c r="H250" s="119">
        <f>G250/G31</f>
        <v>-2.8195886034475596E-2</v>
      </c>
      <c r="I250" s="231">
        <f>+I248</f>
        <v>-1561269.8199999998</v>
      </c>
      <c r="J250" s="119">
        <f>I250/I31</f>
        <v>-4.0276646176754999E-2</v>
      </c>
      <c r="K250" s="108">
        <f>+K248</f>
        <v>-506591.25</v>
      </c>
      <c r="L250" s="119">
        <f>K250/K31</f>
        <v>-3.6209018377599309E-2</v>
      </c>
      <c r="M250" s="108">
        <f>+M248</f>
        <v>-486244.8600000001</v>
      </c>
      <c r="N250" s="119">
        <f>M250/M31</f>
        <v>-4.0207593507687267E-2</v>
      </c>
      <c r="O250" s="108">
        <f>+O248</f>
        <v>-985064.27</v>
      </c>
      <c r="P250" s="119">
        <f>O250/O31</f>
        <v>-4.6409122831066227E-2</v>
      </c>
      <c r="Q250" s="231">
        <f>+Q248</f>
        <v>-1977900.3800000001</v>
      </c>
      <c r="R250" s="119">
        <f>Q250/Q31</f>
        <v>-4.1807442794878975E-2</v>
      </c>
      <c r="S250" s="108">
        <f>+S248</f>
        <v>-879641.53000000026</v>
      </c>
      <c r="T250" s="119">
        <f>S250/S31</f>
        <v>-5.967708105383239E-2</v>
      </c>
      <c r="U250" s="108">
        <f>+U248</f>
        <v>-191986.4299999997</v>
      </c>
      <c r="V250" s="119">
        <f>U250/U31</f>
        <v>-1.6679933262379907E-2</v>
      </c>
      <c r="W250" s="108">
        <f>+W248</f>
        <v>-398075.66999999993</v>
      </c>
      <c r="X250" s="119">
        <f>W250/W31</f>
        <v>-1.9741351521491708E-2</v>
      </c>
      <c r="Y250" s="231">
        <f>+Y248</f>
        <v>-1469703.63</v>
      </c>
      <c r="Z250" s="119">
        <f>Y250/Y31</f>
        <v>-3.1664679157277151E-2</v>
      </c>
      <c r="AA250" s="108">
        <f>+AA248</f>
        <v>-507066.01999999955</v>
      </c>
      <c r="AB250" s="119">
        <f>AA250/AA31</f>
        <v>-4.5454957812695297E-2</v>
      </c>
      <c r="AC250" s="108">
        <f>+AC248</f>
        <v>-345801.36000000034</v>
      </c>
      <c r="AD250" s="119">
        <f>AC250/AC31</f>
        <v>-2.5595865652424745E-2</v>
      </c>
      <c r="AE250" s="108">
        <f>+AE248</f>
        <v>-438555.4299999997</v>
      </c>
      <c r="AF250" s="119">
        <f>AE250/AE31</f>
        <v>-2.7286949298627482E-2</v>
      </c>
      <c r="AG250" s="231">
        <f>+AG248</f>
        <v>-1291422.8099999996</v>
      </c>
      <c r="AH250" s="119">
        <f>AG250/AG31</f>
        <v>-3.1701172333642273E-2</v>
      </c>
      <c r="AI250" s="273">
        <f t="shared" si="40"/>
        <v>-0.12130392574453963</v>
      </c>
      <c r="AJ250" s="231">
        <f>+AJ248</f>
        <v>-6300296.6399999997</v>
      </c>
      <c r="AK250" s="119">
        <f>AJ250/AJ31</f>
        <v>-3.6370511349244954E-2</v>
      </c>
    </row>
    <row r="251" spans="1:37" s="66" customFormat="1" x14ac:dyDescent="0.2">
      <c r="A251" s="62"/>
      <c r="B251" s="62" t="s">
        <v>2</v>
      </c>
      <c r="C251" s="107" t="s">
        <v>264</v>
      </c>
      <c r="D251" s="119"/>
      <c r="E251" s="63" t="s">
        <v>264</v>
      </c>
      <c r="F251" s="119"/>
      <c r="G251" s="63" t="s">
        <v>264</v>
      </c>
      <c r="H251" s="119"/>
      <c r="I251" s="230" t="s">
        <v>264</v>
      </c>
      <c r="J251" s="119"/>
      <c r="K251" s="63" t="s">
        <v>264</v>
      </c>
      <c r="L251" s="119"/>
      <c r="M251" s="63" t="s">
        <v>264</v>
      </c>
      <c r="N251" s="119"/>
      <c r="O251" s="63" t="s">
        <v>264</v>
      </c>
      <c r="P251" s="119"/>
      <c r="Q251" s="230" t="s">
        <v>264</v>
      </c>
      <c r="R251" s="119"/>
      <c r="S251" s="63" t="s">
        <v>264</v>
      </c>
      <c r="T251" s="119"/>
      <c r="U251" s="63" t="s">
        <v>264</v>
      </c>
      <c r="V251" s="119"/>
      <c r="W251" s="63" t="s">
        <v>264</v>
      </c>
      <c r="X251" s="119"/>
      <c r="Y251" s="230" t="s">
        <v>264</v>
      </c>
      <c r="Z251" s="119"/>
      <c r="AA251" s="63" t="s">
        <v>264</v>
      </c>
      <c r="AB251" s="119"/>
      <c r="AC251" s="63" t="s">
        <v>264</v>
      </c>
      <c r="AD251" s="119"/>
      <c r="AE251" s="63" t="s">
        <v>264</v>
      </c>
      <c r="AF251" s="119"/>
      <c r="AG251" s="230" t="s">
        <v>264</v>
      </c>
      <c r="AH251" s="119"/>
      <c r="AI251" s="275"/>
      <c r="AJ251" s="230" t="s">
        <v>264</v>
      </c>
      <c r="AK251" s="119"/>
    </row>
    <row r="252" spans="1:37" s="66" customFormat="1" x14ac:dyDescent="0.2">
      <c r="A252" s="651" t="s">
        <v>455</v>
      </c>
      <c r="B252" s="651"/>
      <c r="C252" s="134">
        <f>+C250</f>
        <v>-821400.35</v>
      </c>
      <c r="D252" s="119">
        <f>C252/C31</f>
        <v>-7.6181584756530307E-2</v>
      </c>
      <c r="E252" s="105">
        <f>+E250</f>
        <v>-313546.28000000003</v>
      </c>
      <c r="F252" s="119">
        <f>E252/E31</f>
        <v>-2.4378741683149588E-2</v>
      </c>
      <c r="G252" s="105">
        <f>+G250</f>
        <v>-426323.19</v>
      </c>
      <c r="H252" s="119">
        <f>G252/G31</f>
        <v>-2.8195886034475596E-2</v>
      </c>
      <c r="I252" s="235">
        <f>+I250</f>
        <v>-1561269.8199999998</v>
      </c>
      <c r="J252" s="119">
        <f>I252/I31</f>
        <v>-4.0276646176754999E-2</v>
      </c>
      <c r="K252" s="105">
        <f>+K250</f>
        <v>-506591.25</v>
      </c>
      <c r="L252" s="119">
        <f>K252/K31</f>
        <v>-3.6209018377599309E-2</v>
      </c>
      <c r="M252" s="105">
        <f>+M250</f>
        <v>-486244.8600000001</v>
      </c>
      <c r="N252" s="119">
        <f>M252/M31</f>
        <v>-4.0207593507687267E-2</v>
      </c>
      <c r="O252" s="105">
        <f>+O250</f>
        <v>-985064.27</v>
      </c>
      <c r="P252" s="119">
        <f>O252/O31</f>
        <v>-4.6409122831066227E-2</v>
      </c>
      <c r="Q252" s="235">
        <f>+Q250</f>
        <v>-1977900.3800000001</v>
      </c>
      <c r="R252" s="119">
        <f>Q252/Q31</f>
        <v>-4.1807442794878975E-2</v>
      </c>
      <c r="S252" s="105">
        <f>+S250</f>
        <v>-879641.53000000026</v>
      </c>
      <c r="T252" s="119">
        <f>S252/S31</f>
        <v>-5.967708105383239E-2</v>
      </c>
      <c r="U252" s="105">
        <f>+U250</f>
        <v>-191986.4299999997</v>
      </c>
      <c r="V252" s="119">
        <f>U252/U31</f>
        <v>-1.6679933262379907E-2</v>
      </c>
      <c r="W252" s="105">
        <f>+W250</f>
        <v>-398075.66999999993</v>
      </c>
      <c r="X252" s="119">
        <f>W252/W31</f>
        <v>-1.9741351521491708E-2</v>
      </c>
      <c r="Y252" s="235">
        <f>+Y250</f>
        <v>-1469703.63</v>
      </c>
      <c r="Z252" s="119">
        <f>Y252/Y31</f>
        <v>-3.1664679157277151E-2</v>
      </c>
      <c r="AA252" s="105">
        <f>+AA250</f>
        <v>-507066.01999999955</v>
      </c>
      <c r="AB252" s="119">
        <f>AA252/AA31</f>
        <v>-4.5454957812695297E-2</v>
      </c>
      <c r="AC252" s="105">
        <f>+AC250</f>
        <v>-345801.36000000034</v>
      </c>
      <c r="AD252" s="119">
        <f>AC252/AC31</f>
        <v>-2.5595865652424745E-2</v>
      </c>
      <c r="AE252" s="105">
        <f>+AE250</f>
        <v>-438555.4299999997</v>
      </c>
      <c r="AF252" s="119">
        <f>AE252/AE31</f>
        <v>-2.7286949298627482E-2</v>
      </c>
      <c r="AG252" s="235">
        <f>+AG250</f>
        <v>-1291422.8099999996</v>
      </c>
      <c r="AH252" s="119">
        <f>AG252/AG31</f>
        <v>-3.1701172333642273E-2</v>
      </c>
      <c r="AI252" s="273">
        <f t="shared" si="40"/>
        <v>-0.12130392574453963</v>
      </c>
      <c r="AJ252" s="235">
        <f>+AJ250</f>
        <v>-6300296.6399999997</v>
      </c>
      <c r="AK252" s="119">
        <f>AJ252/AJ31</f>
        <v>-3.6370511349244954E-2</v>
      </c>
    </row>
    <row r="253" spans="1:37" s="66" customFormat="1" x14ac:dyDescent="0.2">
      <c r="A253" s="62"/>
      <c r="B253" s="62"/>
      <c r="C253" s="107"/>
      <c r="D253" s="119"/>
      <c r="E253" s="63"/>
      <c r="F253" s="119"/>
      <c r="G253" s="63"/>
      <c r="H253" s="119"/>
      <c r="I253" s="230"/>
      <c r="J253" s="119"/>
      <c r="K253" s="63"/>
      <c r="L253" s="119"/>
      <c r="M253" s="63"/>
      <c r="N253" s="119"/>
      <c r="O253" s="63"/>
      <c r="P253" s="119"/>
      <c r="Q253" s="230"/>
      <c r="R253" s="119"/>
      <c r="S253" s="63"/>
      <c r="T253" s="119"/>
      <c r="U253" s="63"/>
      <c r="V253" s="119"/>
      <c r="W253" s="63"/>
      <c r="X253" s="119"/>
      <c r="Y253" s="230"/>
      <c r="Z253" s="119"/>
      <c r="AA253" s="63"/>
      <c r="AB253" s="119"/>
      <c r="AC253" s="63"/>
      <c r="AD253" s="119"/>
      <c r="AE253" s="63"/>
      <c r="AF253" s="119"/>
      <c r="AG253" s="230"/>
      <c r="AH253" s="119"/>
      <c r="AI253" s="275"/>
      <c r="AJ253" s="230"/>
      <c r="AK253" s="119"/>
    </row>
    <row r="254" spans="1:37" s="286" customFormat="1" x14ac:dyDescent="0.2">
      <c r="A254" s="220" t="s">
        <v>460</v>
      </c>
      <c r="B254" s="220"/>
      <c r="C254" s="221">
        <f>+C183+C214+C245+C252</f>
        <v>1569223.7337913271</v>
      </c>
      <c r="D254" s="222">
        <f>+C254/C31</f>
        <v>0.14553920128933831</v>
      </c>
      <c r="E254" s="221">
        <f>+E183+E214+E245+E252</f>
        <v>3782467.9537913315</v>
      </c>
      <c r="F254" s="222">
        <f>+E254/E31</f>
        <v>0.29409313728828246</v>
      </c>
      <c r="G254" s="221">
        <f>+G183+G214+G245+G252</f>
        <v>5047511.9237913238</v>
      </c>
      <c r="H254" s="222">
        <f>+G254/G31</f>
        <v>0.33382906278421504</v>
      </c>
      <c r="I254" s="221">
        <f>+I183+I214+I245+I252</f>
        <v>10399203.611373989</v>
      </c>
      <c r="J254" s="222">
        <f>+I254/I31</f>
        <v>0.26827204305745367</v>
      </c>
      <c r="K254" s="221">
        <f>+K183+K214+K245+K252</f>
        <v>2807049.9137913263</v>
      </c>
      <c r="L254" s="222">
        <f>+K254/K31</f>
        <v>0.20063615768197474</v>
      </c>
      <c r="M254" s="221">
        <f>+M183+M214+M245+M252</f>
        <v>3031681.0637913374</v>
      </c>
      <c r="N254" s="222">
        <f>+M254/M31</f>
        <v>0.25068974478799627</v>
      </c>
      <c r="O254" s="221">
        <f>+O183+O214+O245+O252</f>
        <v>6902086.3137913235</v>
      </c>
      <c r="P254" s="222">
        <f>+O254/O31</f>
        <v>0.32517652023594629</v>
      </c>
      <c r="Q254" s="221">
        <f>+Q183+Q214+Q245+Q252</f>
        <v>12740817.291373989</v>
      </c>
      <c r="R254" s="222">
        <f>+Q254/Q31</f>
        <v>0.2693062782409309</v>
      </c>
      <c r="S254" s="221">
        <f>+S183+S214+S245+S252</f>
        <v>6933351.543791336</v>
      </c>
      <c r="T254" s="222">
        <f>+S254/S31</f>
        <v>0.4703759064826662</v>
      </c>
      <c r="U254" s="221">
        <f>+U183+U214+U245+U252</f>
        <v>1921412.0537913274</v>
      </c>
      <c r="V254" s="222">
        <f>+U254/U31</f>
        <v>0.16693380270038721</v>
      </c>
      <c r="W254" s="221">
        <f>+W183+W214+W245+W252</f>
        <v>5252796.083791336</v>
      </c>
      <c r="X254" s="222">
        <f>+W254/W31</f>
        <v>0.26049643767688641</v>
      </c>
      <c r="Y254" s="221">
        <f>+Y183+Y214+Y245+Y252</f>
        <v>14107559.68137401</v>
      </c>
      <c r="Z254" s="222">
        <f>+Y254/Y31</f>
        <v>0.30394655213775795</v>
      </c>
      <c r="AA254" s="221">
        <f>+AA183+AA214+AA245+AA252</f>
        <v>1618945.3337913239</v>
      </c>
      <c r="AB254" s="222">
        <f>+AA254/AA31</f>
        <v>0.14512723973999403</v>
      </c>
      <c r="AC254" s="221">
        <f>+AC183+AC214+AC245+AC252</f>
        <v>2581347.0237913202</v>
      </c>
      <c r="AD254" s="222">
        <f>+AC254/AC31</f>
        <v>0.19106868643677119</v>
      </c>
      <c r="AE254" s="221">
        <f>+AE183+AE214+AE245+AE252</f>
        <v>9123064.2037913203</v>
      </c>
      <c r="AF254" s="222">
        <f>+AE254/AE31</f>
        <v>0.56763768807281045</v>
      </c>
      <c r="AG254" s="221">
        <f>+AG183+AG214+AG245+AG252</f>
        <v>13323356.561373964</v>
      </c>
      <c r="AH254" s="222">
        <f>+AG254/AG31</f>
        <v>0.32705479502462842</v>
      </c>
      <c r="AI254" s="273">
        <f t="shared" si="40"/>
        <v>-5.55874394800836E-2</v>
      </c>
      <c r="AJ254" s="221">
        <f>+AJ183+AJ214+AJ245+AJ252</f>
        <v>50570937.145495936</v>
      </c>
      <c r="AK254" s="222">
        <f>+AJ254/AJ31</f>
        <v>0.29193718145185832</v>
      </c>
    </row>
    <row r="255" spans="1:37" s="66" customFormat="1" x14ac:dyDescent="0.2">
      <c r="A255" s="62"/>
      <c r="B255" s="62"/>
      <c r="C255" s="107"/>
      <c r="D255" s="119"/>
      <c r="E255" s="63"/>
      <c r="F255" s="119"/>
      <c r="G255" s="63"/>
      <c r="H255" s="119"/>
      <c r="I255" s="230"/>
      <c r="J255" s="119"/>
      <c r="K255" s="63"/>
      <c r="L255" s="119"/>
      <c r="M255" s="63"/>
      <c r="N255" s="119"/>
      <c r="O255" s="63"/>
      <c r="P255" s="119"/>
      <c r="Q255" s="230"/>
      <c r="R255" s="119"/>
      <c r="S255" s="63"/>
      <c r="T255" s="119"/>
      <c r="U255" s="63"/>
      <c r="V255" s="119"/>
      <c r="W255" s="63"/>
      <c r="X255" s="119"/>
      <c r="Y255" s="230"/>
      <c r="Z255" s="119"/>
      <c r="AA255" s="63"/>
      <c r="AB255" s="119"/>
      <c r="AC255" s="63"/>
      <c r="AD255" s="119"/>
      <c r="AE255" s="63"/>
      <c r="AF255" s="119"/>
      <c r="AG255" s="230"/>
      <c r="AH255" s="119"/>
      <c r="AI255" s="275"/>
      <c r="AJ255" s="230"/>
      <c r="AK255" s="119"/>
    </row>
    <row r="256" spans="1:37" s="66" customFormat="1" x14ac:dyDescent="0.2">
      <c r="A256" s="650" t="s">
        <v>456</v>
      </c>
      <c r="B256" s="650"/>
      <c r="C256" s="107"/>
      <c r="D256" s="119"/>
      <c r="E256" s="107"/>
      <c r="F256" s="119"/>
      <c r="G256" s="107"/>
      <c r="H256" s="119"/>
      <c r="I256" s="229"/>
      <c r="J256" s="119"/>
      <c r="K256" s="107"/>
      <c r="L256" s="119"/>
      <c r="M256" s="107"/>
      <c r="N256" s="119"/>
      <c r="O256" s="107"/>
      <c r="P256" s="119"/>
      <c r="Q256" s="229"/>
      <c r="R256" s="119"/>
      <c r="S256" s="107"/>
      <c r="T256" s="119"/>
      <c r="U256" s="107"/>
      <c r="V256" s="119"/>
      <c r="W256" s="107"/>
      <c r="X256" s="119"/>
      <c r="Y256" s="229"/>
      <c r="Z256" s="119"/>
      <c r="AA256" s="107"/>
      <c r="AB256" s="119"/>
      <c r="AC256" s="107"/>
      <c r="AD256" s="119"/>
      <c r="AE256" s="107"/>
      <c r="AF256" s="119"/>
      <c r="AG256" s="229"/>
      <c r="AH256" s="119"/>
      <c r="AI256" s="274"/>
      <c r="AJ256" s="229"/>
      <c r="AK256" s="119"/>
    </row>
    <row r="257" spans="1:37" s="66" customFormat="1" hidden="1" outlineLevel="1" x14ac:dyDescent="0.2">
      <c r="A257" s="62">
        <v>67</v>
      </c>
      <c r="B257" s="62" t="s">
        <v>114</v>
      </c>
      <c r="C257" s="107"/>
      <c r="D257" s="119"/>
      <c r="E257" s="107"/>
      <c r="F257" s="119"/>
      <c r="G257" s="107"/>
      <c r="H257" s="119"/>
      <c r="I257" s="229"/>
      <c r="J257" s="119"/>
      <c r="K257" s="107"/>
      <c r="L257" s="119"/>
      <c r="M257" s="107"/>
      <c r="N257" s="119"/>
      <c r="O257" s="107"/>
      <c r="P257" s="119"/>
      <c r="Q257" s="229"/>
      <c r="R257" s="119"/>
      <c r="S257" s="107"/>
      <c r="T257" s="119"/>
      <c r="U257" s="107"/>
      <c r="V257" s="119"/>
      <c r="W257" s="107"/>
      <c r="X257" s="119"/>
      <c r="Y257" s="229"/>
      <c r="Z257" s="119"/>
      <c r="AA257" s="107"/>
      <c r="AB257" s="119"/>
      <c r="AC257" s="107"/>
      <c r="AD257" s="119"/>
      <c r="AE257" s="107"/>
      <c r="AF257" s="119"/>
      <c r="AG257" s="229"/>
      <c r="AH257" s="119"/>
      <c r="AI257" s="274"/>
      <c r="AJ257" s="229"/>
      <c r="AK257" s="119"/>
    </row>
    <row r="258" spans="1:37" s="66" customFormat="1" hidden="1" outlineLevel="1" x14ac:dyDescent="0.2">
      <c r="A258" s="62">
        <v>67010001</v>
      </c>
      <c r="B258" s="62" t="s">
        <v>114</v>
      </c>
      <c r="C258" s="107">
        <v>-671496</v>
      </c>
      <c r="D258" s="119">
        <f>C258/C262</f>
        <v>0.86218780013045238</v>
      </c>
      <c r="E258" s="107">
        <v>-543518.12000000011</v>
      </c>
      <c r="F258" s="119">
        <f>E258/E262</f>
        <v>0.57694264602149159</v>
      </c>
      <c r="G258" s="107">
        <v>-757732.6800000011</v>
      </c>
      <c r="H258" s="119">
        <f>G258/G262</f>
        <v>0.65784504155557377</v>
      </c>
      <c r="I258" s="229">
        <f>+C258+E258+G258</f>
        <v>-1972746.8000000012</v>
      </c>
      <c r="J258" s="119">
        <f>I258/I262</f>
        <v>0.68671385886368641</v>
      </c>
      <c r="K258" s="107">
        <v>-1193386.649999999</v>
      </c>
      <c r="L258" s="119">
        <f>K258/K262</f>
        <v>0.79223958325899491</v>
      </c>
      <c r="M258" s="107">
        <v>-472557.72999999858</v>
      </c>
      <c r="N258" s="119">
        <f>M258/M262</f>
        <v>0.62094108372688783</v>
      </c>
      <c r="O258" s="107">
        <v>-2075937.9200000009</v>
      </c>
      <c r="P258" s="119">
        <f>O258/O262</f>
        <v>0.68236166465357395</v>
      </c>
      <c r="Q258" s="229">
        <f>+K258+M258+O258</f>
        <v>-3741882.2999999984</v>
      </c>
      <c r="R258" s="119">
        <f>Q258/Q262</f>
        <v>0.70473048550357487</v>
      </c>
      <c r="S258" s="107">
        <v>-946945.91999999899</v>
      </c>
      <c r="T258" s="119">
        <f>S258/S262</f>
        <v>0.60557568685669394</v>
      </c>
      <c r="U258" s="107">
        <v>773299.74999999814</v>
      </c>
      <c r="V258" s="119">
        <f>U258/U262</f>
        <v>1.74847590531366</v>
      </c>
      <c r="W258" s="107">
        <v>-3474117.3399999952</v>
      </c>
      <c r="X258" s="119">
        <f>W258/W262</f>
        <v>0.84180551598737474</v>
      </c>
      <c r="Y258" s="229">
        <f>+S258+U258+W258</f>
        <v>-3647763.5099999961</v>
      </c>
      <c r="Z258" s="119">
        <f>Y258/Y262</f>
        <v>0.69502066821191621</v>
      </c>
      <c r="AA258" s="107">
        <v>2224075.7999999989</v>
      </c>
      <c r="AB258" s="119">
        <f>AA258/AA262</f>
        <v>1.0927682433504078</v>
      </c>
      <c r="AC258" s="107">
        <v>-430239.31000000238</v>
      </c>
      <c r="AD258" s="119">
        <f>AC258/AC262</f>
        <v>0.59843453702778737</v>
      </c>
      <c r="AE258" s="107">
        <v>-4670672.299999997</v>
      </c>
      <c r="AF258" s="119">
        <f>AE258/AE262</f>
        <v>0.80596721739659705</v>
      </c>
      <c r="AG258" s="229">
        <f>+AA258+AC258+AE258</f>
        <v>-2876835.8100000005</v>
      </c>
      <c r="AH258" s="119">
        <f>AG258/AG262</f>
        <v>0.64232459351393312</v>
      </c>
      <c r="AI258" s="273">
        <f t="shared" ref="AI258:AI266" si="41">+IFERROR(AG258/Y258-1,"0")</f>
        <v>-0.21134256590005651</v>
      </c>
      <c r="AJ258" s="229">
        <f>+I258+Q258+Y258+AG258</f>
        <v>-12239228.419999996</v>
      </c>
      <c r="AK258" s="119">
        <f>AJ258/AJ262</f>
        <v>0.68338881656642669</v>
      </c>
    </row>
    <row r="259" spans="1:37" s="66" customFormat="1" hidden="1" outlineLevel="1" x14ac:dyDescent="0.2">
      <c r="A259" s="62">
        <v>67010002</v>
      </c>
      <c r="B259" s="62" t="s">
        <v>489</v>
      </c>
      <c r="C259" s="107"/>
      <c r="D259" s="119"/>
      <c r="E259" s="107"/>
      <c r="F259" s="119"/>
      <c r="G259" s="107"/>
      <c r="H259" s="119"/>
      <c r="I259" s="229"/>
      <c r="J259" s="119"/>
      <c r="K259" s="107"/>
      <c r="L259" s="119"/>
      <c r="M259" s="107"/>
      <c r="N259" s="119"/>
      <c r="O259" s="107"/>
      <c r="P259" s="119"/>
      <c r="Q259" s="229"/>
      <c r="R259" s="119"/>
      <c r="S259" s="107"/>
      <c r="T259" s="119"/>
      <c r="U259" s="107"/>
      <c r="V259" s="119"/>
      <c r="W259" s="107"/>
      <c r="X259" s="119"/>
      <c r="Y259" s="229"/>
      <c r="Z259" s="119"/>
      <c r="AA259" s="107"/>
      <c r="AB259" s="119"/>
      <c r="AC259" s="107"/>
      <c r="AD259" s="119"/>
      <c r="AE259" s="104">
        <v>-232502</v>
      </c>
      <c r="AF259" s="119"/>
      <c r="AG259" s="229">
        <f>+AA259+AC259+AE259</f>
        <v>-232502</v>
      </c>
      <c r="AH259" s="119"/>
      <c r="AI259" s="273" t="str">
        <f t="shared" si="41"/>
        <v>0</v>
      </c>
      <c r="AJ259" s="229">
        <f>+I259+Q259+Y259+AG259</f>
        <v>-232502</v>
      </c>
      <c r="AK259" s="119"/>
    </row>
    <row r="260" spans="1:37" s="66" customFormat="1" hidden="1" outlineLevel="1" x14ac:dyDescent="0.2">
      <c r="A260" s="62">
        <v>68010003</v>
      </c>
      <c r="B260" s="62" t="s">
        <v>174</v>
      </c>
      <c r="C260" s="107">
        <v>-107332</v>
      </c>
      <c r="D260" s="119">
        <f>C260/C262</f>
        <v>0.13781219986954757</v>
      </c>
      <c r="E260" s="107">
        <v>-398548</v>
      </c>
      <c r="F260" s="119">
        <f>E260/E262</f>
        <v>0.42305735397850835</v>
      </c>
      <c r="G260" s="107">
        <v>-394108</v>
      </c>
      <c r="H260" s="119">
        <f>G260/G262</f>
        <v>0.34215495844442623</v>
      </c>
      <c r="I260" s="229">
        <f>+C260+E260+G260</f>
        <v>-899988</v>
      </c>
      <c r="J260" s="119">
        <f>I260/I262</f>
        <v>0.31328614113631359</v>
      </c>
      <c r="K260" s="107">
        <v>-312959</v>
      </c>
      <c r="L260" s="119">
        <f>K260/K262</f>
        <v>0.20776041674100509</v>
      </c>
      <c r="M260" s="107">
        <v>-288477</v>
      </c>
      <c r="N260" s="119">
        <f>M260/M262</f>
        <v>0.37905891627311217</v>
      </c>
      <c r="O260" s="107">
        <v>-966346</v>
      </c>
      <c r="P260" s="119">
        <f>O260/O262</f>
        <v>0.3176383353464261</v>
      </c>
      <c r="Q260" s="229">
        <f>+K260+M260+O260</f>
        <v>-1567782</v>
      </c>
      <c r="R260" s="119">
        <f>Q260/Q262</f>
        <v>0.29526951449642502</v>
      </c>
      <c r="S260" s="107">
        <v>-616766</v>
      </c>
      <c r="T260" s="119">
        <f>S260/S262</f>
        <v>0.39442431314330606</v>
      </c>
      <c r="U260" s="107">
        <v>-331029</v>
      </c>
      <c r="V260" s="119">
        <f>U260/U262</f>
        <v>-0.74847590531366004</v>
      </c>
      <c r="W260" s="107">
        <v>-652866</v>
      </c>
      <c r="X260" s="119">
        <f>W260/W262</f>
        <v>0.15819448401262526</v>
      </c>
      <c r="Y260" s="229">
        <f>+S260+U260+W260</f>
        <v>-1600661</v>
      </c>
      <c r="Z260" s="119">
        <f>Y260/Y262</f>
        <v>0.30497933178808379</v>
      </c>
      <c r="AA260" s="107">
        <v>-188808.20000000019</v>
      </c>
      <c r="AB260" s="119">
        <f>AA260/AA262</f>
        <v>-9.2768243350407731E-2</v>
      </c>
      <c r="AC260" s="107">
        <v>-288702</v>
      </c>
      <c r="AD260" s="119">
        <f>AC260/AC262</f>
        <v>0.40156546297221263</v>
      </c>
      <c r="AE260" s="107">
        <v>-891940.18999999948</v>
      </c>
      <c r="AF260" s="119">
        <f>AE260/AE262</f>
        <v>0.15391243633566246</v>
      </c>
      <c r="AG260" s="229">
        <f>+AA260+AC260+AE260</f>
        <v>-1369450.3899999997</v>
      </c>
      <c r="AH260" s="119">
        <f>AG260/AG262</f>
        <v>0.3057635969479422</v>
      </c>
      <c r="AI260" s="273">
        <f t="shared" si="41"/>
        <v>-0.14444695660105444</v>
      </c>
      <c r="AJ260" s="229">
        <f>+I260+Q260+Y260+AG260</f>
        <v>-5437881.3899999997</v>
      </c>
      <c r="AK260" s="119">
        <f>AJ260/AJ262</f>
        <v>0.30362921584730884</v>
      </c>
    </row>
    <row r="261" spans="1:37" s="66" customFormat="1" hidden="1" outlineLevel="1" x14ac:dyDescent="0.2">
      <c r="A261" s="62"/>
      <c r="B261" s="62" t="s">
        <v>2</v>
      </c>
      <c r="C261" s="107" t="s">
        <v>264</v>
      </c>
      <c r="D261" s="119"/>
      <c r="E261" s="63" t="s">
        <v>264</v>
      </c>
      <c r="F261" s="119"/>
      <c r="G261" s="63" t="s">
        <v>264</v>
      </c>
      <c r="H261" s="119"/>
      <c r="I261" s="230" t="s">
        <v>264</v>
      </c>
      <c r="J261" s="119"/>
      <c r="K261" s="63" t="s">
        <v>264</v>
      </c>
      <c r="L261" s="119"/>
      <c r="M261" s="63" t="s">
        <v>264</v>
      </c>
      <c r="N261" s="119"/>
      <c r="O261" s="63" t="s">
        <v>264</v>
      </c>
      <c r="P261" s="119"/>
      <c r="Q261" s="230" t="s">
        <v>264</v>
      </c>
      <c r="R261" s="119"/>
      <c r="S261" s="63" t="s">
        <v>264</v>
      </c>
      <c r="T261" s="119"/>
      <c r="U261" s="63" t="s">
        <v>264</v>
      </c>
      <c r="V261" s="119"/>
      <c r="W261" s="63" t="s">
        <v>264</v>
      </c>
      <c r="X261" s="119"/>
      <c r="Y261" s="230" t="s">
        <v>264</v>
      </c>
      <c r="Z261" s="119"/>
      <c r="AA261" s="63" t="s">
        <v>264</v>
      </c>
      <c r="AB261" s="119"/>
      <c r="AC261" s="63" t="s">
        <v>264</v>
      </c>
      <c r="AD261" s="119"/>
      <c r="AE261" s="63" t="s">
        <v>264</v>
      </c>
      <c r="AF261" s="119"/>
      <c r="AG261" s="230" t="s">
        <v>264</v>
      </c>
      <c r="AH261" s="119"/>
      <c r="AI261" s="275"/>
      <c r="AJ261" s="230" t="s">
        <v>264</v>
      </c>
      <c r="AK261" s="119"/>
    </row>
    <row r="262" spans="1:37" s="66" customFormat="1" collapsed="1" x14ac:dyDescent="0.2">
      <c r="A262" s="64" t="s">
        <v>173</v>
      </c>
      <c r="B262" s="64" t="s">
        <v>369</v>
      </c>
      <c r="C262" s="108">
        <f>+C258+C260+C259</f>
        <v>-778828</v>
      </c>
      <c r="D262" s="119">
        <f>C262/C31</f>
        <v>-7.223317021079792E-2</v>
      </c>
      <c r="E262" s="108">
        <f>+E258+E260+E259</f>
        <v>-942066.12000000011</v>
      </c>
      <c r="F262" s="119">
        <f>E262/E31</f>
        <v>-7.3247198429294086E-2</v>
      </c>
      <c r="G262" s="108">
        <f>+G258+G260+G259</f>
        <v>-1151840.6800000011</v>
      </c>
      <c r="H262" s="119">
        <f>G262/G31</f>
        <v>-7.6179690209094431E-2</v>
      </c>
      <c r="I262" s="108">
        <f>+I258+I260+I259</f>
        <v>-2872734.8000000012</v>
      </c>
      <c r="J262" s="119">
        <f>I262/I31</f>
        <v>-7.4108985914587838E-2</v>
      </c>
      <c r="K262" s="108">
        <f>+K258+K260+K259</f>
        <v>-1506345.649999999</v>
      </c>
      <c r="L262" s="119">
        <f>K262/K31</f>
        <v>-0.10766727084975657</v>
      </c>
      <c r="M262" s="108">
        <f>+M258+M260+M259</f>
        <v>-761034.72999999858</v>
      </c>
      <c r="N262" s="119">
        <f>M262/M31</f>
        <v>-6.2929971268122956E-2</v>
      </c>
      <c r="O262" s="108">
        <f>+O258+O260+O259</f>
        <v>-3042283.9200000009</v>
      </c>
      <c r="P262" s="119">
        <f>O262/O31</f>
        <v>-0.1433304733814553</v>
      </c>
      <c r="Q262" s="108">
        <f>+Q258+Q260+Q259</f>
        <v>-5309664.2999999989</v>
      </c>
      <c r="R262" s="119">
        <f>Q262/Q31</f>
        <v>-0.11223188423790134</v>
      </c>
      <c r="S262" s="108">
        <f>+S258+S260+S259</f>
        <v>-1563711.919999999</v>
      </c>
      <c r="T262" s="119">
        <f>S262/S31</f>
        <v>-0.10608612691886408</v>
      </c>
      <c r="U262" s="108">
        <f>+U258+U260+U259</f>
        <v>442270.74999999814</v>
      </c>
      <c r="V262" s="119">
        <f>U262/U31</f>
        <v>3.8424833431731024E-2</v>
      </c>
      <c r="W262" s="108">
        <f>+W258+W260+W259</f>
        <v>-4126983.3399999952</v>
      </c>
      <c r="X262" s="119">
        <f>W262/W31</f>
        <v>-0.20466518046249813</v>
      </c>
      <c r="Y262" s="108">
        <f>+Y258+Y260+Y259</f>
        <v>-5248424.5099999961</v>
      </c>
      <c r="Z262" s="119">
        <f>Y262/Y31</f>
        <v>-0.11307700055849997</v>
      </c>
      <c r="AA262" s="108">
        <f>+AA258+AA260+AA259</f>
        <v>2035267.5999999987</v>
      </c>
      <c r="AB262" s="119">
        <f>AA262/AA31</f>
        <v>0.18244764832702778</v>
      </c>
      <c r="AC262" s="108">
        <f>+AC258+AC260+AC259</f>
        <v>-718941.31000000238</v>
      </c>
      <c r="AD262" s="119">
        <f>AC262/AC31</f>
        <v>-5.3215305985894024E-2</v>
      </c>
      <c r="AE262" s="108">
        <f>+AE258+AE260+AE259</f>
        <v>-5795114.4899999965</v>
      </c>
      <c r="AF262" s="119">
        <f>AE262/AE31</f>
        <v>-0.36057242585816685</v>
      </c>
      <c r="AG262" s="108">
        <f>+AG258+AG260+AG259</f>
        <v>-4478788.2</v>
      </c>
      <c r="AH262" s="119">
        <f>AG262/AG31</f>
        <v>-0.10994295243560358</v>
      </c>
      <c r="AI262" s="273">
        <f t="shared" si="41"/>
        <v>-0.14664139848702828</v>
      </c>
      <c r="AJ262" s="231">
        <f>+AJ258+AJ260+AJ259</f>
        <v>-17909611.809999995</v>
      </c>
      <c r="AK262" s="119">
        <f>AJ262/AJ31</f>
        <v>-0.10338905877234637</v>
      </c>
    </row>
    <row r="263" spans="1:37" s="66" customFormat="1" x14ac:dyDescent="0.2">
      <c r="A263" s="62"/>
      <c r="B263" s="62"/>
      <c r="C263" s="107" t="s">
        <v>264</v>
      </c>
      <c r="D263" s="119"/>
      <c r="E263" s="104" t="s">
        <v>264</v>
      </c>
      <c r="F263" s="119"/>
      <c r="G263" s="104" t="s">
        <v>264</v>
      </c>
      <c r="H263" s="119"/>
      <c r="I263" s="237" t="s">
        <v>264</v>
      </c>
      <c r="J263" s="119"/>
      <c r="K263" s="104" t="s">
        <v>264</v>
      </c>
      <c r="L263" s="119"/>
      <c r="M263" s="104" t="s">
        <v>264</v>
      </c>
      <c r="N263" s="119"/>
      <c r="O263" s="104" t="s">
        <v>264</v>
      </c>
      <c r="P263" s="119"/>
      <c r="Q263" s="237" t="s">
        <v>264</v>
      </c>
      <c r="R263" s="119"/>
      <c r="S263" s="104" t="s">
        <v>264</v>
      </c>
      <c r="T263" s="119"/>
      <c r="U263" s="104" t="s">
        <v>264</v>
      </c>
      <c r="V263" s="119"/>
      <c r="W263" s="104" t="s">
        <v>264</v>
      </c>
      <c r="X263" s="119"/>
      <c r="Y263" s="237" t="s">
        <v>264</v>
      </c>
      <c r="Z263" s="119"/>
      <c r="AA263" s="104" t="s">
        <v>264</v>
      </c>
      <c r="AB263" s="119"/>
      <c r="AC263" s="104" t="s">
        <v>264</v>
      </c>
      <c r="AD263" s="119"/>
      <c r="AE263" s="104" t="s">
        <v>264</v>
      </c>
      <c r="AF263" s="119"/>
      <c r="AG263" s="237" t="s">
        <v>264</v>
      </c>
      <c r="AH263" s="119"/>
      <c r="AI263" s="277"/>
      <c r="AJ263" s="237" t="s">
        <v>264</v>
      </c>
      <c r="AK263" s="119"/>
    </row>
    <row r="264" spans="1:37" s="66" customFormat="1" x14ac:dyDescent="0.2">
      <c r="A264" s="651" t="s">
        <v>446</v>
      </c>
      <c r="B264" s="651"/>
      <c r="C264" s="134">
        <f>+C262</f>
        <v>-778828</v>
      </c>
      <c r="D264" s="119">
        <f>C264/C31</f>
        <v>-7.223317021079792E-2</v>
      </c>
      <c r="E264" s="105">
        <f>+E262</f>
        <v>-942066.12000000011</v>
      </c>
      <c r="F264" s="119">
        <f>E264/E31</f>
        <v>-7.3247198429294086E-2</v>
      </c>
      <c r="G264" s="105">
        <f>+G262</f>
        <v>-1151840.6800000011</v>
      </c>
      <c r="H264" s="119">
        <f>G264/G31</f>
        <v>-7.6179690209094431E-2</v>
      </c>
      <c r="I264" s="235">
        <f>+I262</f>
        <v>-2872734.8000000012</v>
      </c>
      <c r="J264" s="119">
        <f>I264/I31</f>
        <v>-7.4108985914587838E-2</v>
      </c>
      <c r="K264" s="105">
        <f>+K262</f>
        <v>-1506345.649999999</v>
      </c>
      <c r="L264" s="119">
        <f>K264/K31</f>
        <v>-0.10766727084975657</v>
      </c>
      <c r="M264" s="105">
        <f>+M262</f>
        <v>-761034.72999999858</v>
      </c>
      <c r="N264" s="119">
        <f>M264/M31</f>
        <v>-6.2929971268122956E-2</v>
      </c>
      <c r="O264" s="105">
        <f>+O262</f>
        <v>-3042283.9200000009</v>
      </c>
      <c r="P264" s="119">
        <f>O264/O31</f>
        <v>-0.1433304733814553</v>
      </c>
      <c r="Q264" s="235">
        <f>+Q262</f>
        <v>-5309664.2999999989</v>
      </c>
      <c r="R264" s="119">
        <f>Q264/Q31</f>
        <v>-0.11223188423790134</v>
      </c>
      <c r="S264" s="105">
        <f>+S262</f>
        <v>-1563711.919999999</v>
      </c>
      <c r="T264" s="119">
        <f>S264/S31</f>
        <v>-0.10608612691886408</v>
      </c>
      <c r="U264" s="105">
        <f>+U262</f>
        <v>442270.74999999814</v>
      </c>
      <c r="V264" s="119">
        <f>U264/U31</f>
        <v>3.8424833431731024E-2</v>
      </c>
      <c r="W264" s="105">
        <f>+W262</f>
        <v>-4126983.3399999952</v>
      </c>
      <c r="X264" s="119">
        <f>W264/W31</f>
        <v>-0.20466518046249813</v>
      </c>
      <c r="Y264" s="235">
        <f>+Y262</f>
        <v>-5248424.5099999961</v>
      </c>
      <c r="Z264" s="119">
        <f>Y264/Y31</f>
        <v>-0.11307700055849997</v>
      </c>
      <c r="AA264" s="105">
        <f>+AA262</f>
        <v>2035267.5999999987</v>
      </c>
      <c r="AB264" s="119">
        <f>AA264/AA31</f>
        <v>0.18244764832702778</v>
      </c>
      <c r="AC264" s="105">
        <f>+AC262</f>
        <v>-718941.31000000238</v>
      </c>
      <c r="AD264" s="119">
        <f>AC264/AC31</f>
        <v>-5.3215305985894024E-2</v>
      </c>
      <c r="AE264" s="105">
        <f>+AE262</f>
        <v>-5795114.4899999965</v>
      </c>
      <c r="AF264" s="119">
        <f>AE264/AE31</f>
        <v>-0.36057242585816685</v>
      </c>
      <c r="AG264" s="235">
        <f>+AG262</f>
        <v>-4478788.2</v>
      </c>
      <c r="AH264" s="119">
        <f>AG264/AG31</f>
        <v>-0.10994295243560358</v>
      </c>
      <c r="AI264" s="273">
        <f t="shared" si="41"/>
        <v>-0.14664139848702828</v>
      </c>
      <c r="AJ264" s="235">
        <f>+AJ262</f>
        <v>-17909611.809999995</v>
      </c>
      <c r="AK264" s="119">
        <f>AJ264/AJ31</f>
        <v>-0.10338905877234637</v>
      </c>
    </row>
    <row r="265" spans="1:37" s="66" customFormat="1" x14ac:dyDescent="0.2">
      <c r="A265" s="59"/>
      <c r="B265" s="59"/>
      <c r="C265" s="134"/>
      <c r="D265" s="119"/>
      <c r="E265" s="105"/>
      <c r="F265" s="119"/>
      <c r="G265" s="105"/>
      <c r="H265" s="119"/>
      <c r="I265" s="235"/>
      <c r="J265" s="119"/>
      <c r="K265" s="105"/>
      <c r="L265" s="119"/>
      <c r="M265" s="105"/>
      <c r="N265" s="119"/>
      <c r="O265" s="105"/>
      <c r="P265" s="119"/>
      <c r="Q265" s="235"/>
      <c r="R265" s="119"/>
      <c r="S265" s="105"/>
      <c r="T265" s="119"/>
      <c r="U265" s="105"/>
      <c r="V265" s="119"/>
      <c r="W265" s="105"/>
      <c r="X265" s="119"/>
      <c r="Y265" s="235"/>
      <c r="Z265" s="119"/>
      <c r="AA265" s="105"/>
      <c r="AB265" s="119"/>
      <c r="AC265" s="105"/>
      <c r="AD265" s="119"/>
      <c r="AE265" s="105"/>
      <c r="AF265" s="119"/>
      <c r="AG265" s="235"/>
      <c r="AH265" s="119"/>
      <c r="AI265" s="223"/>
      <c r="AJ265" s="235"/>
      <c r="AK265" s="119"/>
    </row>
    <row r="266" spans="1:37" s="287" customFormat="1" ht="13.5" thickBot="1" x14ac:dyDescent="0.25">
      <c r="A266" s="220" t="s">
        <v>266</v>
      </c>
      <c r="B266" s="220"/>
      <c r="C266" s="224">
        <f>+C254+C264</f>
        <v>790395.7337913271</v>
      </c>
      <c r="D266" s="225">
        <f>+C266/C31</f>
        <v>7.330603107854039E-2</v>
      </c>
      <c r="E266" s="224">
        <f>+E254+E264</f>
        <v>2840401.8337913314</v>
      </c>
      <c r="F266" s="225">
        <f>+E266/E31</f>
        <v>0.2208459388589884</v>
      </c>
      <c r="G266" s="224">
        <f>+G254+G264</f>
        <v>3895671.2437913227</v>
      </c>
      <c r="H266" s="225">
        <f>+G266/G31</f>
        <v>0.25764937257512061</v>
      </c>
      <c r="I266" s="224">
        <f>+I254+I264</f>
        <v>7526468.8113739882</v>
      </c>
      <c r="J266" s="225">
        <f>+I266/I31</f>
        <v>0.19416305714286586</v>
      </c>
      <c r="K266" s="224">
        <f>+K254+K264</f>
        <v>1300704.2637913274</v>
      </c>
      <c r="L266" s="225">
        <f>+K266/K31</f>
        <v>9.2968886832218184E-2</v>
      </c>
      <c r="M266" s="224">
        <f>+M254+M264</f>
        <v>2270646.3337913388</v>
      </c>
      <c r="N266" s="225">
        <f>+M266/M31</f>
        <v>0.1877597735198733</v>
      </c>
      <c r="O266" s="224">
        <f>+O254+O264</f>
        <v>3859802.3937913226</v>
      </c>
      <c r="P266" s="225">
        <f>+O266/O31</f>
        <v>0.18184604685449099</v>
      </c>
      <c r="Q266" s="224">
        <f>+Q254+Q264</f>
        <v>7431152.9913739897</v>
      </c>
      <c r="R266" s="225">
        <f>+Q266/Q31</f>
        <v>0.15707439400302953</v>
      </c>
      <c r="S266" s="224">
        <f>+S254+S264</f>
        <v>5369639.623791337</v>
      </c>
      <c r="T266" s="225">
        <f>+S266/S31</f>
        <v>0.3642897795638021</v>
      </c>
      <c r="U266" s="224">
        <f>+U254+U264</f>
        <v>2363682.8037913255</v>
      </c>
      <c r="V266" s="225">
        <f>+U266/U31</f>
        <v>0.20535863613211824</v>
      </c>
      <c r="W266" s="224">
        <f>+W254+W264</f>
        <v>1125812.7437913409</v>
      </c>
      <c r="X266" s="225">
        <f>+W266/W31</f>
        <v>5.5831257214388273E-2</v>
      </c>
      <c r="Y266" s="224">
        <f>+Y254+Y264</f>
        <v>8859135.1713740136</v>
      </c>
      <c r="Z266" s="225">
        <f>+Y266/Y31</f>
        <v>0.19086955157925797</v>
      </c>
      <c r="AA266" s="224">
        <f>+AA254+AA264</f>
        <v>3654212.9337913226</v>
      </c>
      <c r="AB266" s="225">
        <f>+AA266/AA31</f>
        <v>0.32757488806702179</v>
      </c>
      <c r="AC266" s="224">
        <f>+AC254+AC264</f>
        <v>1862405.7137913178</v>
      </c>
      <c r="AD266" s="225">
        <f>+AC266/AC31</f>
        <v>0.13785338045087717</v>
      </c>
      <c r="AE266" s="224">
        <f>+AE254+AE264</f>
        <v>3327949.7137913238</v>
      </c>
      <c r="AF266" s="225">
        <f>+AE266/AE31</f>
        <v>0.20706526221464355</v>
      </c>
      <c r="AG266" s="224">
        <f>+AG254+AG264</f>
        <v>8844568.3613739647</v>
      </c>
      <c r="AH266" s="225">
        <f>+AG266/AG31</f>
        <v>0.21711184258902488</v>
      </c>
      <c r="AI266" s="278">
        <f t="shared" si="41"/>
        <v>-1.6442699787579951E-3</v>
      </c>
      <c r="AJ266" s="224">
        <f>+AJ254+AJ264</f>
        <v>32661325.335495941</v>
      </c>
      <c r="AK266" s="225">
        <f>+AJ266/AJ31</f>
        <v>0.18854812267951196</v>
      </c>
    </row>
    <row r="267" spans="1:37" s="66" customFormat="1" ht="13.5" thickTop="1" x14ac:dyDescent="0.2">
      <c r="A267" s="62"/>
      <c r="B267" s="62"/>
      <c r="C267" s="107"/>
      <c r="D267" s="119"/>
      <c r="E267" s="63"/>
      <c r="F267" s="119"/>
      <c r="G267" s="63"/>
      <c r="H267" s="119"/>
      <c r="I267" s="280"/>
      <c r="J267" s="279"/>
      <c r="K267" s="280"/>
      <c r="L267" s="279"/>
      <c r="M267" s="280"/>
      <c r="N267" s="279"/>
      <c r="O267" s="280"/>
      <c r="P267" s="279"/>
      <c r="Q267" s="280"/>
      <c r="R267" s="279"/>
      <c r="S267" s="280"/>
      <c r="T267" s="279"/>
      <c r="U267" s="280"/>
      <c r="V267" s="279"/>
      <c r="W267" s="280"/>
      <c r="X267" s="279"/>
      <c r="Y267" s="280"/>
      <c r="Z267" s="279"/>
      <c r="AA267" s="280"/>
      <c r="AB267" s="279"/>
      <c r="AC267" s="280"/>
      <c r="AD267" s="279"/>
      <c r="AE267" s="280"/>
      <c r="AF267" s="279"/>
      <c r="AG267" s="280"/>
      <c r="AH267" s="279"/>
      <c r="AI267" s="280"/>
      <c r="AJ267" s="280"/>
      <c r="AK267" s="119"/>
    </row>
    <row r="268" spans="1:37" s="66" customFormat="1" x14ac:dyDescent="0.2">
      <c r="A268" s="62"/>
      <c r="B268" s="60"/>
      <c r="C268" s="109"/>
      <c r="D268" s="121"/>
      <c r="E268" s="79"/>
      <c r="F268" s="121"/>
      <c r="G268" s="79"/>
      <c r="H268" s="121"/>
      <c r="I268" s="284"/>
      <c r="J268" s="281"/>
      <c r="K268" s="282"/>
      <c r="L268" s="281"/>
      <c r="M268" s="282"/>
      <c r="N268" s="281"/>
      <c r="O268" s="282"/>
      <c r="P268" s="281"/>
      <c r="Q268" s="282"/>
      <c r="R268" s="281"/>
      <c r="S268" s="282"/>
      <c r="T268" s="281"/>
      <c r="U268" s="282"/>
      <c r="V268" s="281"/>
      <c r="W268" s="282"/>
      <c r="X268" s="281"/>
      <c r="Y268" s="282"/>
      <c r="Z268" s="281"/>
      <c r="AA268" s="282"/>
      <c r="AB268" s="281"/>
      <c r="AC268" s="282"/>
      <c r="AD268" s="281"/>
      <c r="AE268" s="282"/>
      <c r="AF268" s="281"/>
      <c r="AG268" s="282"/>
      <c r="AH268" s="281"/>
      <c r="AI268" s="282"/>
      <c r="AJ268" s="285">
        <f>+AJ266-'I. Balanza'!Q620</f>
        <v>0.34000003337860107</v>
      </c>
      <c r="AK268" s="121"/>
    </row>
    <row r="269" spans="1:37" x14ac:dyDescent="0.2">
      <c r="E269" s="113"/>
      <c r="G269" s="113"/>
      <c r="I269" s="280"/>
      <c r="K269" s="280"/>
      <c r="M269" s="280"/>
      <c r="O269" s="280"/>
      <c r="Q269" s="280"/>
      <c r="S269" s="280"/>
      <c r="U269" s="280"/>
      <c r="W269" s="280"/>
      <c r="Y269" s="280"/>
      <c r="AA269" s="280"/>
      <c r="AC269" s="280"/>
      <c r="AE269" s="280"/>
      <c r="AG269" s="280"/>
      <c r="AI269" s="280"/>
      <c r="AJ269" s="280"/>
    </row>
    <row r="270" spans="1:37" s="114" customFormat="1" x14ac:dyDescent="0.2">
      <c r="A270" s="71"/>
      <c r="B270" s="71"/>
      <c r="C270" s="115"/>
      <c r="D270" s="139"/>
      <c r="E270" s="113"/>
      <c r="F270" s="139"/>
      <c r="G270" s="113"/>
      <c r="H270" s="139"/>
      <c r="I270" s="280"/>
      <c r="J270" s="279"/>
      <c r="K270" s="280"/>
      <c r="L270" s="279"/>
      <c r="M270" s="280"/>
      <c r="N270" s="279"/>
      <c r="O270" s="280"/>
      <c r="P270" s="279"/>
      <c r="Q270" s="280"/>
      <c r="R270" s="279"/>
      <c r="S270" s="280"/>
      <c r="T270" s="279"/>
      <c r="U270" s="280"/>
      <c r="V270" s="279"/>
      <c r="W270" s="280"/>
      <c r="X270" s="279"/>
      <c r="Y270" s="280"/>
      <c r="Z270" s="279"/>
      <c r="AA270" s="280"/>
      <c r="AB270" s="279"/>
      <c r="AC270" s="280"/>
      <c r="AD270" s="279"/>
      <c r="AE270" s="280"/>
      <c r="AF270" s="279"/>
      <c r="AG270" s="280"/>
      <c r="AH270" s="279"/>
      <c r="AI270" s="280"/>
      <c r="AJ270" s="280"/>
      <c r="AK270" s="139"/>
    </row>
    <row r="271" spans="1:37" x14ac:dyDescent="0.2">
      <c r="E271" s="113"/>
      <c r="G271" s="113"/>
      <c r="I271" s="280"/>
      <c r="K271" s="280"/>
      <c r="M271" s="280"/>
      <c r="O271" s="280"/>
      <c r="Q271" s="280"/>
      <c r="S271" s="280"/>
      <c r="U271" s="280"/>
      <c r="W271" s="280"/>
      <c r="Y271" s="280"/>
      <c r="AA271" s="280"/>
      <c r="AC271" s="280"/>
      <c r="AE271" s="280"/>
      <c r="AG271" s="280"/>
      <c r="AI271" s="280"/>
      <c r="AJ271" s="280"/>
    </row>
    <row r="272" spans="1:37" x14ac:dyDescent="0.2">
      <c r="E272" s="113"/>
      <c r="G272" s="113"/>
      <c r="K272" s="280"/>
      <c r="M272" s="280"/>
      <c r="O272" s="280"/>
      <c r="S272" s="280"/>
      <c r="U272" s="280"/>
      <c r="W272" s="280"/>
      <c r="AA272" s="280"/>
      <c r="AC272" s="280"/>
      <c r="AE272" s="280"/>
    </row>
  </sheetData>
  <mergeCells count="10">
    <mergeCell ref="A31:B31"/>
    <mergeCell ref="A95:B95"/>
    <mergeCell ref="A216:B216"/>
    <mergeCell ref="A252:B252"/>
    <mergeCell ref="A264:B264"/>
    <mergeCell ref="A99:B99"/>
    <mergeCell ref="A185:B185"/>
    <mergeCell ref="A214:B214"/>
    <mergeCell ref="A245:B245"/>
    <mergeCell ref="A256:B256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834E-20D3-4AA7-A6D7-8FF3303ADE6C}">
  <dimension ref="A1:AJ37"/>
  <sheetViews>
    <sheetView showGridLines="0" workbookViewId="0">
      <selection activeCell="A4" sqref="A4"/>
    </sheetView>
  </sheetViews>
  <sheetFormatPr baseColWidth="10" defaultColWidth="8.77734375" defaultRowHeight="15" x14ac:dyDescent="0.2"/>
  <cols>
    <col min="1" max="1" width="8.77734375" style="250"/>
    <col min="2" max="2" width="25.77734375" style="250" bestFit="1" customWidth="1"/>
    <col min="3" max="3" width="13.109375" style="250" bestFit="1" customWidth="1"/>
    <col min="4" max="4" width="8.5546875" style="250" bestFit="1" customWidth="1"/>
    <col min="5" max="5" width="16.109375" style="250" customWidth="1"/>
    <col min="6" max="6" width="13.77734375" style="250" bestFit="1" customWidth="1"/>
    <col min="7" max="16384" width="8.77734375" style="250"/>
  </cols>
  <sheetData>
    <row r="1" spans="1:36" s="157" customFormat="1" ht="12.75" x14ac:dyDescent="0.2">
      <c r="A1" s="156"/>
      <c r="C1" s="140"/>
      <c r="D1" s="158"/>
      <c r="E1" s="38"/>
      <c r="F1" s="158"/>
      <c r="G1" s="159"/>
      <c r="H1" s="158"/>
      <c r="I1" s="158"/>
      <c r="J1" s="158"/>
      <c r="L1" s="158"/>
      <c r="N1" s="158"/>
      <c r="P1" s="158"/>
      <c r="Q1" s="158"/>
      <c r="R1" s="158"/>
      <c r="T1" s="158"/>
      <c r="V1" s="158"/>
      <c r="X1" s="158"/>
      <c r="Y1" s="158"/>
      <c r="Z1" s="158"/>
      <c r="AB1" s="158"/>
      <c r="AD1" s="158"/>
      <c r="AF1" s="158"/>
      <c r="AG1" s="158"/>
      <c r="AH1" s="158"/>
      <c r="AI1" s="158"/>
      <c r="AJ1" s="158"/>
    </row>
    <row r="2" spans="1:36" s="157" customFormat="1" ht="12.75" x14ac:dyDescent="0.2">
      <c r="A2" s="156"/>
      <c r="C2" s="140"/>
      <c r="D2" s="158"/>
      <c r="E2" s="38"/>
      <c r="F2" s="158"/>
      <c r="G2" s="159"/>
      <c r="H2" s="158"/>
      <c r="I2" s="158"/>
      <c r="J2" s="158"/>
      <c r="L2" s="158"/>
      <c r="N2" s="158"/>
      <c r="P2" s="158"/>
      <c r="Q2" s="158"/>
      <c r="R2" s="158"/>
      <c r="T2" s="158"/>
      <c r="V2" s="158"/>
      <c r="X2" s="158"/>
      <c r="Y2" s="158"/>
      <c r="Z2" s="158"/>
      <c r="AB2" s="158"/>
      <c r="AD2" s="158"/>
      <c r="AF2" s="158"/>
      <c r="AG2" s="158"/>
      <c r="AH2" s="158"/>
      <c r="AI2" s="158"/>
      <c r="AJ2" s="158"/>
    </row>
    <row r="3" spans="1:36" s="157" customFormat="1" ht="12.75" x14ac:dyDescent="0.2">
      <c r="A3" s="156"/>
      <c r="C3" s="140"/>
      <c r="D3" s="158"/>
      <c r="E3" s="38"/>
      <c r="F3" s="158"/>
      <c r="G3" s="159"/>
      <c r="H3" s="158"/>
      <c r="I3" s="158"/>
      <c r="J3" s="158"/>
      <c r="L3" s="158"/>
      <c r="N3" s="158"/>
      <c r="P3" s="158"/>
      <c r="Q3" s="158"/>
      <c r="R3" s="158"/>
      <c r="T3" s="158"/>
      <c r="V3" s="158"/>
      <c r="X3" s="158"/>
      <c r="Y3" s="158"/>
      <c r="Z3" s="158"/>
      <c r="AB3" s="158"/>
      <c r="AD3" s="158"/>
      <c r="AF3" s="158"/>
      <c r="AG3" s="158"/>
      <c r="AH3" s="158"/>
      <c r="AI3" s="158"/>
      <c r="AJ3" s="158"/>
    </row>
    <row r="4" spans="1:36" s="161" customFormat="1" ht="15.75" x14ac:dyDescent="0.25">
      <c r="A4" s="160" t="s">
        <v>1035</v>
      </c>
      <c r="C4" s="141"/>
      <c r="D4" s="158"/>
      <c r="E4" s="126"/>
      <c r="F4" s="158"/>
      <c r="G4" s="162"/>
      <c r="H4" s="158"/>
      <c r="I4" s="158"/>
      <c r="J4" s="158"/>
      <c r="L4" s="158"/>
      <c r="N4" s="158"/>
      <c r="P4" s="158"/>
      <c r="Q4" s="158"/>
      <c r="R4" s="158"/>
      <c r="T4" s="158"/>
      <c r="V4" s="158"/>
      <c r="X4" s="158"/>
      <c r="Y4" s="158"/>
      <c r="Z4" s="158"/>
      <c r="AB4" s="158"/>
      <c r="AD4" s="158"/>
      <c r="AF4" s="158"/>
      <c r="AG4" s="158"/>
      <c r="AH4" s="158"/>
      <c r="AI4" s="158"/>
      <c r="AJ4" s="158"/>
    </row>
    <row r="5" spans="1:36" s="161" customFormat="1" ht="15.75" x14ac:dyDescent="0.25">
      <c r="A5" s="160" t="s">
        <v>423</v>
      </c>
      <c r="C5" s="141"/>
      <c r="D5" s="158"/>
      <c r="E5" s="126"/>
      <c r="F5" s="158"/>
      <c r="G5" s="162"/>
      <c r="H5" s="158"/>
      <c r="I5" s="158"/>
      <c r="J5" s="158"/>
      <c r="L5" s="158"/>
      <c r="N5" s="158"/>
      <c r="P5" s="158"/>
      <c r="Q5" s="158"/>
      <c r="R5" s="158"/>
      <c r="T5" s="158"/>
      <c r="V5" s="158"/>
      <c r="X5" s="158"/>
      <c r="Y5" s="158"/>
      <c r="Z5" s="158"/>
      <c r="AB5" s="158"/>
      <c r="AD5" s="158"/>
      <c r="AF5" s="158"/>
      <c r="AG5" s="158"/>
      <c r="AH5" s="158"/>
      <c r="AI5" s="158"/>
      <c r="AJ5" s="158"/>
    </row>
    <row r="6" spans="1:36" s="167" customFormat="1" ht="13.5" thickBot="1" x14ac:dyDescent="0.25">
      <c r="A6" s="163"/>
      <c r="B6" s="163"/>
      <c r="C6" s="142"/>
      <c r="D6" s="164"/>
      <c r="E6" s="39"/>
      <c r="F6" s="164"/>
      <c r="G6" s="165"/>
      <c r="H6" s="164"/>
      <c r="I6" s="158"/>
      <c r="J6" s="164"/>
      <c r="K6" s="166"/>
      <c r="L6" s="164"/>
      <c r="M6" s="166"/>
      <c r="N6" s="164"/>
      <c r="O6" s="166"/>
      <c r="P6" s="164"/>
      <c r="Q6" s="158"/>
      <c r="R6" s="164"/>
      <c r="S6" s="166"/>
      <c r="T6" s="164"/>
      <c r="U6" s="166"/>
      <c r="V6" s="164"/>
      <c r="W6" s="166"/>
      <c r="X6" s="164"/>
      <c r="Y6" s="158"/>
      <c r="Z6" s="164"/>
      <c r="AA6" s="166"/>
      <c r="AB6" s="164"/>
      <c r="AC6" s="166"/>
      <c r="AD6" s="164"/>
      <c r="AE6" s="166"/>
      <c r="AF6" s="164"/>
      <c r="AG6" s="158"/>
      <c r="AH6" s="164"/>
      <c r="AI6" s="158"/>
      <c r="AJ6" s="164"/>
    </row>
    <row r="7" spans="1:36" ht="16.5" thickTop="1" x14ac:dyDescent="0.25">
      <c r="C7" s="252" t="s">
        <v>2</v>
      </c>
      <c r="D7" s="253"/>
    </row>
    <row r="8" spans="1:36" x14ac:dyDescent="0.2">
      <c r="C8" s="256" t="s">
        <v>395</v>
      </c>
      <c r="D8" s="256" t="s">
        <v>664</v>
      </c>
      <c r="E8" s="257" t="s">
        <v>662</v>
      </c>
      <c r="F8" s="257" t="s">
        <v>663</v>
      </c>
    </row>
    <row r="9" spans="1:36" x14ac:dyDescent="0.2">
      <c r="D9" s="253"/>
    </row>
    <row r="10" spans="1:36" x14ac:dyDescent="0.2">
      <c r="B10" s="250" t="s">
        <v>1036</v>
      </c>
      <c r="C10" s="254">
        <f>-'I. Balanza'!E293</f>
        <v>100000</v>
      </c>
      <c r="D10" s="254">
        <f>-'I. Balanza'!E298</f>
        <v>20000</v>
      </c>
      <c r="E10" s="199">
        <f>+'II. Balance general '!C42+'II. Balance general '!C43</f>
        <v>68100235.230000049</v>
      </c>
      <c r="F10" s="199">
        <f>+SUM(C10:E10)</f>
        <v>68220235.230000049</v>
      </c>
    </row>
    <row r="11" spans="1:36" x14ac:dyDescent="0.2">
      <c r="C11" s="253"/>
      <c r="D11" s="253"/>
    </row>
    <row r="12" spans="1:36" x14ac:dyDescent="0.2">
      <c r="B12" s="250" t="s">
        <v>665</v>
      </c>
      <c r="C12" s="258">
        <v>0</v>
      </c>
      <c r="D12" s="258">
        <v>0</v>
      </c>
      <c r="E12" s="251">
        <f>+'III. Estado de Resultados'!AJ266</f>
        <v>32661325.335495941</v>
      </c>
      <c r="F12" s="199">
        <f>+SUM(C12:E12)</f>
        <v>32661325.335495941</v>
      </c>
    </row>
    <row r="13" spans="1:36" x14ac:dyDescent="0.2">
      <c r="C13" s="253"/>
      <c r="D13" s="253"/>
    </row>
    <row r="14" spans="1:36" x14ac:dyDescent="0.2">
      <c r="B14" s="250" t="s">
        <v>666</v>
      </c>
      <c r="C14" s="253"/>
      <c r="D14" s="253"/>
      <c r="E14" s="250">
        <v>0</v>
      </c>
      <c r="F14" s="250">
        <v>0</v>
      </c>
    </row>
    <row r="15" spans="1:36" x14ac:dyDescent="0.2">
      <c r="C15" s="253"/>
      <c r="D15" s="253"/>
    </row>
    <row r="16" spans="1:36" ht="15.75" thickBot="1" x14ac:dyDescent="0.25">
      <c r="B16" s="260" t="s">
        <v>1036</v>
      </c>
      <c r="C16" s="259">
        <f>+SUM(C10:C13)</f>
        <v>100000</v>
      </c>
      <c r="D16" s="259">
        <f t="shared" ref="D16:E16" si="0">+SUM(D10:D13)</f>
        <v>20000</v>
      </c>
      <c r="E16" s="259">
        <f t="shared" si="0"/>
        <v>100761560.565496</v>
      </c>
      <c r="F16" s="259">
        <f>+SUM(F10:F15)</f>
        <v>100881560.565496</v>
      </c>
    </row>
    <row r="17" spans="3:4" ht="16.5" thickTop="1" x14ac:dyDescent="0.25">
      <c r="C17" s="255"/>
      <c r="D17" s="255"/>
    </row>
    <row r="18" spans="3:4" x14ac:dyDescent="0.2">
      <c r="C18" s="253"/>
      <c r="D18" s="253"/>
    </row>
    <row r="19" spans="3:4" x14ac:dyDescent="0.2">
      <c r="C19" s="253"/>
      <c r="D19" s="253"/>
    </row>
    <row r="20" spans="3:4" x14ac:dyDescent="0.2">
      <c r="C20" s="253"/>
      <c r="D20" s="253"/>
    </row>
    <row r="21" spans="3:4" x14ac:dyDescent="0.2">
      <c r="C21" s="253"/>
      <c r="D21" s="253"/>
    </row>
    <row r="22" spans="3:4" ht="15.75" x14ac:dyDescent="0.25">
      <c r="C22" s="255"/>
      <c r="D22" s="255"/>
    </row>
    <row r="23" spans="3:4" x14ac:dyDescent="0.2">
      <c r="C23" s="253"/>
      <c r="D23" s="253"/>
    </row>
    <row r="24" spans="3:4" x14ac:dyDescent="0.2">
      <c r="C24" s="253"/>
      <c r="D24" s="253"/>
    </row>
    <row r="25" spans="3:4" ht="15.75" x14ac:dyDescent="0.25">
      <c r="C25" s="255"/>
      <c r="D25" s="255"/>
    </row>
    <row r="26" spans="3:4" x14ac:dyDescent="0.2">
      <c r="C26" s="253"/>
      <c r="D26" s="253"/>
    </row>
    <row r="27" spans="3:4" x14ac:dyDescent="0.2">
      <c r="C27" s="253"/>
      <c r="D27" s="253"/>
    </row>
    <row r="28" spans="3:4" x14ac:dyDescent="0.2">
      <c r="C28" s="253"/>
      <c r="D28" s="253"/>
    </row>
    <row r="29" spans="3:4" x14ac:dyDescent="0.2">
      <c r="C29" s="253"/>
      <c r="D29" s="253"/>
    </row>
    <row r="30" spans="3:4" x14ac:dyDescent="0.2">
      <c r="C30" s="253"/>
      <c r="D30" s="253"/>
    </row>
    <row r="31" spans="3:4" x14ac:dyDescent="0.2">
      <c r="C31" s="253"/>
      <c r="D31" s="253"/>
    </row>
    <row r="32" spans="3:4" ht="15.75" x14ac:dyDescent="0.25">
      <c r="C32" s="255"/>
      <c r="D32" s="255"/>
    </row>
    <row r="33" spans="3:4" x14ac:dyDescent="0.2">
      <c r="C33" s="253"/>
      <c r="D33" s="253"/>
    </row>
    <row r="34" spans="3:4" x14ac:dyDescent="0.2">
      <c r="C34" s="253"/>
      <c r="D34" s="253"/>
    </row>
    <row r="35" spans="3:4" ht="15.75" x14ac:dyDescent="0.25">
      <c r="C35" s="252"/>
      <c r="D35" s="252"/>
    </row>
    <row r="36" spans="3:4" x14ac:dyDescent="0.2">
      <c r="C36" s="253"/>
      <c r="D36" s="253"/>
    </row>
    <row r="37" spans="3:4" ht="15.75" x14ac:dyDescent="0.25">
      <c r="C37" s="653"/>
      <c r="D37" s="653"/>
    </row>
  </sheetData>
  <mergeCells count="1">
    <mergeCell ref="C37:D3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8060-3EDA-4776-9053-5B10041C9BE9}">
  <dimension ref="A4:H51"/>
  <sheetViews>
    <sheetView showGridLines="0" workbookViewId="0">
      <pane ySplit="7" topLeftCell="A8" activePane="bottomLeft" state="frozen"/>
      <selection activeCell="A4" sqref="A4"/>
      <selection pane="bottomLeft" activeCell="A8" sqref="A8"/>
    </sheetView>
  </sheetViews>
  <sheetFormatPr baseColWidth="10" defaultColWidth="11.5546875" defaultRowHeight="15" x14ac:dyDescent="0.2"/>
  <cols>
    <col min="1" max="1" width="54.109375" style="195" customWidth="1"/>
    <col min="2" max="2" width="14.77734375" style="206" bestFit="1" customWidth="1"/>
    <col min="3" max="3" width="2.33203125" style="195" customWidth="1"/>
    <col min="4" max="4" width="11.5546875" style="195" hidden="1" customWidth="1"/>
    <col min="5" max="5" width="13.44140625" style="195" hidden="1" customWidth="1"/>
    <col min="6" max="6" width="11.5546875" style="195" hidden="1" customWidth="1"/>
    <col min="7" max="7" width="13.77734375" style="195" hidden="1" customWidth="1"/>
    <col min="8" max="8" width="11.77734375" style="195" hidden="1" customWidth="1"/>
    <col min="9" max="16384" width="11.5546875" style="195"/>
  </cols>
  <sheetData>
    <row r="4" spans="1:8" ht="15.75" x14ac:dyDescent="0.25">
      <c r="A4" s="124" t="s">
        <v>655</v>
      </c>
    </row>
    <row r="5" spans="1:8" ht="15.75" x14ac:dyDescent="0.25">
      <c r="A5" s="124" t="s">
        <v>423</v>
      </c>
    </row>
    <row r="6" spans="1:8" x14ac:dyDescent="0.2">
      <c r="A6" s="269" t="s">
        <v>668</v>
      </c>
    </row>
    <row r="7" spans="1:8" ht="15.75" x14ac:dyDescent="0.25">
      <c r="B7" s="205">
        <v>2024</v>
      </c>
      <c r="C7" s="196"/>
      <c r="E7" s="197" t="s">
        <v>616</v>
      </c>
      <c r="F7" s="195" t="s">
        <v>232</v>
      </c>
      <c r="G7" s="198">
        <v>4060053.5799999982</v>
      </c>
      <c r="H7" s="246">
        <f>+G7-G10</f>
        <v>-921439.4199999962</v>
      </c>
    </row>
    <row r="8" spans="1:8" ht="15.75" x14ac:dyDescent="0.25">
      <c r="A8" s="197" t="s">
        <v>617</v>
      </c>
      <c r="B8" s="207"/>
      <c r="D8" s="195" t="s">
        <v>618</v>
      </c>
      <c r="E8" s="199">
        <v>18042157.665885307</v>
      </c>
      <c r="F8" s="195" t="s">
        <v>619</v>
      </c>
      <c r="G8" s="198">
        <f>-11774276+456487</f>
        <v>-11317789</v>
      </c>
    </row>
    <row r="9" spans="1:8" x14ac:dyDescent="0.2">
      <c r="A9" s="195" t="s">
        <v>620</v>
      </c>
      <c r="B9" s="208">
        <f>+'II. Balance general '!H42+'II. Balance general '!H43</f>
        <v>32661324.995495871</v>
      </c>
      <c r="D9" s="195" t="s">
        <v>621</v>
      </c>
      <c r="E9" s="200">
        <v>128925</v>
      </c>
      <c r="F9" s="195" t="s">
        <v>622</v>
      </c>
      <c r="G9" s="198">
        <v>12239228.419999996</v>
      </c>
    </row>
    <row r="10" spans="1:8" x14ac:dyDescent="0.2">
      <c r="A10" s="195" t="s">
        <v>623</v>
      </c>
      <c r="B10" s="208">
        <f>+G9</f>
        <v>12239228.419999996</v>
      </c>
      <c r="D10" s="195" t="s">
        <v>624</v>
      </c>
      <c r="E10" s="200">
        <v>-2586103.0482813539</v>
      </c>
      <c r="G10" s="201">
        <f>+SUM(G7:G9)</f>
        <v>4981492.9999999944</v>
      </c>
    </row>
    <row r="11" spans="1:8" x14ac:dyDescent="0.2">
      <c r="A11" s="195" t="s">
        <v>388</v>
      </c>
      <c r="B11" s="208">
        <f>+'II. Balance general '!H35</f>
        <v>1424965.71</v>
      </c>
      <c r="E11" s="200"/>
      <c r="G11" s="245"/>
    </row>
    <row r="12" spans="1:8" ht="15.75" x14ac:dyDescent="0.25">
      <c r="A12" s="197" t="s">
        <v>625</v>
      </c>
      <c r="B12" s="209"/>
      <c r="D12" s="195" t="s">
        <v>626</v>
      </c>
      <c r="E12" s="199">
        <v>-368824.26</v>
      </c>
      <c r="G12" s="198">
        <v>-4981493</v>
      </c>
    </row>
    <row r="13" spans="1:8" x14ac:dyDescent="0.2">
      <c r="A13" s="195" t="s">
        <v>627</v>
      </c>
      <c r="B13" s="208">
        <f>-E10</f>
        <v>2586103.0482813539</v>
      </c>
      <c r="E13" s="202">
        <f>+SUM(E8:E12)</f>
        <v>15216155.357603954</v>
      </c>
      <c r="G13" s="198">
        <f>+G10+G12</f>
        <v>0</v>
      </c>
    </row>
    <row r="14" spans="1:8" ht="15.75" x14ac:dyDescent="0.25">
      <c r="A14" s="197" t="s">
        <v>628</v>
      </c>
      <c r="B14" s="208"/>
    </row>
    <row r="15" spans="1:8" x14ac:dyDescent="0.2">
      <c r="A15" s="195" t="s">
        <v>629</v>
      </c>
      <c r="B15" s="208"/>
    </row>
    <row r="16" spans="1:8" x14ac:dyDescent="0.2">
      <c r="A16" s="195" t="s">
        <v>630</v>
      </c>
      <c r="B16" s="210"/>
    </row>
    <row r="17" spans="1:2" x14ac:dyDescent="0.2">
      <c r="B17" s="208">
        <f>SUM(B9:B16)</f>
        <v>48911622.173777223</v>
      </c>
    </row>
    <row r="18" spans="1:2" ht="15.75" x14ac:dyDescent="0.25">
      <c r="A18" s="197" t="s">
        <v>631</v>
      </c>
      <c r="B18" s="208"/>
    </row>
    <row r="19" spans="1:2" x14ac:dyDescent="0.2">
      <c r="A19" s="195" t="s">
        <v>632</v>
      </c>
      <c r="B19" s="208">
        <f>+'II. Balance general '!H11</f>
        <v>1104093.5500000007</v>
      </c>
    </row>
    <row r="20" spans="1:2" x14ac:dyDescent="0.2">
      <c r="A20" s="195" t="s">
        <v>633</v>
      </c>
      <c r="B20" s="208">
        <f>+'II. Balance general '!H12</f>
        <v>-76165.519999999553</v>
      </c>
    </row>
    <row r="21" spans="1:2" x14ac:dyDescent="0.2">
      <c r="A21" s="195" t="s">
        <v>383</v>
      </c>
      <c r="B21" s="208">
        <f>+'II. Balance general '!H13</f>
        <v>-351247.95999999973</v>
      </c>
    </row>
    <row r="22" spans="1:2" x14ac:dyDescent="0.2">
      <c r="A22" s="195" t="s">
        <v>414</v>
      </c>
      <c r="B22" s="208">
        <f>+'II. Balance general '!H14</f>
        <v>664286.91999999993</v>
      </c>
    </row>
    <row r="23" spans="1:2" x14ac:dyDescent="0.2">
      <c r="A23" s="195" t="s">
        <v>634</v>
      </c>
      <c r="B23" s="208">
        <f>'II. Balance general '!H22</f>
        <v>0</v>
      </c>
    </row>
    <row r="24" spans="1:2" ht="15.75" x14ac:dyDescent="0.25">
      <c r="A24" s="197" t="s">
        <v>635</v>
      </c>
      <c r="B24" s="208"/>
    </row>
    <row r="25" spans="1:2" x14ac:dyDescent="0.2">
      <c r="A25" s="195" t="s">
        <v>636</v>
      </c>
      <c r="B25" s="208">
        <f>+'II. Balance general '!H26</f>
        <v>-8076355.5999999996</v>
      </c>
    </row>
    <row r="26" spans="1:2" x14ac:dyDescent="0.2">
      <c r="A26" s="195" t="s">
        <v>430</v>
      </c>
      <c r="B26" s="208">
        <v>0</v>
      </c>
    </row>
    <row r="27" spans="1:2" x14ac:dyDescent="0.2">
      <c r="A27" s="195" t="s">
        <v>517</v>
      </c>
      <c r="B27" s="208">
        <f>+'II. Balance general '!H30</f>
        <v>-2121507.4700000007</v>
      </c>
    </row>
    <row r="28" spans="1:2" x14ac:dyDescent="0.2">
      <c r="A28" s="195" t="s">
        <v>637</v>
      </c>
      <c r="B28" s="208">
        <f>+'II. Balance general '!H28</f>
        <v>48947.840000008116</v>
      </c>
    </row>
    <row r="29" spans="1:2" x14ac:dyDescent="0.2">
      <c r="A29" s="195" t="s">
        <v>638</v>
      </c>
      <c r="B29" s="208">
        <f>G8</f>
        <v>-11317789</v>
      </c>
    </row>
    <row r="30" spans="1:2" hidden="1" x14ac:dyDescent="0.2">
      <c r="B30" s="195"/>
    </row>
    <row r="31" spans="1:2" x14ac:dyDescent="0.2">
      <c r="A31" s="195" t="s">
        <v>654</v>
      </c>
      <c r="B31" s="208">
        <f>+'II. Balance general '!H36</f>
        <v>232502.12699999899</v>
      </c>
    </row>
    <row r="32" spans="1:2" x14ac:dyDescent="0.2">
      <c r="A32" s="195" t="s">
        <v>639</v>
      </c>
      <c r="B32" s="208">
        <f>+'II. Balance general '!H34+'II. Balance general '!H19</f>
        <v>-75561.002498158254</v>
      </c>
    </row>
    <row r="33" spans="1:2" x14ac:dyDescent="0.2">
      <c r="A33" s="195" t="s">
        <v>640</v>
      </c>
      <c r="B33" s="211">
        <f>SUM(B17:B32)</f>
        <v>28942826.058279078</v>
      </c>
    </row>
    <row r="34" spans="1:2" x14ac:dyDescent="0.2">
      <c r="B34" s="208"/>
    </row>
    <row r="35" spans="1:2" ht="15.75" x14ac:dyDescent="0.25">
      <c r="A35" s="197" t="s">
        <v>641</v>
      </c>
      <c r="B35" s="208"/>
    </row>
    <row r="36" spans="1:2" x14ac:dyDescent="0.2">
      <c r="A36" s="195" t="s">
        <v>642</v>
      </c>
      <c r="B36" s="208">
        <f>-E9</f>
        <v>-128925</v>
      </c>
    </row>
    <row r="37" spans="1:2" x14ac:dyDescent="0.2">
      <c r="A37" s="195" t="s">
        <v>643</v>
      </c>
      <c r="B37" s="208">
        <f>-E12</f>
        <v>368824.26</v>
      </c>
    </row>
    <row r="38" spans="1:2" x14ac:dyDescent="0.2">
      <c r="A38" s="195" t="s">
        <v>644</v>
      </c>
      <c r="B38" s="211">
        <f>+SUM(B36:B37)</f>
        <v>239899.26</v>
      </c>
    </row>
    <row r="39" spans="1:2" x14ac:dyDescent="0.2">
      <c r="B39" s="208"/>
    </row>
    <row r="40" spans="1:2" ht="15.75" x14ac:dyDescent="0.25">
      <c r="A40" s="197" t="s">
        <v>645</v>
      </c>
      <c r="B40" s="208"/>
    </row>
    <row r="41" spans="1:2" x14ac:dyDescent="0.2">
      <c r="A41" s="203" t="s">
        <v>646</v>
      </c>
      <c r="B41" s="208"/>
    </row>
    <row r="42" spans="1:2" x14ac:dyDescent="0.2">
      <c r="A42" s="195" t="s">
        <v>647</v>
      </c>
      <c r="B42" s="208"/>
    </row>
    <row r="43" spans="1:2" x14ac:dyDescent="0.2">
      <c r="A43" s="195" t="s">
        <v>648</v>
      </c>
      <c r="B43" s="211">
        <f>+SUM(B41:B42)</f>
        <v>0</v>
      </c>
    </row>
    <row r="44" spans="1:2" x14ac:dyDescent="0.2">
      <c r="B44" s="208"/>
    </row>
    <row r="45" spans="1:2" x14ac:dyDescent="0.2">
      <c r="A45" s="195" t="s">
        <v>649</v>
      </c>
      <c r="B45" s="208">
        <f>+B33+B38+B43</f>
        <v>29182725.31827908</v>
      </c>
    </row>
    <row r="46" spans="1:2" x14ac:dyDescent="0.2">
      <c r="B46" s="208"/>
    </row>
    <row r="47" spans="1:2" x14ac:dyDescent="0.2">
      <c r="A47" s="195" t="s">
        <v>650</v>
      </c>
      <c r="B47" s="210">
        <f>+'II. Balance general '!C9+'II. Balance general '!C10</f>
        <v>32199307.050000034</v>
      </c>
    </row>
    <row r="48" spans="1:2" x14ac:dyDescent="0.2">
      <c r="B48" s="208"/>
    </row>
    <row r="49" spans="1:2" ht="16.5" thickBot="1" x14ac:dyDescent="0.3">
      <c r="A49" s="204" t="s">
        <v>651</v>
      </c>
      <c r="B49" s="212">
        <f>+B45+B47</f>
        <v>61382032.368279114</v>
      </c>
    </row>
    <row r="50" spans="1:2" ht="15.75" thickTop="1" x14ac:dyDescent="0.2">
      <c r="A50" s="219" t="s">
        <v>652</v>
      </c>
      <c r="B50" s="208">
        <f>+'I. Balanza'!Q22+'I. Balanza'!Q16+'I. Balanza'!Q27</f>
        <v>61382032.312997743</v>
      </c>
    </row>
    <row r="51" spans="1:2" ht="15.75" x14ac:dyDescent="0.25">
      <c r="A51" s="219" t="s">
        <v>653</v>
      </c>
      <c r="B51" s="218">
        <f>+B50-B49</f>
        <v>-5.5281370878219604E-2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E00BB-43BF-40B0-9641-4A296ABFE266}">
  <sheetPr>
    <pageSetUpPr fitToPage="1"/>
  </sheetPr>
  <dimension ref="A1:P283"/>
  <sheetViews>
    <sheetView showGridLines="0" defaultGridColor="0" colorId="12" zoomScaleNormal="100" workbookViewId="0">
      <pane ySplit="3" topLeftCell="A4" activePane="bottomLeft" state="frozen"/>
      <selection activeCell="H254" sqref="H254"/>
      <selection pane="bottomLeft" activeCell="A5" sqref="A5"/>
    </sheetView>
  </sheetViews>
  <sheetFormatPr baseColWidth="10" defaultColWidth="0" defaultRowHeight="12.75" x14ac:dyDescent="0.2"/>
  <cols>
    <col min="1" max="1" width="3.109375" style="5" customWidth="1"/>
    <col min="2" max="2" width="7.77734375" style="5" customWidth="1"/>
    <col min="3" max="3" width="13.109375" style="5" customWidth="1"/>
    <col min="4" max="4" width="28.109375" style="5" customWidth="1"/>
    <col min="5" max="5" width="8.109375" style="5" customWidth="1"/>
    <col min="6" max="6" width="6.77734375" style="5" customWidth="1"/>
    <col min="7" max="7" width="9.77734375" style="5" customWidth="1"/>
    <col min="8" max="8" width="15.77734375" style="5" customWidth="1"/>
    <col min="9" max="9" width="2.5546875" style="5" customWidth="1"/>
    <col min="10" max="10" width="9.109375" style="5" customWidth="1"/>
    <col min="11" max="11" width="4.77734375" style="5" customWidth="1"/>
    <col min="12" max="16" width="9.109375" style="5" customWidth="1"/>
    <col min="17" max="16384" width="8.77734375" style="5" hidden="1"/>
  </cols>
  <sheetData>
    <row r="1" spans="2:16" s="2" customFormat="1" ht="18.75" customHeight="1" x14ac:dyDescent="0.2">
      <c r="B1" s="1"/>
      <c r="C1" s="1"/>
      <c r="D1" s="716" t="s">
        <v>508</v>
      </c>
      <c r="E1" s="717"/>
      <c r="F1" s="717"/>
      <c r="G1" s="690" t="s">
        <v>1037</v>
      </c>
      <c r="H1" s="691"/>
    </row>
    <row r="2" spans="2:16" s="2" customFormat="1" ht="26.25" customHeight="1" x14ac:dyDescent="0.3">
      <c r="B2" s="3"/>
      <c r="C2" s="3"/>
      <c r="D2" s="717"/>
      <c r="E2" s="717"/>
      <c r="F2" s="717"/>
      <c r="G2" s="691"/>
      <c r="H2" s="691"/>
    </row>
    <row r="3" spans="2:16" s="2" customFormat="1" x14ac:dyDescent="0.2"/>
    <row r="5" spans="2:16" s="110" customFormat="1" ht="15.75" x14ac:dyDescent="0.25">
      <c r="B5" s="112" t="str">
        <f>+C8</f>
        <v>CAJA CHICA</v>
      </c>
      <c r="F5" s="111"/>
      <c r="H5" s="111"/>
    </row>
    <row r="6" spans="2:16" x14ac:dyDescent="0.2">
      <c r="B6" s="684" t="s">
        <v>233</v>
      </c>
      <c r="C6" s="685"/>
      <c r="D6" s="686"/>
      <c r="E6" s="687" t="s">
        <v>234</v>
      </c>
      <c r="F6" s="688"/>
      <c r="G6" s="689"/>
      <c r="H6" s="23" t="s">
        <v>235</v>
      </c>
      <c r="J6" s="654" t="s">
        <v>246</v>
      </c>
      <c r="K6" s="655"/>
      <c r="L6" s="655"/>
      <c r="M6" s="655"/>
      <c r="N6" s="655"/>
      <c r="O6" s="655"/>
      <c r="P6" s="656"/>
    </row>
    <row r="7" spans="2:16" x14ac:dyDescent="0.2">
      <c r="B7" s="6" t="s">
        <v>230</v>
      </c>
      <c r="C7" s="657">
        <f>+'I. Balanza'!B16</f>
        <v>1101</v>
      </c>
      <c r="D7" s="658"/>
      <c r="E7" s="659" t="str">
        <f>+$G$1</f>
        <v>Diciembre 2024</v>
      </c>
      <c r="F7" s="660"/>
      <c r="G7" s="661"/>
      <c r="H7" s="663" t="s">
        <v>229</v>
      </c>
      <c r="J7" s="671"/>
      <c r="K7" s="672"/>
      <c r="L7" s="672"/>
      <c r="M7" s="672"/>
      <c r="N7" s="672"/>
      <c r="O7" s="672"/>
      <c r="P7" s="673"/>
    </row>
    <row r="8" spans="2:16" x14ac:dyDescent="0.2">
      <c r="B8" s="6" t="s">
        <v>231</v>
      </c>
      <c r="C8" s="657" t="str">
        <f>+'I. Balanza'!D16</f>
        <v>CAJA CHICA</v>
      </c>
      <c r="D8" s="658"/>
      <c r="E8" s="662"/>
      <c r="F8" s="660"/>
      <c r="G8" s="661"/>
      <c r="H8" s="663"/>
      <c r="J8" s="674"/>
      <c r="K8" s="657"/>
      <c r="L8" s="657"/>
      <c r="M8" s="657"/>
      <c r="N8" s="657"/>
      <c r="O8" s="657"/>
      <c r="P8" s="658"/>
    </row>
    <row r="9" spans="2:16" x14ac:dyDescent="0.2">
      <c r="B9" s="667" t="s">
        <v>232</v>
      </c>
      <c r="C9" s="667"/>
      <c r="D9" s="667"/>
      <c r="E9" s="667"/>
      <c r="F9" s="667"/>
      <c r="G9" s="667"/>
      <c r="H9" s="7">
        <f>+'I. Balanza'!P16</f>
        <v>136441.5</v>
      </c>
      <c r="J9" s="674"/>
      <c r="K9" s="657"/>
      <c r="L9" s="657"/>
      <c r="M9" s="657"/>
      <c r="N9" s="657"/>
      <c r="O9" s="657"/>
      <c r="P9" s="658"/>
    </row>
    <row r="10" spans="2:16" x14ac:dyDescent="0.2">
      <c r="B10" s="8" t="s">
        <v>247</v>
      </c>
      <c r="C10" s="9"/>
      <c r="D10" s="9"/>
      <c r="E10" s="9"/>
      <c r="F10" s="10"/>
      <c r="G10" s="11"/>
      <c r="H10" s="7">
        <v>14000</v>
      </c>
      <c r="J10" s="674"/>
      <c r="K10" s="657"/>
      <c r="L10" s="657"/>
      <c r="M10" s="657"/>
      <c r="N10" s="657"/>
      <c r="O10" s="657"/>
      <c r="P10" s="658"/>
    </row>
    <row r="11" spans="2:16" x14ac:dyDescent="0.2">
      <c r="B11" s="8" t="s">
        <v>248</v>
      </c>
      <c r="C11" s="9"/>
      <c r="D11" s="9"/>
      <c r="E11" s="9"/>
      <c r="F11" s="10"/>
      <c r="G11" s="12"/>
      <c r="H11" s="7">
        <v>8992.44</v>
      </c>
      <c r="J11" s="674"/>
      <c r="K11" s="657"/>
      <c r="L11" s="657"/>
      <c r="M11" s="657"/>
      <c r="N11" s="657"/>
      <c r="O11" s="657"/>
      <c r="P11" s="658"/>
    </row>
    <row r="12" spans="2:16" x14ac:dyDescent="0.2">
      <c r="B12" s="668" t="s">
        <v>236</v>
      </c>
      <c r="C12" s="669"/>
      <c r="D12" s="669"/>
      <c r="E12" s="669"/>
      <c r="F12" s="669"/>
      <c r="G12" s="670"/>
      <c r="H12" s="13">
        <f>+H9+H10-H11</f>
        <v>141449.06</v>
      </c>
      <c r="J12" s="674"/>
      <c r="K12" s="657"/>
      <c r="L12" s="657"/>
      <c r="M12" s="657"/>
      <c r="N12" s="657"/>
      <c r="O12" s="657"/>
      <c r="P12" s="658"/>
    </row>
    <row r="13" spans="2:16" x14ac:dyDescent="0.2">
      <c r="B13" s="668" t="s">
        <v>237</v>
      </c>
      <c r="C13" s="669"/>
      <c r="D13" s="669"/>
      <c r="E13" s="669"/>
      <c r="F13" s="669"/>
      <c r="G13" s="670"/>
      <c r="H13" s="14">
        <f>+'I. Balanza'!Q16</f>
        <v>141449.06</v>
      </c>
      <c r="J13" s="654" t="s">
        <v>245</v>
      </c>
      <c r="K13" s="655"/>
      <c r="L13" s="655"/>
      <c r="M13" s="655"/>
      <c r="N13" s="655"/>
      <c r="O13" s="655"/>
      <c r="P13" s="656"/>
    </row>
    <row r="14" spans="2:16" x14ac:dyDescent="0.2">
      <c r="B14" s="668" t="s">
        <v>238</v>
      </c>
      <c r="C14" s="669"/>
      <c r="D14" s="669"/>
      <c r="E14" s="669"/>
      <c r="F14" s="669"/>
      <c r="G14" s="670"/>
      <c r="H14" s="13">
        <f>+H12-H13</f>
        <v>0</v>
      </c>
      <c r="J14" s="692" t="s">
        <v>480</v>
      </c>
      <c r="K14" s="693"/>
      <c r="L14" s="693"/>
      <c r="M14" s="693"/>
      <c r="N14" s="693"/>
      <c r="O14" s="693"/>
      <c r="P14" s="694"/>
    </row>
    <row r="15" spans="2:16" x14ac:dyDescent="0.2">
      <c r="B15" s="701" t="s">
        <v>239</v>
      </c>
      <c r="C15" s="702"/>
      <c r="D15" s="702"/>
      <c r="E15" s="702"/>
      <c r="F15" s="702"/>
      <c r="G15" s="703"/>
      <c r="H15" s="15"/>
      <c r="J15" s="695"/>
      <c r="K15" s="696"/>
      <c r="L15" s="696"/>
      <c r="M15" s="696"/>
      <c r="N15" s="696"/>
      <c r="O15" s="696"/>
      <c r="P15" s="697"/>
    </row>
    <row r="16" spans="2:16" x14ac:dyDescent="0.2">
      <c r="B16" s="16"/>
      <c r="G16" s="17" t="s">
        <v>240</v>
      </c>
      <c r="H16" s="7">
        <f>H14</f>
        <v>0</v>
      </c>
      <c r="J16" s="695"/>
      <c r="K16" s="696"/>
      <c r="L16" s="696"/>
      <c r="M16" s="696"/>
      <c r="N16" s="696"/>
      <c r="O16" s="696"/>
      <c r="P16" s="697"/>
    </row>
    <row r="17" spans="2:16" ht="15" x14ac:dyDescent="0.2">
      <c r="B17" s="704"/>
      <c r="C17" s="704"/>
      <c r="D17" s="704"/>
      <c r="E17" s="704"/>
      <c r="F17" s="704"/>
      <c r="G17" s="704"/>
      <c r="H17" s="21" t="str">
        <f>IF((+H14+H16)=0,"TRUE","FALSE")</f>
        <v>TRUE</v>
      </c>
      <c r="J17" s="695"/>
      <c r="K17" s="696"/>
      <c r="L17" s="696"/>
      <c r="M17" s="696"/>
      <c r="N17" s="696"/>
      <c r="O17" s="696"/>
      <c r="P17" s="697"/>
    </row>
    <row r="18" spans="2:16" x14ac:dyDescent="0.2">
      <c r="B18" s="711" t="s">
        <v>242</v>
      </c>
      <c r="C18" s="713" t="s">
        <v>463</v>
      </c>
      <c r="D18" s="680"/>
      <c r="E18" s="675" t="s">
        <v>243</v>
      </c>
      <c r="F18" s="671" t="s">
        <v>465</v>
      </c>
      <c r="G18" s="672"/>
      <c r="H18" s="673"/>
      <c r="J18" s="695"/>
      <c r="K18" s="696"/>
      <c r="L18" s="696"/>
      <c r="M18" s="696"/>
      <c r="N18" s="696"/>
      <c r="O18" s="696"/>
      <c r="P18" s="697"/>
    </row>
    <row r="19" spans="2:16" x14ac:dyDescent="0.2">
      <c r="B19" s="712"/>
      <c r="C19" s="714"/>
      <c r="D19" s="715"/>
      <c r="E19" s="676"/>
      <c r="F19" s="677"/>
      <c r="G19" s="678"/>
      <c r="H19" s="679"/>
      <c r="J19" s="698"/>
      <c r="K19" s="699"/>
      <c r="L19" s="699"/>
      <c r="M19" s="699"/>
      <c r="N19" s="699"/>
      <c r="O19" s="699"/>
      <c r="P19" s="700"/>
    </row>
    <row r="20" spans="2:16" x14ac:dyDescent="0.2">
      <c r="B20" s="682" t="s">
        <v>468</v>
      </c>
      <c r="C20" s="149"/>
      <c r="D20" s="147"/>
      <c r="E20" s="680" t="s">
        <v>469</v>
      </c>
      <c r="F20" s="671" t="s">
        <v>464</v>
      </c>
      <c r="G20" s="672"/>
      <c r="H20" s="673"/>
    </row>
    <row r="21" spans="2:16" ht="15" x14ac:dyDescent="0.25">
      <c r="B21" s="683"/>
      <c r="C21" s="150"/>
      <c r="D21" s="148"/>
      <c r="E21" s="681"/>
      <c r="F21" s="677"/>
      <c r="G21" s="678"/>
      <c r="H21" s="679"/>
    </row>
    <row r="22" spans="2:16" x14ac:dyDescent="0.2">
      <c r="F22" s="22"/>
      <c r="H22" s="22"/>
    </row>
    <row r="23" spans="2:16" s="110" customFormat="1" ht="15.75" x14ac:dyDescent="0.25">
      <c r="B23" s="112" t="str">
        <f>+C26</f>
        <v>BANCOS</v>
      </c>
      <c r="F23" s="111"/>
      <c r="H23" s="111"/>
    </row>
    <row r="24" spans="2:16" x14ac:dyDescent="0.2">
      <c r="B24" s="684" t="s">
        <v>233</v>
      </c>
      <c r="C24" s="685"/>
      <c r="D24" s="686"/>
      <c r="E24" s="687" t="s">
        <v>234</v>
      </c>
      <c r="F24" s="688"/>
      <c r="G24" s="689"/>
      <c r="H24" s="23" t="s">
        <v>235</v>
      </c>
      <c r="J24" s="654" t="s">
        <v>246</v>
      </c>
      <c r="K24" s="655"/>
      <c r="L24" s="655"/>
      <c r="M24" s="655"/>
      <c r="N24" s="655"/>
      <c r="O24" s="655"/>
      <c r="P24" s="656"/>
    </row>
    <row r="25" spans="2:16" x14ac:dyDescent="0.2">
      <c r="B25" s="6" t="s">
        <v>230</v>
      </c>
      <c r="C25" s="657">
        <f>+'I. Balanza'!B22</f>
        <v>1102</v>
      </c>
      <c r="D25" s="658"/>
      <c r="E25" s="659" t="str">
        <f>+$G$1</f>
        <v>Diciembre 2024</v>
      </c>
      <c r="F25" s="660"/>
      <c r="G25" s="661"/>
      <c r="H25" s="663" t="s">
        <v>472</v>
      </c>
      <c r="J25" s="671"/>
      <c r="K25" s="672"/>
      <c r="L25" s="672"/>
      <c r="M25" s="672"/>
      <c r="N25" s="672"/>
      <c r="O25" s="672"/>
      <c r="P25" s="673"/>
    </row>
    <row r="26" spans="2:16" x14ac:dyDescent="0.2">
      <c r="B26" s="6" t="s">
        <v>231</v>
      </c>
      <c r="C26" s="657" t="str">
        <f>+'I. Balanza'!D22</f>
        <v>BANCOS</v>
      </c>
      <c r="D26" s="658"/>
      <c r="E26" s="662"/>
      <c r="F26" s="660"/>
      <c r="G26" s="661"/>
      <c r="H26" s="663"/>
      <c r="J26" s="674"/>
      <c r="K26" s="657"/>
      <c r="L26" s="657"/>
      <c r="M26" s="657"/>
      <c r="N26" s="657"/>
      <c r="O26" s="657"/>
      <c r="P26" s="658"/>
    </row>
    <row r="27" spans="2:16" x14ac:dyDescent="0.2">
      <c r="B27" s="667" t="s">
        <v>232</v>
      </c>
      <c r="C27" s="667"/>
      <c r="D27" s="667"/>
      <c r="E27" s="667"/>
      <c r="F27" s="667"/>
      <c r="G27" s="667"/>
      <c r="H27" s="144">
        <f>'I. Balanza'!P22</f>
        <v>37251700.382747963</v>
      </c>
      <c r="J27" s="674"/>
      <c r="K27" s="657"/>
      <c r="L27" s="657"/>
      <c r="M27" s="657"/>
      <c r="N27" s="657"/>
      <c r="O27" s="657"/>
      <c r="P27" s="658"/>
    </row>
    <row r="28" spans="2:16" x14ac:dyDescent="0.2">
      <c r="B28" s="8" t="s">
        <v>466</v>
      </c>
      <c r="C28" s="9"/>
      <c r="D28" s="9"/>
      <c r="E28" s="9"/>
      <c r="F28" s="10"/>
      <c r="G28" s="11"/>
      <c r="H28" s="144">
        <v>22038616.59</v>
      </c>
      <c r="J28" s="674"/>
      <c r="K28" s="657"/>
      <c r="L28" s="657"/>
      <c r="M28" s="657"/>
      <c r="N28" s="657"/>
      <c r="O28" s="657"/>
      <c r="P28" s="658"/>
    </row>
    <row r="29" spans="2:16" x14ac:dyDescent="0.2">
      <c r="B29" s="8" t="s">
        <v>467</v>
      </c>
      <c r="C29" s="9"/>
      <c r="D29" s="9"/>
      <c r="E29" s="9"/>
      <c r="F29" s="10"/>
      <c r="G29" s="12"/>
      <c r="H29" s="144">
        <v>38908462.1202498</v>
      </c>
      <c r="J29" s="674"/>
      <c r="K29" s="657"/>
      <c r="L29" s="657"/>
      <c r="M29" s="657"/>
      <c r="N29" s="657"/>
      <c r="O29" s="657"/>
      <c r="P29" s="658"/>
    </row>
    <row r="30" spans="2:16" x14ac:dyDescent="0.2">
      <c r="B30" s="668" t="s">
        <v>236</v>
      </c>
      <c r="C30" s="669"/>
      <c r="D30" s="669"/>
      <c r="E30" s="669"/>
      <c r="F30" s="669"/>
      <c r="G30" s="670"/>
      <c r="H30" s="145">
        <f>+H27+H29-H28</f>
        <v>54121545.912997752</v>
      </c>
      <c r="J30" s="674"/>
      <c r="K30" s="657"/>
      <c r="L30" s="657"/>
      <c r="M30" s="657"/>
      <c r="N30" s="657"/>
      <c r="O30" s="657"/>
      <c r="P30" s="658"/>
    </row>
    <row r="31" spans="2:16" x14ac:dyDescent="0.2">
      <c r="B31" s="668" t="s">
        <v>237</v>
      </c>
      <c r="C31" s="669"/>
      <c r="D31" s="669"/>
      <c r="E31" s="669"/>
      <c r="F31" s="669"/>
      <c r="G31" s="670"/>
      <c r="H31" s="146">
        <f>'I. Balanza'!Q22</f>
        <v>54121545.912997738</v>
      </c>
      <c r="J31" s="654" t="s">
        <v>245</v>
      </c>
      <c r="K31" s="655"/>
      <c r="L31" s="655"/>
      <c r="M31" s="655"/>
      <c r="N31" s="655"/>
      <c r="O31" s="655"/>
      <c r="P31" s="656"/>
    </row>
    <row r="32" spans="2:16" x14ac:dyDescent="0.2">
      <c r="B32" s="668" t="s">
        <v>238</v>
      </c>
      <c r="C32" s="669"/>
      <c r="D32" s="669"/>
      <c r="E32" s="669"/>
      <c r="F32" s="669"/>
      <c r="G32" s="670"/>
      <c r="H32" s="145">
        <f>+H30-H31</f>
        <v>0</v>
      </c>
      <c r="J32" s="692" t="s">
        <v>495</v>
      </c>
      <c r="K32" s="693"/>
      <c r="L32" s="693"/>
      <c r="M32" s="693"/>
      <c r="N32" s="693"/>
      <c r="O32" s="693"/>
      <c r="P32" s="694"/>
    </row>
    <row r="33" spans="2:16" x14ac:dyDescent="0.2">
      <c r="B33" s="701" t="s">
        <v>239</v>
      </c>
      <c r="C33" s="702"/>
      <c r="D33" s="702"/>
      <c r="E33" s="702"/>
      <c r="F33" s="702"/>
      <c r="G33" s="703"/>
      <c r="H33" s="15"/>
      <c r="J33" s="695"/>
      <c r="K33" s="696"/>
      <c r="L33" s="696"/>
      <c r="M33" s="696"/>
      <c r="N33" s="696"/>
      <c r="O33" s="696"/>
      <c r="P33" s="697"/>
    </row>
    <row r="34" spans="2:16" x14ac:dyDescent="0.2">
      <c r="B34" s="16"/>
      <c r="C34" s="5" t="s">
        <v>471</v>
      </c>
      <c r="G34" s="17"/>
      <c r="H34" s="7">
        <f>H32</f>
        <v>0</v>
      </c>
      <c r="J34" s="695"/>
      <c r="K34" s="696"/>
      <c r="L34" s="696"/>
      <c r="M34" s="696"/>
      <c r="N34" s="696"/>
      <c r="O34" s="696"/>
      <c r="P34" s="697"/>
    </row>
    <row r="35" spans="2:16" x14ac:dyDescent="0.2">
      <c r="B35" s="8"/>
      <c r="C35" s="9"/>
      <c r="D35" s="9"/>
      <c r="E35" s="9"/>
      <c r="F35" s="9"/>
      <c r="G35" s="12"/>
      <c r="H35" s="7"/>
      <c r="J35" s="695"/>
      <c r="K35" s="696"/>
      <c r="L35" s="696"/>
      <c r="M35" s="696"/>
      <c r="N35" s="696"/>
      <c r="O35" s="696"/>
      <c r="P35" s="697"/>
    </row>
    <row r="36" spans="2:16" x14ac:dyDescent="0.2">
      <c r="B36" s="18"/>
      <c r="C36" s="19"/>
      <c r="D36" s="19"/>
      <c r="E36" s="19"/>
      <c r="F36" s="19"/>
      <c r="G36" s="11"/>
      <c r="H36" s="20"/>
      <c r="J36" s="695"/>
      <c r="K36" s="696"/>
      <c r="L36" s="696"/>
      <c r="M36" s="696"/>
      <c r="N36" s="696"/>
      <c r="O36" s="696"/>
      <c r="P36" s="697"/>
    </row>
    <row r="37" spans="2:16" ht="15" x14ac:dyDescent="0.2">
      <c r="B37" s="704"/>
      <c r="C37" s="704"/>
      <c r="D37" s="704"/>
      <c r="E37" s="704"/>
      <c r="F37" s="704"/>
      <c r="G37" s="704"/>
      <c r="H37" s="21" t="str">
        <f>IF((+H34+H36)=0,"TRUE","FALSE")</f>
        <v>TRUE</v>
      </c>
      <c r="J37" s="695"/>
      <c r="K37" s="696"/>
      <c r="L37" s="696"/>
      <c r="M37" s="696"/>
      <c r="N37" s="696"/>
      <c r="O37" s="696"/>
      <c r="P37" s="697"/>
    </row>
    <row r="38" spans="2:16" x14ac:dyDescent="0.2">
      <c r="B38" s="675" t="s">
        <v>242</v>
      </c>
      <c r="C38" s="709" t="s">
        <v>473</v>
      </c>
      <c r="D38" s="680"/>
      <c r="E38" s="675" t="s">
        <v>243</v>
      </c>
      <c r="F38" s="671" t="s">
        <v>474</v>
      </c>
      <c r="G38" s="672"/>
      <c r="H38" s="673"/>
      <c r="J38" s="695"/>
      <c r="K38" s="696"/>
      <c r="L38" s="696"/>
      <c r="M38" s="696"/>
      <c r="N38" s="696"/>
      <c r="O38" s="696"/>
      <c r="P38" s="697"/>
    </row>
    <row r="39" spans="2:16" x14ac:dyDescent="0.2">
      <c r="B39" s="676"/>
      <c r="C39" s="710"/>
      <c r="D39" s="681"/>
      <c r="E39" s="676"/>
      <c r="F39" s="677"/>
      <c r="G39" s="678"/>
      <c r="H39" s="679"/>
      <c r="J39" s="698"/>
      <c r="K39" s="699"/>
      <c r="L39" s="699"/>
      <c r="M39" s="699"/>
      <c r="N39" s="699"/>
      <c r="O39" s="699"/>
      <c r="P39" s="700"/>
    </row>
    <row r="40" spans="2:16" x14ac:dyDescent="0.2">
      <c r="B40" s="682" t="s">
        <v>468</v>
      </c>
      <c r="C40" s="149"/>
      <c r="D40" s="147"/>
      <c r="E40" s="680" t="s">
        <v>469</v>
      </c>
      <c r="F40" s="671" t="s">
        <v>475</v>
      </c>
      <c r="G40" s="672"/>
      <c r="H40" s="673"/>
    </row>
    <row r="41" spans="2:16" ht="15" x14ac:dyDescent="0.25">
      <c r="B41" s="683"/>
      <c r="C41" s="150"/>
      <c r="D41" s="148"/>
      <c r="E41" s="681"/>
      <c r="F41" s="677"/>
      <c r="G41" s="678"/>
      <c r="H41" s="679"/>
    </row>
    <row r="43" spans="2:16" ht="15.75" x14ac:dyDescent="0.25">
      <c r="B43" s="112" t="str">
        <f>+C46</f>
        <v>INVERSIONES EN VALORES</v>
      </c>
      <c r="C43" s="110"/>
      <c r="D43" s="110"/>
      <c r="E43" s="110"/>
      <c r="F43" s="111"/>
      <c r="G43" s="110"/>
      <c r="H43" s="111"/>
      <c r="I43" s="110"/>
      <c r="J43" s="110"/>
      <c r="K43" s="110"/>
      <c r="L43" s="110"/>
      <c r="M43" s="110"/>
      <c r="N43" s="110"/>
      <c r="O43" s="110"/>
      <c r="P43" s="110"/>
    </row>
    <row r="44" spans="2:16" x14ac:dyDescent="0.2">
      <c r="B44" s="684" t="s">
        <v>233</v>
      </c>
      <c r="C44" s="685"/>
      <c r="D44" s="686"/>
      <c r="E44" s="687" t="s">
        <v>234</v>
      </c>
      <c r="F44" s="688"/>
      <c r="G44" s="689"/>
      <c r="H44" s="23" t="s">
        <v>235</v>
      </c>
      <c r="J44" s="654" t="s">
        <v>246</v>
      </c>
      <c r="K44" s="655"/>
      <c r="L44" s="655"/>
      <c r="M44" s="655"/>
      <c r="N44" s="655"/>
      <c r="O44" s="655"/>
      <c r="P44" s="656"/>
    </row>
    <row r="45" spans="2:16" x14ac:dyDescent="0.2">
      <c r="B45" s="6" t="s">
        <v>230</v>
      </c>
      <c r="C45" s="657">
        <f>+'I. Balanza'!B27</f>
        <v>1103</v>
      </c>
      <c r="D45" s="658"/>
      <c r="E45" s="659" t="str">
        <f>+$G$1</f>
        <v>Diciembre 2024</v>
      </c>
      <c r="F45" s="660"/>
      <c r="G45" s="661"/>
      <c r="H45" s="663" t="s">
        <v>229</v>
      </c>
      <c r="J45" s="671"/>
      <c r="K45" s="672"/>
      <c r="L45" s="672"/>
      <c r="M45" s="672"/>
      <c r="N45" s="672"/>
      <c r="O45" s="672"/>
      <c r="P45" s="673"/>
    </row>
    <row r="46" spans="2:16" x14ac:dyDescent="0.2">
      <c r="B46" s="6" t="s">
        <v>231</v>
      </c>
      <c r="C46" s="657" t="str">
        <f>+'I. Balanza'!D27</f>
        <v>INVERSIONES EN VALORES</v>
      </c>
      <c r="D46" s="658"/>
      <c r="E46" s="662"/>
      <c r="F46" s="660"/>
      <c r="G46" s="661"/>
      <c r="H46" s="663"/>
      <c r="J46" s="674"/>
      <c r="K46" s="657"/>
      <c r="L46" s="657"/>
      <c r="M46" s="657"/>
      <c r="N46" s="657"/>
      <c r="O46" s="657"/>
      <c r="P46" s="658"/>
    </row>
    <row r="47" spans="2:16" x14ac:dyDescent="0.2">
      <c r="B47" s="667" t="s">
        <v>232</v>
      </c>
      <c r="C47" s="667"/>
      <c r="D47" s="667"/>
      <c r="E47" s="667"/>
      <c r="F47" s="667"/>
      <c r="G47" s="667"/>
      <c r="H47" s="7">
        <f>+'I. Balanza'!P27</f>
        <v>8350224.5699999938</v>
      </c>
      <c r="J47" s="674"/>
      <c r="K47" s="657"/>
      <c r="L47" s="657"/>
      <c r="M47" s="657"/>
      <c r="N47" s="657"/>
      <c r="O47" s="657"/>
      <c r="P47" s="658"/>
    </row>
    <row r="48" spans="2:16" x14ac:dyDescent="0.2">
      <c r="B48" s="8" t="s">
        <v>421</v>
      </c>
      <c r="C48" s="9"/>
      <c r="D48" s="9"/>
      <c r="E48" s="9"/>
      <c r="F48" s="10"/>
      <c r="G48" s="11"/>
      <c r="H48" s="7">
        <v>2221187.23</v>
      </c>
      <c r="J48" s="674"/>
      <c r="K48" s="657"/>
      <c r="L48" s="657"/>
      <c r="M48" s="657"/>
      <c r="N48" s="657"/>
      <c r="O48" s="657"/>
      <c r="P48" s="658"/>
    </row>
    <row r="49" spans="2:16" x14ac:dyDescent="0.2">
      <c r="B49" s="8" t="s">
        <v>420</v>
      </c>
      <c r="C49" s="9"/>
      <c r="D49" s="9"/>
      <c r="E49" s="9"/>
      <c r="F49" s="10"/>
      <c r="G49" s="12"/>
      <c r="H49" s="7">
        <v>990000</v>
      </c>
      <c r="J49" s="674"/>
      <c r="K49" s="657"/>
      <c r="L49" s="657"/>
      <c r="M49" s="657"/>
      <c r="N49" s="657"/>
      <c r="O49" s="657"/>
      <c r="P49" s="658"/>
    </row>
    <row r="50" spans="2:16" x14ac:dyDescent="0.2">
      <c r="B50" s="668" t="s">
        <v>236</v>
      </c>
      <c r="C50" s="669"/>
      <c r="D50" s="669"/>
      <c r="E50" s="669"/>
      <c r="F50" s="669"/>
      <c r="G50" s="670"/>
      <c r="H50" s="145">
        <f>H47+H49-H48</f>
        <v>7119037.3399999924</v>
      </c>
      <c r="J50" s="674"/>
      <c r="K50" s="657"/>
      <c r="L50" s="657"/>
      <c r="M50" s="657"/>
      <c r="N50" s="657"/>
      <c r="O50" s="657"/>
      <c r="P50" s="658"/>
    </row>
    <row r="51" spans="2:16" x14ac:dyDescent="0.2">
      <c r="B51" s="668" t="s">
        <v>237</v>
      </c>
      <c r="C51" s="669"/>
      <c r="D51" s="669"/>
      <c r="E51" s="669"/>
      <c r="F51" s="669"/>
      <c r="G51" s="670"/>
      <c r="H51" s="146">
        <f>'I. Balanza'!Q27</f>
        <v>7119037.3399999999</v>
      </c>
      <c r="J51" s="654" t="s">
        <v>245</v>
      </c>
      <c r="K51" s="655"/>
      <c r="L51" s="655"/>
      <c r="M51" s="655"/>
      <c r="N51" s="655"/>
      <c r="O51" s="655"/>
      <c r="P51" s="656"/>
    </row>
    <row r="52" spans="2:16" x14ac:dyDescent="0.2">
      <c r="B52" s="668" t="s">
        <v>238</v>
      </c>
      <c r="C52" s="669"/>
      <c r="D52" s="669"/>
      <c r="E52" s="669"/>
      <c r="F52" s="669"/>
      <c r="G52" s="670"/>
      <c r="H52" s="13">
        <f>+ROUND(H50-H51,0)</f>
        <v>0</v>
      </c>
      <c r="J52" s="692" t="s">
        <v>479</v>
      </c>
      <c r="K52" s="693"/>
      <c r="L52" s="693"/>
      <c r="M52" s="693"/>
      <c r="N52" s="693"/>
      <c r="O52" s="693"/>
      <c r="P52" s="694"/>
    </row>
    <row r="53" spans="2:16" x14ac:dyDescent="0.2">
      <c r="B53" s="701" t="s">
        <v>239</v>
      </c>
      <c r="C53" s="702"/>
      <c r="D53" s="702"/>
      <c r="E53" s="702"/>
      <c r="F53" s="702"/>
      <c r="G53" s="703"/>
      <c r="H53" s="15"/>
      <c r="J53" s="695"/>
      <c r="K53" s="696"/>
      <c r="L53" s="696"/>
      <c r="M53" s="696"/>
      <c r="N53" s="696"/>
      <c r="O53" s="696"/>
      <c r="P53" s="697"/>
    </row>
    <row r="54" spans="2:16" x14ac:dyDescent="0.2">
      <c r="B54" s="16"/>
      <c r="G54" s="17" t="s">
        <v>240</v>
      </c>
      <c r="H54" s="7">
        <f>H52</f>
        <v>0</v>
      </c>
      <c r="J54" s="695"/>
      <c r="K54" s="696"/>
      <c r="L54" s="696"/>
      <c r="M54" s="696"/>
      <c r="N54" s="696"/>
      <c r="O54" s="696"/>
      <c r="P54" s="697"/>
    </row>
    <row r="55" spans="2:16" x14ac:dyDescent="0.2">
      <c r="B55" s="8"/>
      <c r="C55" s="9"/>
      <c r="D55" s="9"/>
      <c r="E55" s="9"/>
      <c r="F55" s="9"/>
      <c r="G55" s="12"/>
      <c r="H55" s="7"/>
      <c r="J55" s="695"/>
      <c r="K55" s="696"/>
      <c r="L55" s="696"/>
      <c r="M55" s="696"/>
      <c r="N55" s="696"/>
      <c r="O55" s="696"/>
      <c r="P55" s="697"/>
    </row>
    <row r="56" spans="2:16" x14ac:dyDescent="0.2">
      <c r="B56" s="18"/>
      <c r="C56" s="19"/>
      <c r="D56" s="19"/>
      <c r="E56" s="19"/>
      <c r="F56" s="19"/>
      <c r="G56" s="11"/>
      <c r="H56" s="20"/>
      <c r="J56" s="695"/>
      <c r="K56" s="696"/>
      <c r="L56" s="696"/>
      <c r="M56" s="696"/>
      <c r="N56" s="696"/>
      <c r="O56" s="696"/>
      <c r="P56" s="697"/>
    </row>
    <row r="57" spans="2:16" ht="15" x14ac:dyDescent="0.2">
      <c r="B57" s="704"/>
      <c r="C57" s="704"/>
      <c r="D57" s="704"/>
      <c r="E57" s="704"/>
      <c r="F57" s="704"/>
      <c r="G57" s="704"/>
      <c r="H57" s="21" t="str">
        <f>IF((+H54+H56)=0,"TRUE","FALSE")</f>
        <v>TRUE</v>
      </c>
      <c r="J57" s="695"/>
      <c r="K57" s="696"/>
      <c r="L57" s="696"/>
      <c r="M57" s="696"/>
      <c r="N57" s="696"/>
      <c r="O57" s="696"/>
      <c r="P57" s="697"/>
    </row>
    <row r="58" spans="2:16" x14ac:dyDescent="0.2">
      <c r="B58" s="675" t="s">
        <v>242</v>
      </c>
      <c r="C58" s="709" t="str">
        <f>+C38</f>
        <v>Jefe de Tesoreria</v>
      </c>
      <c r="D58" s="680"/>
      <c r="E58" s="675" t="s">
        <v>243</v>
      </c>
      <c r="F58" s="671" t="str">
        <f>+F38</f>
        <v>Gerente de Contabilidad</v>
      </c>
      <c r="G58" s="672"/>
      <c r="H58" s="673"/>
      <c r="J58" s="695"/>
      <c r="K58" s="696"/>
      <c r="L58" s="696"/>
      <c r="M58" s="696"/>
      <c r="N58" s="696"/>
      <c r="O58" s="696"/>
      <c r="P58" s="697"/>
    </row>
    <row r="59" spans="2:16" x14ac:dyDescent="0.2">
      <c r="B59" s="676"/>
      <c r="C59" s="710"/>
      <c r="D59" s="681"/>
      <c r="E59" s="676"/>
      <c r="F59" s="677"/>
      <c r="G59" s="678"/>
      <c r="H59" s="679"/>
      <c r="J59" s="698"/>
      <c r="K59" s="699"/>
      <c r="L59" s="699"/>
      <c r="M59" s="699"/>
      <c r="N59" s="699"/>
      <c r="O59" s="699"/>
      <c r="P59" s="700"/>
    </row>
    <row r="60" spans="2:16" x14ac:dyDescent="0.2">
      <c r="B60" s="682" t="s">
        <v>468</v>
      </c>
      <c r="C60" s="149"/>
      <c r="D60" s="147"/>
      <c r="E60" s="680" t="s">
        <v>469</v>
      </c>
      <c r="F60" s="671" t="str">
        <f>+F40</f>
        <v>Dirección de Finanzas</v>
      </c>
      <c r="G60" s="672"/>
      <c r="H60" s="673"/>
    </row>
    <row r="61" spans="2:16" ht="15" x14ac:dyDescent="0.25">
      <c r="B61" s="683"/>
      <c r="C61" s="150"/>
      <c r="D61" s="148"/>
      <c r="E61" s="681"/>
      <c r="F61" s="677"/>
      <c r="G61" s="678"/>
      <c r="H61" s="679"/>
    </row>
    <row r="64" spans="2:16" ht="15.75" x14ac:dyDescent="0.25">
      <c r="B64" s="112" t="str">
        <f>+C67</f>
        <v>CUENTAS POR COBRAR</v>
      </c>
      <c r="C64" s="110"/>
      <c r="D64" s="110"/>
      <c r="E64" s="110"/>
      <c r="F64" s="111"/>
      <c r="G64" s="110"/>
      <c r="H64" s="111"/>
      <c r="I64" s="110"/>
      <c r="J64" s="110"/>
      <c r="K64" s="110"/>
      <c r="L64" s="110"/>
      <c r="M64" s="110"/>
      <c r="N64" s="110"/>
      <c r="O64" s="110"/>
      <c r="P64" s="110"/>
    </row>
    <row r="65" spans="2:16" x14ac:dyDescent="0.2">
      <c r="B65" s="684" t="s">
        <v>233</v>
      </c>
      <c r="C65" s="685"/>
      <c r="D65" s="686"/>
      <c r="E65" s="687" t="s">
        <v>234</v>
      </c>
      <c r="F65" s="688"/>
      <c r="G65" s="689"/>
      <c r="H65" s="23" t="s">
        <v>235</v>
      </c>
      <c r="J65" s="654" t="s">
        <v>246</v>
      </c>
      <c r="K65" s="655"/>
      <c r="L65" s="655"/>
      <c r="M65" s="655"/>
      <c r="N65" s="655"/>
      <c r="O65" s="655"/>
      <c r="P65" s="656"/>
    </row>
    <row r="66" spans="2:16" x14ac:dyDescent="0.2">
      <c r="B66" s="6" t="s">
        <v>230</v>
      </c>
      <c r="C66" s="657">
        <f>+'I. Balanza'!B35</f>
        <v>1104</v>
      </c>
      <c r="D66" s="658"/>
      <c r="E66" s="659" t="str">
        <f>+$G$1</f>
        <v>Diciembre 2024</v>
      </c>
      <c r="F66" s="660"/>
      <c r="G66" s="661"/>
      <c r="H66" s="663" t="s">
        <v>229</v>
      </c>
      <c r="J66" s="671"/>
      <c r="K66" s="672"/>
      <c r="L66" s="672"/>
      <c r="M66" s="672"/>
      <c r="N66" s="672"/>
      <c r="O66" s="672"/>
      <c r="P66" s="673"/>
    </row>
    <row r="67" spans="2:16" x14ac:dyDescent="0.2">
      <c r="B67" s="6" t="s">
        <v>231</v>
      </c>
      <c r="C67" s="657" t="str">
        <f>+'I. Balanza'!D35</f>
        <v>CUENTAS POR COBRAR</v>
      </c>
      <c r="D67" s="658"/>
      <c r="E67" s="662"/>
      <c r="F67" s="660"/>
      <c r="G67" s="661"/>
      <c r="H67" s="663"/>
      <c r="J67" s="674"/>
      <c r="K67" s="657"/>
      <c r="L67" s="657"/>
      <c r="M67" s="657"/>
      <c r="N67" s="657"/>
      <c r="O67" s="657"/>
      <c r="P67" s="658"/>
    </row>
    <row r="68" spans="2:16" x14ac:dyDescent="0.2">
      <c r="B68" s="667" t="s">
        <v>232</v>
      </c>
      <c r="C68" s="667"/>
      <c r="D68" s="667"/>
      <c r="E68" s="667"/>
      <c r="F68" s="667"/>
      <c r="G68" s="667"/>
      <c r="H68" s="7">
        <f>'I. Balanza'!P35</f>
        <v>41480874.82</v>
      </c>
      <c r="J68" s="674"/>
      <c r="K68" s="657"/>
      <c r="L68" s="657"/>
      <c r="M68" s="657"/>
      <c r="N68" s="657"/>
      <c r="O68" s="657"/>
      <c r="P68" s="658"/>
    </row>
    <row r="69" spans="2:16" x14ac:dyDescent="0.2">
      <c r="B69" s="8" t="s">
        <v>466</v>
      </c>
      <c r="C69" s="9"/>
      <c r="D69" s="9"/>
      <c r="E69" s="9"/>
      <c r="F69" s="10"/>
      <c r="G69" s="247"/>
      <c r="H69" s="7">
        <v>20480870</v>
      </c>
      <c r="J69" s="674"/>
      <c r="K69" s="657"/>
      <c r="L69" s="657"/>
      <c r="M69" s="657"/>
      <c r="N69" s="657"/>
      <c r="O69" s="657"/>
      <c r="P69" s="658"/>
    </row>
    <row r="70" spans="2:16" x14ac:dyDescent="0.2">
      <c r="B70" s="8" t="s">
        <v>672</v>
      </c>
      <c r="C70" s="9"/>
      <c r="D70" s="9"/>
      <c r="E70" s="9"/>
      <c r="F70" s="10"/>
      <c r="G70" s="12"/>
      <c r="H70" s="7">
        <v>11126225.880000001</v>
      </c>
      <c r="J70" s="674"/>
      <c r="K70" s="657"/>
      <c r="L70" s="657"/>
      <c r="M70" s="657"/>
      <c r="N70" s="657"/>
      <c r="O70" s="657"/>
      <c r="P70" s="658"/>
    </row>
    <row r="71" spans="2:16" x14ac:dyDescent="0.2">
      <c r="B71" s="668" t="s">
        <v>236</v>
      </c>
      <c r="C71" s="669"/>
      <c r="D71" s="669"/>
      <c r="E71" s="669"/>
      <c r="F71" s="669"/>
      <c r="G71" s="670"/>
      <c r="H71" s="13">
        <f>H68+H70-H69</f>
        <v>32126230.700000003</v>
      </c>
      <c r="J71" s="674"/>
      <c r="K71" s="657"/>
      <c r="L71" s="657"/>
      <c r="M71" s="657"/>
      <c r="N71" s="657"/>
      <c r="O71" s="657"/>
      <c r="P71" s="658"/>
    </row>
    <row r="72" spans="2:16" x14ac:dyDescent="0.2">
      <c r="B72" s="668" t="s">
        <v>237</v>
      </c>
      <c r="C72" s="669"/>
      <c r="D72" s="669"/>
      <c r="E72" s="669"/>
      <c r="F72" s="669"/>
      <c r="G72" s="670"/>
      <c r="H72" s="14">
        <f>'I. Balanza'!Q35</f>
        <v>32126230.699999999</v>
      </c>
      <c r="J72" s="654" t="s">
        <v>245</v>
      </c>
      <c r="K72" s="655"/>
      <c r="L72" s="655"/>
      <c r="M72" s="655"/>
      <c r="N72" s="655"/>
      <c r="O72" s="655"/>
      <c r="P72" s="656"/>
    </row>
    <row r="73" spans="2:16" x14ac:dyDescent="0.2">
      <c r="B73" s="668" t="s">
        <v>238</v>
      </c>
      <c r="C73" s="669"/>
      <c r="D73" s="669"/>
      <c r="E73" s="669"/>
      <c r="F73" s="669"/>
      <c r="G73" s="670"/>
      <c r="H73" s="13">
        <f>+H71-H72</f>
        <v>0</v>
      </c>
      <c r="J73" s="692" t="s">
        <v>478</v>
      </c>
      <c r="K73" s="693"/>
      <c r="L73" s="693"/>
      <c r="M73" s="693"/>
      <c r="N73" s="693"/>
      <c r="O73" s="693"/>
      <c r="P73" s="694"/>
    </row>
    <row r="74" spans="2:16" x14ac:dyDescent="0.2">
      <c r="B74" s="701" t="s">
        <v>239</v>
      </c>
      <c r="C74" s="702"/>
      <c r="D74" s="702"/>
      <c r="E74" s="702"/>
      <c r="F74" s="702"/>
      <c r="G74" s="703"/>
      <c r="H74" s="15"/>
      <c r="J74" s="695"/>
      <c r="K74" s="696"/>
      <c r="L74" s="696"/>
      <c r="M74" s="696"/>
      <c r="N74" s="696"/>
      <c r="O74" s="696"/>
      <c r="P74" s="697"/>
    </row>
    <row r="75" spans="2:16" x14ac:dyDescent="0.2">
      <c r="B75" s="16"/>
      <c r="G75" s="17" t="s">
        <v>240</v>
      </c>
      <c r="H75" s="7">
        <f>H73</f>
        <v>0</v>
      </c>
      <c r="J75" s="695"/>
      <c r="K75" s="696"/>
      <c r="L75" s="696"/>
      <c r="M75" s="696"/>
      <c r="N75" s="696"/>
      <c r="O75" s="696"/>
      <c r="P75" s="697"/>
    </row>
    <row r="76" spans="2:16" x14ac:dyDescent="0.2">
      <c r="B76" s="8"/>
      <c r="C76" s="9"/>
      <c r="D76" s="9"/>
      <c r="E76" s="9"/>
      <c r="F76" s="9"/>
      <c r="G76" s="12"/>
      <c r="H76" s="7"/>
      <c r="J76" s="695"/>
      <c r="K76" s="696"/>
      <c r="L76" s="696"/>
      <c r="M76" s="696"/>
      <c r="N76" s="696"/>
      <c r="O76" s="696"/>
      <c r="P76" s="697"/>
    </row>
    <row r="77" spans="2:16" x14ac:dyDescent="0.2">
      <c r="B77" s="18"/>
      <c r="C77" s="19"/>
      <c r="D77" s="19"/>
      <c r="E77" s="19"/>
      <c r="F77" s="19"/>
      <c r="G77" s="11"/>
      <c r="H77" s="20"/>
      <c r="J77" s="695"/>
      <c r="K77" s="696"/>
      <c r="L77" s="696"/>
      <c r="M77" s="696"/>
      <c r="N77" s="696"/>
      <c r="O77" s="696"/>
      <c r="P77" s="697"/>
    </row>
    <row r="78" spans="2:16" ht="15" x14ac:dyDescent="0.2">
      <c r="B78" s="704" t="s">
        <v>241</v>
      </c>
      <c r="C78" s="704"/>
      <c r="D78" s="704"/>
      <c r="E78" s="704"/>
      <c r="F78" s="704"/>
      <c r="G78" s="704"/>
      <c r="H78" s="21" t="str">
        <f>IF((+H75+H77)=0,"TRUE","FALSE")</f>
        <v>TRUE</v>
      </c>
      <c r="J78" s="695"/>
      <c r="K78" s="696"/>
      <c r="L78" s="696"/>
      <c r="M78" s="696"/>
      <c r="N78" s="696"/>
      <c r="O78" s="696"/>
      <c r="P78" s="697"/>
    </row>
    <row r="79" spans="2:16" x14ac:dyDescent="0.2">
      <c r="B79" s="675" t="s">
        <v>242</v>
      </c>
      <c r="C79" s="705" t="s">
        <v>476</v>
      </c>
      <c r="D79" s="706"/>
      <c r="E79" s="675" t="s">
        <v>243</v>
      </c>
      <c r="F79" s="671" t="s">
        <v>477</v>
      </c>
      <c r="G79" s="672"/>
      <c r="H79" s="673"/>
      <c r="J79" s="695"/>
      <c r="K79" s="696"/>
      <c r="L79" s="696"/>
      <c r="M79" s="696"/>
      <c r="N79" s="696"/>
      <c r="O79" s="696"/>
      <c r="P79" s="697"/>
    </row>
    <row r="80" spans="2:16" x14ac:dyDescent="0.2">
      <c r="B80" s="676"/>
      <c r="C80" s="707"/>
      <c r="D80" s="708"/>
      <c r="E80" s="676"/>
      <c r="F80" s="677"/>
      <c r="G80" s="678"/>
      <c r="H80" s="679"/>
      <c r="J80" s="698"/>
      <c r="K80" s="699"/>
      <c r="L80" s="699"/>
      <c r="M80" s="699"/>
      <c r="N80" s="699"/>
      <c r="O80" s="699"/>
      <c r="P80" s="700"/>
    </row>
    <row r="81" spans="2:16" x14ac:dyDescent="0.2">
      <c r="B81" s="682" t="s">
        <v>468</v>
      </c>
      <c r="C81" s="149"/>
      <c r="D81" s="147"/>
      <c r="E81" s="680" t="s">
        <v>469</v>
      </c>
      <c r="F81" s="671" t="s">
        <v>475</v>
      </c>
      <c r="G81" s="672"/>
      <c r="H81" s="673"/>
    </row>
    <row r="82" spans="2:16" ht="15" x14ac:dyDescent="0.25">
      <c r="B82" s="683"/>
      <c r="C82" s="150"/>
      <c r="D82" s="148"/>
      <c r="E82" s="681"/>
      <c r="F82" s="677"/>
      <c r="G82" s="678"/>
      <c r="H82" s="679"/>
    </row>
    <row r="84" spans="2:16" ht="15.75" x14ac:dyDescent="0.25">
      <c r="B84" s="112" t="str">
        <f>+C87</f>
        <v>RESERVA PARA CUENTAS INCOBRABLES</v>
      </c>
      <c r="C84" s="110"/>
      <c r="D84" s="110"/>
      <c r="E84" s="110"/>
      <c r="F84" s="111"/>
      <c r="G84" s="110"/>
      <c r="H84" s="111"/>
      <c r="I84" s="110"/>
      <c r="J84" s="110"/>
      <c r="K84" s="110"/>
      <c r="L84" s="110"/>
      <c r="M84" s="110"/>
      <c r="N84" s="110"/>
      <c r="O84" s="110"/>
      <c r="P84" s="110"/>
    </row>
    <row r="85" spans="2:16" x14ac:dyDescent="0.2">
      <c r="B85" s="684" t="s">
        <v>233</v>
      </c>
      <c r="C85" s="685"/>
      <c r="D85" s="686"/>
      <c r="E85" s="687" t="s">
        <v>234</v>
      </c>
      <c r="F85" s="688"/>
      <c r="G85" s="689"/>
      <c r="H85" s="23" t="s">
        <v>235</v>
      </c>
      <c r="J85" s="654" t="s">
        <v>246</v>
      </c>
      <c r="K85" s="655"/>
      <c r="L85" s="655"/>
      <c r="M85" s="655"/>
      <c r="N85" s="655"/>
      <c r="O85" s="655"/>
      <c r="P85" s="656"/>
    </row>
    <row r="86" spans="2:16" x14ac:dyDescent="0.2">
      <c r="B86" s="6" t="s">
        <v>230</v>
      </c>
      <c r="C86" s="657" t="str">
        <f>+'I. Balanza'!B40</f>
        <v xml:space="preserve">1108 </v>
      </c>
      <c r="D86" s="658"/>
      <c r="E86" s="659" t="str">
        <f>+$G$1</f>
        <v>Diciembre 2024</v>
      </c>
      <c r="F86" s="660"/>
      <c r="G86" s="661"/>
      <c r="H86" s="663" t="s">
        <v>229</v>
      </c>
      <c r="J86" s="671"/>
      <c r="K86" s="672"/>
      <c r="L86" s="672"/>
      <c r="M86" s="672"/>
      <c r="N86" s="672"/>
      <c r="O86" s="672"/>
      <c r="P86" s="673"/>
    </row>
    <row r="87" spans="2:16" x14ac:dyDescent="0.2">
      <c r="B87" s="6" t="s">
        <v>231</v>
      </c>
      <c r="C87" s="657" t="str">
        <f>+'I. Balanza'!D40</f>
        <v>RESERVA PARA CUENTAS INCOBRABLES</v>
      </c>
      <c r="D87" s="658"/>
      <c r="E87" s="662"/>
      <c r="F87" s="660"/>
      <c r="G87" s="661"/>
      <c r="H87" s="663"/>
      <c r="J87" s="674"/>
      <c r="K87" s="657"/>
      <c r="L87" s="657"/>
      <c r="M87" s="657"/>
      <c r="N87" s="657"/>
      <c r="O87" s="657"/>
      <c r="P87" s="658"/>
    </row>
    <row r="88" spans="2:16" x14ac:dyDescent="0.2">
      <c r="B88" s="667" t="s">
        <v>232</v>
      </c>
      <c r="C88" s="667"/>
      <c r="D88" s="667"/>
      <c r="E88" s="667"/>
      <c r="F88" s="667"/>
      <c r="G88" s="667"/>
      <c r="H88" s="7">
        <f>'I. Balanza'!P40</f>
        <v>-606534.77</v>
      </c>
      <c r="J88" s="674"/>
      <c r="K88" s="657"/>
      <c r="L88" s="657"/>
      <c r="M88" s="657"/>
      <c r="N88" s="657"/>
      <c r="O88" s="657"/>
      <c r="P88" s="658"/>
    </row>
    <row r="89" spans="2:16" x14ac:dyDescent="0.2">
      <c r="B89" s="8" t="s">
        <v>482</v>
      </c>
      <c r="C89" s="9"/>
      <c r="D89" s="9"/>
      <c r="E89" s="9"/>
      <c r="F89" s="10"/>
      <c r="G89" s="11"/>
      <c r="H89" s="7">
        <v>266818.17</v>
      </c>
      <c r="J89" s="674"/>
      <c r="K89" s="657"/>
      <c r="L89" s="657"/>
      <c r="M89" s="657"/>
      <c r="N89" s="657"/>
      <c r="O89" s="657"/>
      <c r="P89" s="658"/>
    </row>
    <row r="90" spans="2:16" x14ac:dyDescent="0.2">
      <c r="B90" s="8" t="s">
        <v>483</v>
      </c>
      <c r="C90" s="9"/>
      <c r="D90" s="9"/>
      <c r="E90" s="9"/>
      <c r="F90" s="10"/>
      <c r="G90" s="12"/>
      <c r="H90" s="7"/>
      <c r="J90" s="674"/>
      <c r="K90" s="657"/>
      <c r="L90" s="657"/>
      <c r="M90" s="657"/>
      <c r="N90" s="657"/>
      <c r="O90" s="657"/>
      <c r="P90" s="658"/>
    </row>
    <row r="91" spans="2:16" x14ac:dyDescent="0.2">
      <c r="B91" s="668" t="s">
        <v>236</v>
      </c>
      <c r="C91" s="669"/>
      <c r="D91" s="669"/>
      <c r="E91" s="669"/>
      <c r="F91" s="669"/>
      <c r="G91" s="670"/>
      <c r="H91" s="13">
        <f>+H88+H89-H90</f>
        <v>-339716.60000000003</v>
      </c>
      <c r="J91" s="674"/>
      <c r="K91" s="657"/>
      <c r="L91" s="657"/>
      <c r="M91" s="657"/>
      <c r="N91" s="657"/>
      <c r="O91" s="657"/>
      <c r="P91" s="658"/>
    </row>
    <row r="92" spans="2:16" x14ac:dyDescent="0.2">
      <c r="B92" s="668" t="s">
        <v>237</v>
      </c>
      <c r="C92" s="669"/>
      <c r="D92" s="669"/>
      <c r="E92" s="669"/>
      <c r="F92" s="669"/>
      <c r="G92" s="670"/>
      <c r="H92" s="14">
        <f>'I. Balanza'!Q40</f>
        <v>-339716.6</v>
      </c>
      <c r="J92" s="654" t="s">
        <v>245</v>
      </c>
      <c r="K92" s="655"/>
      <c r="L92" s="655"/>
      <c r="M92" s="655"/>
      <c r="N92" s="655"/>
      <c r="O92" s="655"/>
      <c r="P92" s="656"/>
    </row>
    <row r="93" spans="2:16" x14ac:dyDescent="0.2">
      <c r="B93" s="668" t="s">
        <v>238</v>
      </c>
      <c r="C93" s="669"/>
      <c r="D93" s="669"/>
      <c r="E93" s="669"/>
      <c r="F93" s="669"/>
      <c r="G93" s="670"/>
      <c r="H93" s="13">
        <f>+H91-H92</f>
        <v>0</v>
      </c>
      <c r="J93" s="692" t="s">
        <v>481</v>
      </c>
      <c r="K93" s="693"/>
      <c r="L93" s="693"/>
      <c r="M93" s="693"/>
      <c r="N93" s="693"/>
      <c r="O93" s="693"/>
      <c r="P93" s="694"/>
    </row>
    <row r="94" spans="2:16" x14ac:dyDescent="0.2">
      <c r="B94" s="701" t="s">
        <v>239</v>
      </c>
      <c r="C94" s="702"/>
      <c r="D94" s="702"/>
      <c r="E94" s="702"/>
      <c r="F94" s="702"/>
      <c r="G94" s="703"/>
      <c r="H94" s="15"/>
      <c r="J94" s="695"/>
      <c r="K94" s="696"/>
      <c r="L94" s="696"/>
      <c r="M94" s="696"/>
      <c r="N94" s="696"/>
      <c r="O94" s="696"/>
      <c r="P94" s="697"/>
    </row>
    <row r="95" spans="2:16" x14ac:dyDescent="0.2">
      <c r="B95" s="16"/>
      <c r="G95" s="17" t="s">
        <v>240</v>
      </c>
      <c r="H95" s="7">
        <f>H93</f>
        <v>0</v>
      </c>
      <c r="J95" s="695"/>
      <c r="K95" s="696"/>
      <c r="L95" s="696"/>
      <c r="M95" s="696"/>
      <c r="N95" s="696"/>
      <c r="O95" s="696"/>
      <c r="P95" s="697"/>
    </row>
    <row r="96" spans="2:16" x14ac:dyDescent="0.2">
      <c r="B96" s="8"/>
      <c r="C96" s="9"/>
      <c r="D96" s="9"/>
      <c r="E96" s="9"/>
      <c r="F96" s="9"/>
      <c r="G96" s="12"/>
      <c r="H96" s="7"/>
      <c r="J96" s="695"/>
      <c r="K96" s="696"/>
      <c r="L96" s="696"/>
      <c r="M96" s="696"/>
      <c r="N96" s="696"/>
      <c r="O96" s="696"/>
      <c r="P96" s="697"/>
    </row>
    <row r="97" spans="2:16" x14ac:dyDescent="0.2">
      <c r="B97" s="18"/>
      <c r="C97" s="19"/>
      <c r="D97" s="19"/>
      <c r="E97" s="19"/>
      <c r="F97" s="19"/>
      <c r="G97" s="11"/>
      <c r="H97" s="20"/>
      <c r="J97" s="695"/>
      <c r="K97" s="696"/>
      <c r="L97" s="696"/>
      <c r="M97" s="696"/>
      <c r="N97" s="696"/>
      <c r="O97" s="696"/>
      <c r="P97" s="697"/>
    </row>
    <row r="98" spans="2:16" ht="15" x14ac:dyDescent="0.2">
      <c r="B98" s="704" t="s">
        <v>241</v>
      </c>
      <c r="C98" s="704"/>
      <c r="D98" s="704"/>
      <c r="E98" s="704"/>
      <c r="F98" s="704"/>
      <c r="G98" s="704"/>
      <c r="H98" s="21" t="str">
        <f>IF((+H95+H97)=0,"TRUE","FALSE")</f>
        <v>TRUE</v>
      </c>
      <c r="J98" s="695"/>
      <c r="K98" s="696"/>
      <c r="L98" s="696"/>
      <c r="M98" s="696"/>
      <c r="N98" s="696"/>
      <c r="O98" s="696"/>
      <c r="P98" s="697"/>
    </row>
    <row r="99" spans="2:16" x14ac:dyDescent="0.2">
      <c r="B99" s="675" t="s">
        <v>242</v>
      </c>
      <c r="C99" s="705" t="s">
        <v>476</v>
      </c>
      <c r="D99" s="706"/>
      <c r="E99" s="675" t="s">
        <v>243</v>
      </c>
      <c r="F99" s="671" t="s">
        <v>477</v>
      </c>
      <c r="G99" s="672"/>
      <c r="H99" s="673"/>
      <c r="J99" s="695"/>
      <c r="K99" s="696"/>
      <c r="L99" s="696"/>
      <c r="M99" s="696"/>
      <c r="N99" s="696"/>
      <c r="O99" s="696"/>
      <c r="P99" s="697"/>
    </row>
    <row r="100" spans="2:16" x14ac:dyDescent="0.2">
      <c r="B100" s="676"/>
      <c r="C100" s="707"/>
      <c r="D100" s="708"/>
      <c r="E100" s="676"/>
      <c r="F100" s="677"/>
      <c r="G100" s="678"/>
      <c r="H100" s="679"/>
      <c r="J100" s="698"/>
      <c r="K100" s="699"/>
      <c r="L100" s="699"/>
      <c r="M100" s="699"/>
      <c r="N100" s="699"/>
      <c r="O100" s="699"/>
      <c r="P100" s="700"/>
    </row>
    <row r="101" spans="2:16" x14ac:dyDescent="0.2">
      <c r="B101" s="682" t="s">
        <v>468</v>
      </c>
      <c r="C101" s="149"/>
      <c r="D101" s="147"/>
      <c r="E101" s="680" t="s">
        <v>469</v>
      </c>
      <c r="F101" s="671" t="s">
        <v>475</v>
      </c>
      <c r="G101" s="672"/>
      <c r="H101" s="673"/>
    </row>
    <row r="102" spans="2:16" ht="15" x14ac:dyDescent="0.25">
      <c r="B102" s="683"/>
      <c r="C102" s="150"/>
      <c r="D102" s="148"/>
      <c r="E102" s="681"/>
      <c r="F102" s="677"/>
      <c r="G102" s="678"/>
      <c r="H102" s="679"/>
    </row>
    <row r="104" spans="2:16" ht="15.75" x14ac:dyDescent="0.25">
      <c r="B104" s="112" t="str">
        <f>+C107</f>
        <v>FUNCIONARIOS Y EMPLEADOS</v>
      </c>
      <c r="C104" s="110"/>
      <c r="D104" s="110"/>
      <c r="E104" s="110"/>
      <c r="F104" s="111"/>
      <c r="G104" s="110"/>
      <c r="H104" s="111"/>
      <c r="I104" s="110"/>
      <c r="J104" s="110"/>
      <c r="K104" s="110"/>
      <c r="L104" s="110"/>
      <c r="M104" s="110"/>
      <c r="N104" s="110"/>
      <c r="O104" s="110"/>
      <c r="P104" s="110"/>
    </row>
    <row r="105" spans="2:16" x14ac:dyDescent="0.2">
      <c r="B105" s="684" t="s">
        <v>233</v>
      </c>
      <c r="C105" s="685"/>
      <c r="D105" s="686"/>
      <c r="E105" s="687" t="s">
        <v>234</v>
      </c>
      <c r="F105" s="688"/>
      <c r="G105" s="689"/>
      <c r="H105" s="23" t="s">
        <v>235</v>
      </c>
      <c r="J105" s="654" t="s">
        <v>246</v>
      </c>
      <c r="K105" s="655"/>
      <c r="L105" s="655"/>
      <c r="M105" s="655"/>
      <c r="N105" s="655"/>
      <c r="O105" s="655"/>
      <c r="P105" s="656"/>
    </row>
    <row r="106" spans="2:16" x14ac:dyDescent="0.2">
      <c r="B106" s="6" t="s">
        <v>230</v>
      </c>
      <c r="C106" s="657" t="str">
        <f>+'I. Balanza'!B47</f>
        <v xml:space="preserve">1109 </v>
      </c>
      <c r="D106" s="658"/>
      <c r="E106" s="659" t="str">
        <f>+$G$1</f>
        <v>Diciembre 2024</v>
      </c>
      <c r="F106" s="660"/>
      <c r="G106" s="661"/>
      <c r="H106" s="663" t="s">
        <v>229</v>
      </c>
      <c r="J106" s="671"/>
      <c r="K106" s="672"/>
      <c r="L106" s="672"/>
      <c r="M106" s="672"/>
      <c r="N106" s="672"/>
      <c r="O106" s="672"/>
      <c r="P106" s="673"/>
    </row>
    <row r="107" spans="2:16" x14ac:dyDescent="0.2">
      <c r="B107" s="6" t="s">
        <v>231</v>
      </c>
      <c r="C107" s="657" t="str">
        <f>+'I. Balanza'!D47</f>
        <v>FUNCIONARIOS Y EMPLEADOS</v>
      </c>
      <c r="D107" s="658"/>
      <c r="E107" s="662"/>
      <c r="F107" s="660"/>
      <c r="G107" s="661"/>
      <c r="H107" s="663"/>
      <c r="J107" s="674"/>
      <c r="K107" s="657"/>
      <c r="L107" s="657"/>
      <c r="M107" s="657"/>
      <c r="N107" s="657"/>
      <c r="O107" s="657"/>
      <c r="P107" s="658"/>
    </row>
    <row r="108" spans="2:16" x14ac:dyDescent="0.2">
      <c r="B108" s="667" t="s">
        <v>232</v>
      </c>
      <c r="C108" s="667"/>
      <c r="D108" s="667"/>
      <c r="E108" s="667"/>
      <c r="F108" s="667"/>
      <c r="G108" s="667"/>
      <c r="H108" s="7">
        <f>'I. Balanza'!P47</f>
        <v>9118.41</v>
      </c>
      <c r="J108" s="674"/>
      <c r="K108" s="657"/>
      <c r="L108" s="657"/>
      <c r="M108" s="657"/>
      <c r="N108" s="657"/>
      <c r="O108" s="657"/>
      <c r="P108" s="658"/>
    </row>
    <row r="109" spans="2:16" x14ac:dyDescent="0.2">
      <c r="B109" s="8"/>
      <c r="C109" s="9"/>
      <c r="D109" s="9"/>
      <c r="E109" s="9"/>
      <c r="F109" s="10"/>
      <c r="G109" s="11"/>
      <c r="H109" s="7"/>
      <c r="J109" s="674"/>
      <c r="K109" s="657"/>
      <c r="L109" s="657"/>
      <c r="M109" s="657"/>
      <c r="N109" s="657"/>
      <c r="O109" s="657"/>
      <c r="P109" s="658"/>
    </row>
    <row r="110" spans="2:16" x14ac:dyDescent="0.2">
      <c r="B110" s="8"/>
      <c r="C110" s="9"/>
      <c r="D110" s="9"/>
      <c r="E110" s="9"/>
      <c r="F110" s="10"/>
      <c r="G110" s="12"/>
      <c r="H110" s="7"/>
      <c r="J110" s="674"/>
      <c r="K110" s="657"/>
      <c r="L110" s="657"/>
      <c r="M110" s="657"/>
      <c r="N110" s="657"/>
      <c r="O110" s="657"/>
      <c r="P110" s="658"/>
    </row>
    <row r="111" spans="2:16" x14ac:dyDescent="0.2">
      <c r="B111" s="668" t="s">
        <v>236</v>
      </c>
      <c r="C111" s="669"/>
      <c r="D111" s="669"/>
      <c r="E111" s="669"/>
      <c r="F111" s="669"/>
      <c r="G111" s="670"/>
      <c r="H111" s="13">
        <f>H108+H110-H109</f>
        <v>9118.41</v>
      </c>
      <c r="J111" s="674"/>
      <c r="K111" s="657"/>
      <c r="L111" s="657"/>
      <c r="M111" s="657"/>
      <c r="N111" s="657"/>
      <c r="O111" s="657"/>
      <c r="P111" s="658"/>
    </row>
    <row r="112" spans="2:16" x14ac:dyDescent="0.2">
      <c r="B112" s="668" t="s">
        <v>237</v>
      </c>
      <c r="C112" s="669"/>
      <c r="D112" s="669"/>
      <c r="E112" s="669"/>
      <c r="F112" s="669"/>
      <c r="G112" s="670"/>
      <c r="H112" s="14">
        <f>'I. Balanza'!Q47</f>
        <v>9118.41</v>
      </c>
      <c r="J112" s="654" t="s">
        <v>245</v>
      </c>
      <c r="K112" s="655"/>
      <c r="L112" s="655"/>
      <c r="M112" s="655"/>
      <c r="N112" s="655"/>
      <c r="O112" s="655"/>
      <c r="P112" s="656"/>
    </row>
    <row r="113" spans="2:16" x14ac:dyDescent="0.2">
      <c r="B113" s="668" t="s">
        <v>238</v>
      </c>
      <c r="C113" s="669"/>
      <c r="D113" s="669"/>
      <c r="E113" s="669"/>
      <c r="F113" s="669"/>
      <c r="G113" s="670"/>
      <c r="H113" s="13">
        <f>+H111-H112</f>
        <v>0</v>
      </c>
      <c r="J113" s="692" t="s">
        <v>484</v>
      </c>
      <c r="K113" s="693"/>
      <c r="L113" s="693"/>
      <c r="M113" s="693"/>
      <c r="N113" s="693"/>
      <c r="O113" s="693"/>
      <c r="P113" s="694"/>
    </row>
    <row r="114" spans="2:16" x14ac:dyDescent="0.2">
      <c r="B114" s="701" t="s">
        <v>239</v>
      </c>
      <c r="C114" s="702"/>
      <c r="D114" s="702"/>
      <c r="E114" s="702"/>
      <c r="F114" s="702"/>
      <c r="G114" s="703"/>
      <c r="H114" s="15"/>
      <c r="J114" s="695"/>
      <c r="K114" s="696"/>
      <c r="L114" s="696"/>
      <c r="M114" s="696"/>
      <c r="N114" s="696"/>
      <c r="O114" s="696"/>
      <c r="P114" s="697"/>
    </row>
    <row r="115" spans="2:16" x14ac:dyDescent="0.2">
      <c r="B115" s="16"/>
      <c r="G115" s="17" t="s">
        <v>240</v>
      </c>
      <c r="H115" s="7">
        <f>H113</f>
        <v>0</v>
      </c>
      <c r="J115" s="695"/>
      <c r="K115" s="696"/>
      <c r="L115" s="696"/>
      <c r="M115" s="696"/>
      <c r="N115" s="696"/>
      <c r="O115" s="696"/>
      <c r="P115" s="697"/>
    </row>
    <row r="116" spans="2:16" x14ac:dyDescent="0.2">
      <c r="B116" s="8"/>
      <c r="C116" s="9"/>
      <c r="D116" s="9"/>
      <c r="E116" s="9"/>
      <c r="F116" s="9"/>
      <c r="G116" s="12"/>
      <c r="H116" s="7"/>
      <c r="J116" s="695"/>
      <c r="K116" s="696"/>
      <c r="L116" s="696"/>
      <c r="M116" s="696"/>
      <c r="N116" s="696"/>
      <c r="O116" s="696"/>
      <c r="P116" s="697"/>
    </row>
    <row r="117" spans="2:16" x14ac:dyDescent="0.2">
      <c r="B117" s="18"/>
      <c r="C117" s="19"/>
      <c r="D117" s="19"/>
      <c r="E117" s="19"/>
      <c r="F117" s="19"/>
      <c r="G117" s="11"/>
      <c r="H117" s="20"/>
      <c r="J117" s="695"/>
      <c r="K117" s="696"/>
      <c r="L117" s="696"/>
      <c r="M117" s="696"/>
      <c r="N117" s="696"/>
      <c r="O117" s="696"/>
      <c r="P117" s="697"/>
    </row>
    <row r="118" spans="2:16" ht="15" x14ac:dyDescent="0.2">
      <c r="B118" s="704" t="s">
        <v>241</v>
      </c>
      <c r="C118" s="704"/>
      <c r="D118" s="704"/>
      <c r="E118" s="704"/>
      <c r="F118" s="704"/>
      <c r="G118" s="704"/>
      <c r="H118" s="21" t="str">
        <f>IF((+H115+H117)=0,"TRUE","FALSE")</f>
        <v>TRUE</v>
      </c>
      <c r="J118" s="695"/>
      <c r="K118" s="696"/>
      <c r="L118" s="696"/>
      <c r="M118" s="696"/>
      <c r="N118" s="696"/>
      <c r="O118" s="696"/>
      <c r="P118" s="697"/>
    </row>
    <row r="119" spans="2:16" x14ac:dyDescent="0.2">
      <c r="B119" s="675" t="s">
        <v>242</v>
      </c>
      <c r="C119" s="709"/>
      <c r="D119" s="680"/>
      <c r="E119" s="675" t="s">
        <v>243</v>
      </c>
      <c r="F119" s="671"/>
      <c r="G119" s="672"/>
      <c r="H119" s="673"/>
      <c r="J119" s="695"/>
      <c r="K119" s="696"/>
      <c r="L119" s="696"/>
      <c r="M119" s="696"/>
      <c r="N119" s="696"/>
      <c r="O119" s="696"/>
      <c r="P119" s="697"/>
    </row>
    <row r="120" spans="2:16" x14ac:dyDescent="0.2">
      <c r="B120" s="676"/>
      <c r="C120" s="710"/>
      <c r="D120" s="681"/>
      <c r="E120" s="676"/>
      <c r="F120" s="677"/>
      <c r="G120" s="678"/>
      <c r="H120" s="679"/>
      <c r="J120" s="698"/>
      <c r="K120" s="699"/>
      <c r="L120" s="699"/>
      <c r="M120" s="699"/>
      <c r="N120" s="699"/>
      <c r="O120" s="699"/>
      <c r="P120" s="700"/>
    </row>
    <row r="121" spans="2:16" x14ac:dyDescent="0.2">
      <c r="B121" s="682" t="s">
        <v>468</v>
      </c>
      <c r="C121" s="149"/>
      <c r="D121" s="147"/>
      <c r="E121" s="680" t="s">
        <v>469</v>
      </c>
      <c r="F121" s="671"/>
      <c r="G121" s="672"/>
      <c r="H121" s="673"/>
    </row>
    <row r="122" spans="2:16" ht="15" x14ac:dyDescent="0.25">
      <c r="B122" s="683"/>
      <c r="C122" s="150"/>
      <c r="D122" s="148"/>
      <c r="E122" s="681"/>
      <c r="F122" s="677"/>
      <c r="G122" s="678"/>
      <c r="H122" s="679"/>
    </row>
    <row r="124" spans="2:16" ht="15.75" x14ac:dyDescent="0.25">
      <c r="B124" s="112" t="str">
        <f>+C127</f>
        <v>INVENTARIO</v>
      </c>
      <c r="C124" s="110"/>
      <c r="D124" s="110"/>
      <c r="E124" s="110"/>
      <c r="F124" s="111"/>
      <c r="G124" s="110"/>
      <c r="H124" s="111"/>
      <c r="I124" s="110"/>
      <c r="J124" s="110"/>
      <c r="K124" s="110"/>
      <c r="L124" s="110"/>
      <c r="M124" s="110"/>
      <c r="N124" s="110"/>
      <c r="O124" s="110"/>
      <c r="P124" s="110"/>
    </row>
    <row r="125" spans="2:16" x14ac:dyDescent="0.2">
      <c r="B125" s="684" t="s">
        <v>233</v>
      </c>
      <c r="C125" s="685"/>
      <c r="D125" s="686"/>
      <c r="E125" s="687" t="s">
        <v>234</v>
      </c>
      <c r="F125" s="688"/>
      <c r="G125" s="689"/>
      <c r="H125" s="23" t="s">
        <v>235</v>
      </c>
      <c r="J125" s="654" t="s">
        <v>246</v>
      </c>
      <c r="K125" s="655"/>
      <c r="L125" s="655"/>
      <c r="M125" s="655"/>
      <c r="N125" s="655"/>
      <c r="O125" s="655"/>
      <c r="P125" s="656"/>
    </row>
    <row r="126" spans="2:16" x14ac:dyDescent="0.2">
      <c r="B126" s="6" t="s">
        <v>230</v>
      </c>
      <c r="C126" s="657" t="str">
        <f>+'I. Balanza'!B58</f>
        <v>INV</v>
      </c>
      <c r="D126" s="658"/>
      <c r="E126" s="659" t="str">
        <f>+$G$1</f>
        <v>Diciembre 2024</v>
      </c>
      <c r="F126" s="660"/>
      <c r="G126" s="661"/>
      <c r="H126" s="663" t="s">
        <v>229</v>
      </c>
      <c r="J126" s="671"/>
      <c r="K126" s="672"/>
      <c r="L126" s="672"/>
      <c r="M126" s="672"/>
      <c r="N126" s="672"/>
      <c r="O126" s="672"/>
      <c r="P126" s="673"/>
    </row>
    <row r="127" spans="2:16" x14ac:dyDescent="0.2">
      <c r="B127" s="6" t="s">
        <v>231</v>
      </c>
      <c r="C127" s="657" t="s">
        <v>485</v>
      </c>
      <c r="D127" s="658"/>
      <c r="E127" s="662"/>
      <c r="F127" s="660"/>
      <c r="G127" s="661"/>
      <c r="H127" s="663"/>
      <c r="J127" s="674"/>
      <c r="K127" s="657"/>
      <c r="L127" s="657"/>
      <c r="M127" s="657"/>
      <c r="N127" s="657"/>
      <c r="O127" s="657"/>
      <c r="P127" s="658"/>
    </row>
    <row r="128" spans="2:16" x14ac:dyDescent="0.2">
      <c r="B128" s="667" t="s">
        <v>232</v>
      </c>
      <c r="C128" s="667"/>
      <c r="D128" s="667"/>
      <c r="E128" s="667"/>
      <c r="F128" s="667"/>
      <c r="G128" s="667"/>
      <c r="H128" s="7">
        <f>+'I. Balanza'!P58+'I. Balanza'!P65+'I. Balanza'!P74</f>
        <v>27164634.34</v>
      </c>
      <c r="J128" s="674"/>
      <c r="K128" s="657"/>
      <c r="L128" s="657"/>
      <c r="M128" s="657"/>
      <c r="N128" s="657"/>
      <c r="O128" s="657"/>
      <c r="P128" s="658"/>
    </row>
    <row r="129" spans="2:16" x14ac:dyDescent="0.2">
      <c r="B129" s="8" t="s">
        <v>486</v>
      </c>
      <c r="C129" s="9"/>
      <c r="D129" s="9"/>
      <c r="E129" s="9"/>
      <c r="F129" s="10"/>
      <c r="G129" s="11"/>
      <c r="H129" s="7"/>
      <c r="J129" s="674"/>
      <c r="K129" s="657"/>
      <c r="L129" s="657"/>
      <c r="M129" s="657"/>
      <c r="N129" s="657"/>
      <c r="O129" s="657"/>
      <c r="P129" s="658"/>
    </row>
    <row r="130" spans="2:16" x14ac:dyDescent="0.2">
      <c r="B130" s="8" t="s">
        <v>487</v>
      </c>
      <c r="C130" s="9"/>
      <c r="D130" s="9"/>
      <c r="E130" s="9"/>
      <c r="F130" s="10"/>
      <c r="G130" s="12"/>
      <c r="H130" s="7">
        <v>1931452.44</v>
      </c>
      <c r="J130" s="674"/>
      <c r="K130" s="657"/>
      <c r="L130" s="657"/>
      <c r="M130" s="657"/>
      <c r="N130" s="657"/>
      <c r="O130" s="657"/>
      <c r="P130" s="658"/>
    </row>
    <row r="131" spans="2:16" x14ac:dyDescent="0.2">
      <c r="B131" s="668" t="s">
        <v>236</v>
      </c>
      <c r="C131" s="669"/>
      <c r="D131" s="669"/>
      <c r="E131" s="669"/>
      <c r="F131" s="669"/>
      <c r="G131" s="670"/>
      <c r="H131" s="13">
        <f>+H128+H129-H130</f>
        <v>25233181.899999999</v>
      </c>
      <c r="J131" s="674"/>
      <c r="K131" s="657"/>
      <c r="L131" s="657"/>
      <c r="M131" s="657"/>
      <c r="N131" s="657"/>
      <c r="O131" s="657"/>
      <c r="P131" s="658"/>
    </row>
    <row r="132" spans="2:16" x14ac:dyDescent="0.2">
      <c r="B132" s="668" t="s">
        <v>237</v>
      </c>
      <c r="C132" s="669"/>
      <c r="D132" s="669"/>
      <c r="E132" s="669"/>
      <c r="F132" s="669"/>
      <c r="G132" s="670"/>
      <c r="H132" s="14">
        <f>+'I. Balanza'!Q58+'I. Balanza'!Q65+'I. Balanza'!Q74</f>
        <v>25233181.899999999</v>
      </c>
      <c r="J132" s="654" t="s">
        <v>245</v>
      </c>
      <c r="K132" s="655"/>
      <c r="L132" s="655"/>
      <c r="M132" s="655"/>
      <c r="N132" s="655"/>
      <c r="O132" s="655"/>
      <c r="P132" s="656"/>
    </row>
    <row r="133" spans="2:16" x14ac:dyDescent="0.2">
      <c r="B133" s="668" t="s">
        <v>238</v>
      </c>
      <c r="C133" s="669"/>
      <c r="D133" s="669"/>
      <c r="E133" s="669"/>
      <c r="F133" s="669"/>
      <c r="G133" s="670"/>
      <c r="H133" s="13">
        <f>+H131-H132</f>
        <v>0</v>
      </c>
      <c r="J133" s="692" t="s">
        <v>490</v>
      </c>
      <c r="K133" s="693"/>
      <c r="L133" s="693"/>
      <c r="M133" s="693"/>
      <c r="N133" s="693"/>
      <c r="O133" s="693"/>
      <c r="P133" s="694"/>
    </row>
    <row r="134" spans="2:16" x14ac:dyDescent="0.2">
      <c r="B134" s="701" t="s">
        <v>239</v>
      </c>
      <c r="C134" s="702"/>
      <c r="D134" s="702"/>
      <c r="E134" s="702"/>
      <c r="F134" s="702"/>
      <c r="G134" s="703"/>
      <c r="H134" s="15"/>
      <c r="J134" s="695"/>
      <c r="K134" s="696"/>
      <c r="L134" s="696"/>
      <c r="M134" s="696"/>
      <c r="N134" s="696"/>
      <c r="O134" s="696"/>
      <c r="P134" s="697"/>
    </row>
    <row r="135" spans="2:16" x14ac:dyDescent="0.2">
      <c r="B135" s="16"/>
      <c r="G135" s="17" t="s">
        <v>240</v>
      </c>
      <c r="H135" s="7">
        <f>H133</f>
        <v>0</v>
      </c>
      <c r="J135" s="695"/>
      <c r="K135" s="696"/>
      <c r="L135" s="696"/>
      <c r="M135" s="696"/>
      <c r="N135" s="696"/>
      <c r="O135" s="696"/>
      <c r="P135" s="697"/>
    </row>
    <row r="136" spans="2:16" x14ac:dyDescent="0.2">
      <c r="B136" s="8"/>
      <c r="C136" s="9"/>
      <c r="D136" s="9"/>
      <c r="E136" s="9"/>
      <c r="F136" s="9"/>
      <c r="G136" s="12"/>
      <c r="H136" s="7"/>
      <c r="J136" s="695"/>
      <c r="K136" s="696"/>
      <c r="L136" s="696"/>
      <c r="M136" s="696"/>
      <c r="N136" s="696"/>
      <c r="O136" s="696"/>
      <c r="P136" s="697"/>
    </row>
    <row r="137" spans="2:16" x14ac:dyDescent="0.2">
      <c r="B137" s="18"/>
      <c r="C137" s="19"/>
      <c r="D137" s="19"/>
      <c r="E137" s="19"/>
      <c r="F137" s="19"/>
      <c r="G137" s="11"/>
      <c r="H137" s="20"/>
      <c r="J137" s="695"/>
      <c r="K137" s="696"/>
      <c r="L137" s="696"/>
      <c r="M137" s="696"/>
      <c r="N137" s="696"/>
      <c r="O137" s="696"/>
      <c r="P137" s="697"/>
    </row>
    <row r="138" spans="2:16" ht="15" x14ac:dyDescent="0.2">
      <c r="B138" s="704" t="s">
        <v>241</v>
      </c>
      <c r="C138" s="704"/>
      <c r="D138" s="704"/>
      <c r="E138" s="704"/>
      <c r="F138" s="704"/>
      <c r="G138" s="704"/>
      <c r="H138" s="21" t="str">
        <f>IF((+H135+H137)=0,"TRUE","FALSE")</f>
        <v>TRUE</v>
      </c>
      <c r="J138" s="695"/>
      <c r="K138" s="696"/>
      <c r="L138" s="696"/>
      <c r="M138" s="696"/>
      <c r="N138" s="696"/>
      <c r="O138" s="696"/>
      <c r="P138" s="697"/>
    </row>
    <row r="139" spans="2:16" x14ac:dyDescent="0.2">
      <c r="B139" s="675" t="s">
        <v>242</v>
      </c>
      <c r="C139" s="709" t="s">
        <v>488</v>
      </c>
      <c r="D139" s="680"/>
      <c r="E139" s="675" t="s">
        <v>243</v>
      </c>
      <c r="F139" s="671" t="s">
        <v>477</v>
      </c>
      <c r="G139" s="672"/>
      <c r="H139" s="673"/>
      <c r="J139" s="695"/>
      <c r="K139" s="696"/>
      <c r="L139" s="696"/>
      <c r="M139" s="696"/>
      <c r="N139" s="696"/>
      <c r="O139" s="696"/>
      <c r="P139" s="697"/>
    </row>
    <row r="140" spans="2:16" x14ac:dyDescent="0.2">
      <c r="B140" s="676"/>
      <c r="C140" s="710"/>
      <c r="D140" s="681"/>
      <c r="E140" s="676"/>
      <c r="F140" s="677"/>
      <c r="G140" s="678"/>
      <c r="H140" s="679"/>
      <c r="J140" s="698"/>
      <c r="K140" s="699"/>
      <c r="L140" s="699"/>
      <c r="M140" s="699"/>
      <c r="N140" s="699"/>
      <c r="O140" s="699"/>
      <c r="P140" s="700"/>
    </row>
    <row r="141" spans="2:16" x14ac:dyDescent="0.2">
      <c r="B141" s="682" t="s">
        <v>468</v>
      </c>
      <c r="C141" s="149"/>
      <c r="D141" s="147"/>
      <c r="E141" s="680" t="s">
        <v>469</v>
      </c>
      <c r="F141" s="671" t="s">
        <v>475</v>
      </c>
      <c r="G141" s="672"/>
      <c r="H141" s="673"/>
    </row>
    <row r="142" spans="2:16" ht="15" x14ac:dyDescent="0.25">
      <c r="B142" s="683"/>
      <c r="C142" s="150"/>
      <c r="D142" s="148"/>
      <c r="E142" s="681"/>
      <c r="F142" s="677"/>
      <c r="G142" s="678"/>
      <c r="H142" s="679"/>
    </row>
    <row r="144" spans="2:16" ht="15.75" x14ac:dyDescent="0.25">
      <c r="B144" s="112" t="str">
        <f>+C147</f>
        <v>RESERVA INVENTARIO OBSOLETO</v>
      </c>
      <c r="C144" s="110"/>
      <c r="D144" s="110"/>
      <c r="E144" s="110"/>
      <c r="F144" s="111"/>
      <c r="G144" s="110"/>
      <c r="H144" s="111"/>
      <c r="I144" s="110"/>
      <c r="J144" s="110"/>
      <c r="K144" s="110"/>
      <c r="L144" s="110"/>
      <c r="M144" s="110"/>
      <c r="N144" s="110"/>
      <c r="O144" s="110"/>
      <c r="P144" s="110"/>
    </row>
    <row r="145" spans="2:16" x14ac:dyDescent="0.2">
      <c r="B145" s="684" t="s">
        <v>233</v>
      </c>
      <c r="C145" s="685"/>
      <c r="D145" s="686"/>
      <c r="E145" s="687" t="s">
        <v>234</v>
      </c>
      <c r="F145" s="688"/>
      <c r="G145" s="689"/>
      <c r="H145" s="23" t="s">
        <v>235</v>
      </c>
      <c r="J145" s="654" t="s">
        <v>246</v>
      </c>
      <c r="K145" s="655"/>
      <c r="L145" s="655"/>
      <c r="M145" s="655"/>
      <c r="N145" s="655"/>
      <c r="O145" s="655"/>
      <c r="P145" s="656"/>
    </row>
    <row r="146" spans="2:16" x14ac:dyDescent="0.2">
      <c r="B146" s="6" t="s">
        <v>230</v>
      </c>
      <c r="C146" s="657" t="str">
        <f>'I. Balanza'!B114</f>
        <v xml:space="preserve">1120 </v>
      </c>
      <c r="D146" s="658"/>
      <c r="E146" s="659" t="str">
        <f>+$G$1</f>
        <v>Diciembre 2024</v>
      </c>
      <c r="F146" s="660"/>
      <c r="G146" s="661"/>
      <c r="H146" s="663" t="s">
        <v>229</v>
      </c>
      <c r="J146" s="671"/>
      <c r="K146" s="672"/>
      <c r="L146" s="672"/>
      <c r="M146" s="672"/>
      <c r="N146" s="672"/>
      <c r="O146" s="672"/>
      <c r="P146" s="673"/>
    </row>
    <row r="147" spans="2:16" x14ac:dyDescent="0.2">
      <c r="B147" s="6" t="s">
        <v>231</v>
      </c>
      <c r="C147" s="657" t="str">
        <f>'I. Balanza'!D84</f>
        <v>RESERVA INVENTARIO OBSOLETO</v>
      </c>
      <c r="D147" s="658"/>
      <c r="E147" s="662"/>
      <c r="F147" s="660"/>
      <c r="G147" s="661"/>
      <c r="H147" s="663"/>
      <c r="J147" s="674"/>
      <c r="K147" s="657"/>
      <c r="L147" s="657"/>
      <c r="M147" s="657"/>
      <c r="N147" s="657"/>
      <c r="O147" s="657"/>
      <c r="P147" s="658"/>
    </row>
    <row r="148" spans="2:16" x14ac:dyDescent="0.2">
      <c r="B148" s="667" t="s">
        <v>232</v>
      </c>
      <c r="C148" s="667"/>
      <c r="D148" s="667"/>
      <c r="E148" s="667"/>
      <c r="F148" s="667"/>
      <c r="G148" s="667"/>
      <c r="H148" s="7">
        <f>'I. Balanza'!P84</f>
        <v>-3701912.21</v>
      </c>
      <c r="J148" s="674"/>
      <c r="K148" s="657"/>
      <c r="L148" s="657"/>
      <c r="M148" s="657"/>
      <c r="N148" s="657"/>
      <c r="O148" s="657"/>
      <c r="P148" s="658"/>
    </row>
    <row r="149" spans="2:16" x14ac:dyDescent="0.2">
      <c r="B149" s="8"/>
      <c r="C149" s="9"/>
      <c r="D149" s="9"/>
      <c r="E149" s="9"/>
      <c r="F149" s="10"/>
      <c r="G149" s="11"/>
      <c r="H149" s="7">
        <v>10000</v>
      </c>
      <c r="J149" s="674"/>
      <c r="K149" s="657"/>
      <c r="L149" s="657"/>
      <c r="M149" s="657"/>
      <c r="N149" s="657"/>
      <c r="O149" s="657"/>
      <c r="P149" s="658"/>
    </row>
    <row r="150" spans="2:16" x14ac:dyDescent="0.2">
      <c r="B150" s="8"/>
      <c r="C150" s="9"/>
      <c r="D150" s="9"/>
      <c r="E150" s="9"/>
      <c r="F150" s="10"/>
      <c r="G150" s="12"/>
      <c r="H150" s="7">
        <f>2178109-87</f>
        <v>2178022</v>
      </c>
      <c r="J150" s="674"/>
      <c r="K150" s="657"/>
      <c r="L150" s="657"/>
      <c r="M150" s="657"/>
      <c r="N150" s="657"/>
      <c r="O150" s="657"/>
      <c r="P150" s="658"/>
    </row>
    <row r="151" spans="2:16" x14ac:dyDescent="0.2">
      <c r="B151" s="668" t="s">
        <v>236</v>
      </c>
      <c r="C151" s="669"/>
      <c r="D151" s="669"/>
      <c r="E151" s="669"/>
      <c r="F151" s="669"/>
      <c r="G151" s="670"/>
      <c r="H151" s="13">
        <f>H148+H150-H149</f>
        <v>-1533890.21</v>
      </c>
      <c r="J151" s="674"/>
      <c r="K151" s="657"/>
      <c r="L151" s="657"/>
      <c r="M151" s="657"/>
      <c r="N151" s="657"/>
      <c r="O151" s="657"/>
      <c r="P151" s="658"/>
    </row>
    <row r="152" spans="2:16" x14ac:dyDescent="0.2">
      <c r="B152" s="668" t="s">
        <v>237</v>
      </c>
      <c r="C152" s="669"/>
      <c r="D152" s="669"/>
      <c r="E152" s="669"/>
      <c r="F152" s="669"/>
      <c r="G152" s="670"/>
      <c r="H152" s="14">
        <f>'I. Balanza'!Q84</f>
        <v>-1533803.21</v>
      </c>
      <c r="J152" s="654" t="s">
        <v>245</v>
      </c>
      <c r="K152" s="655"/>
      <c r="L152" s="655"/>
      <c r="M152" s="655"/>
      <c r="N152" s="655"/>
      <c r="O152" s="655"/>
      <c r="P152" s="656"/>
    </row>
    <row r="153" spans="2:16" x14ac:dyDescent="0.2">
      <c r="B153" s="668" t="s">
        <v>238</v>
      </c>
      <c r="C153" s="669"/>
      <c r="D153" s="669"/>
      <c r="E153" s="669"/>
      <c r="F153" s="669"/>
      <c r="G153" s="670"/>
      <c r="H153" s="13">
        <f>+H151-H152</f>
        <v>-87</v>
      </c>
      <c r="J153" s="692" t="s">
        <v>491</v>
      </c>
      <c r="K153" s="693"/>
      <c r="L153" s="693"/>
      <c r="M153" s="693"/>
      <c r="N153" s="693"/>
      <c r="O153" s="693"/>
      <c r="P153" s="694"/>
    </row>
    <row r="154" spans="2:16" x14ac:dyDescent="0.2">
      <c r="B154" s="701" t="s">
        <v>239</v>
      </c>
      <c r="C154" s="702"/>
      <c r="D154" s="702"/>
      <c r="E154" s="702"/>
      <c r="F154" s="702"/>
      <c r="G154" s="703"/>
      <c r="H154" s="15"/>
      <c r="J154" s="695"/>
      <c r="K154" s="696"/>
      <c r="L154" s="696"/>
      <c r="M154" s="696"/>
      <c r="N154" s="696"/>
      <c r="O154" s="696"/>
      <c r="P154" s="697"/>
    </row>
    <row r="155" spans="2:16" x14ac:dyDescent="0.2">
      <c r="B155" s="16"/>
      <c r="G155" s="17" t="s">
        <v>240</v>
      </c>
      <c r="H155" s="7">
        <f>H153</f>
        <v>-87</v>
      </c>
      <c r="J155" s="695"/>
      <c r="K155" s="696"/>
      <c r="L155" s="696"/>
      <c r="M155" s="696"/>
      <c r="N155" s="696"/>
      <c r="O155" s="696"/>
      <c r="P155" s="697"/>
    </row>
    <row r="156" spans="2:16" x14ac:dyDescent="0.2">
      <c r="B156" s="8"/>
      <c r="C156" s="9"/>
      <c r="D156" s="9"/>
      <c r="E156" s="9"/>
      <c r="F156" s="9"/>
      <c r="G156" s="12"/>
      <c r="H156" s="7"/>
      <c r="J156" s="695"/>
      <c r="K156" s="696"/>
      <c r="L156" s="696"/>
      <c r="M156" s="696"/>
      <c r="N156" s="696"/>
      <c r="O156" s="696"/>
      <c r="P156" s="697"/>
    </row>
    <row r="157" spans="2:16" x14ac:dyDescent="0.2">
      <c r="B157" s="18"/>
      <c r="C157" s="19"/>
      <c r="D157" s="19"/>
      <c r="E157" s="19"/>
      <c r="F157" s="19"/>
      <c r="G157" s="11"/>
      <c r="H157" s="20"/>
      <c r="J157" s="695"/>
      <c r="K157" s="696"/>
      <c r="L157" s="696"/>
      <c r="M157" s="696"/>
      <c r="N157" s="696"/>
      <c r="O157" s="696"/>
      <c r="P157" s="697"/>
    </row>
    <row r="158" spans="2:16" ht="15" x14ac:dyDescent="0.2">
      <c r="B158" s="704" t="s">
        <v>241</v>
      </c>
      <c r="C158" s="704"/>
      <c r="D158" s="704"/>
      <c r="E158" s="704"/>
      <c r="F158" s="704"/>
      <c r="G158" s="704"/>
      <c r="H158" s="21" t="str">
        <f>IF((+H155+H157)=0,"TRUE","FALSE")</f>
        <v>FALSE</v>
      </c>
      <c r="J158" s="695"/>
      <c r="K158" s="696"/>
      <c r="L158" s="696"/>
      <c r="M158" s="696"/>
      <c r="N158" s="696"/>
      <c r="O158" s="696"/>
      <c r="P158" s="697"/>
    </row>
    <row r="159" spans="2:16" x14ac:dyDescent="0.2">
      <c r="B159" s="675" t="s">
        <v>242</v>
      </c>
      <c r="C159" s="705" t="s">
        <v>492</v>
      </c>
      <c r="D159" s="706"/>
      <c r="E159" s="675" t="s">
        <v>243</v>
      </c>
      <c r="F159" s="671" t="s">
        <v>493</v>
      </c>
      <c r="G159" s="672"/>
      <c r="H159" s="673"/>
      <c r="J159" s="695"/>
      <c r="K159" s="696"/>
      <c r="L159" s="696"/>
      <c r="M159" s="696"/>
      <c r="N159" s="696"/>
      <c r="O159" s="696"/>
      <c r="P159" s="697"/>
    </row>
    <row r="160" spans="2:16" x14ac:dyDescent="0.2">
      <c r="B160" s="676"/>
      <c r="C160" s="707"/>
      <c r="D160" s="708"/>
      <c r="E160" s="676"/>
      <c r="F160" s="677"/>
      <c r="G160" s="678"/>
      <c r="H160" s="679"/>
      <c r="J160" s="698"/>
      <c r="K160" s="699"/>
      <c r="L160" s="699"/>
      <c r="M160" s="699"/>
      <c r="N160" s="699"/>
      <c r="O160" s="699"/>
      <c r="P160" s="700"/>
    </row>
    <row r="161" spans="2:16" x14ac:dyDescent="0.2">
      <c r="B161" s="682" t="s">
        <v>468</v>
      </c>
      <c r="C161" s="149"/>
      <c r="D161" s="147"/>
      <c r="E161" s="680" t="s">
        <v>469</v>
      </c>
      <c r="F161" s="671" t="s">
        <v>494</v>
      </c>
      <c r="G161" s="672"/>
      <c r="H161" s="673"/>
    </row>
    <row r="162" spans="2:16" ht="15" x14ac:dyDescent="0.25">
      <c r="B162" s="683"/>
      <c r="C162" s="150"/>
      <c r="D162" s="148"/>
      <c r="E162" s="681"/>
      <c r="F162" s="677"/>
      <c r="G162" s="678"/>
      <c r="H162" s="679"/>
    </row>
    <row r="164" spans="2:16" ht="15.75" x14ac:dyDescent="0.25">
      <c r="B164" s="112" t="str">
        <f>+C167</f>
        <v>ANTICIPO A PROVEEDORES</v>
      </c>
      <c r="C164" s="110"/>
      <c r="D164" s="110"/>
      <c r="E164" s="110"/>
      <c r="F164" s="111"/>
      <c r="G164" s="110"/>
      <c r="H164" s="111"/>
      <c r="I164" s="110"/>
      <c r="J164" s="110"/>
      <c r="K164" s="110"/>
      <c r="L164" s="110"/>
      <c r="M164" s="110"/>
      <c r="N164" s="110"/>
      <c r="O164" s="110"/>
      <c r="P164" s="110"/>
    </row>
    <row r="165" spans="2:16" x14ac:dyDescent="0.2">
      <c r="B165" s="684" t="s">
        <v>233</v>
      </c>
      <c r="C165" s="685"/>
      <c r="D165" s="686"/>
      <c r="E165" s="687" t="s">
        <v>234</v>
      </c>
      <c r="F165" s="688"/>
      <c r="G165" s="689"/>
      <c r="H165" s="23" t="s">
        <v>235</v>
      </c>
      <c r="J165" s="654" t="s">
        <v>246</v>
      </c>
      <c r="K165" s="655"/>
      <c r="L165" s="655"/>
      <c r="M165" s="655"/>
      <c r="N165" s="655"/>
      <c r="O165" s="655"/>
      <c r="P165" s="656"/>
    </row>
    <row r="166" spans="2:16" x14ac:dyDescent="0.2">
      <c r="B166" s="6" t="s">
        <v>230</v>
      </c>
      <c r="C166" s="657" t="str">
        <f>+'I. Balanza'!C90</f>
        <v xml:space="preserve">Total 1301 </v>
      </c>
      <c r="D166" s="658"/>
      <c r="E166" s="659" t="str">
        <f>+$G$1</f>
        <v>Diciembre 2024</v>
      </c>
      <c r="F166" s="660"/>
      <c r="G166" s="661"/>
      <c r="H166" s="663" t="s">
        <v>229</v>
      </c>
      <c r="J166" s="671"/>
      <c r="K166" s="672"/>
      <c r="L166" s="672"/>
      <c r="M166" s="672"/>
      <c r="N166" s="672"/>
      <c r="O166" s="672"/>
      <c r="P166" s="673"/>
    </row>
    <row r="167" spans="2:16" x14ac:dyDescent="0.2">
      <c r="B167" s="6" t="s">
        <v>231</v>
      </c>
      <c r="C167" s="657" t="str">
        <f>+'I. Balanza'!D90</f>
        <v>ANTICIPO A PROVEEDORES</v>
      </c>
      <c r="D167" s="658"/>
      <c r="E167" s="662"/>
      <c r="F167" s="660"/>
      <c r="G167" s="661"/>
      <c r="H167" s="663"/>
      <c r="J167" s="674"/>
      <c r="K167" s="657"/>
      <c r="L167" s="657"/>
      <c r="M167" s="657"/>
      <c r="N167" s="657"/>
      <c r="O167" s="657"/>
      <c r="P167" s="658"/>
    </row>
    <row r="168" spans="2:16" x14ac:dyDescent="0.2">
      <c r="B168" s="667" t="s">
        <v>232</v>
      </c>
      <c r="C168" s="667"/>
      <c r="D168" s="667"/>
      <c r="E168" s="667"/>
      <c r="F168" s="667"/>
      <c r="G168" s="667"/>
      <c r="H168" s="7">
        <f>+'I. Balanza'!E90</f>
        <v>377401.03</v>
      </c>
      <c r="J168" s="674"/>
      <c r="K168" s="657"/>
      <c r="L168" s="657"/>
      <c r="M168" s="657"/>
      <c r="N168" s="657"/>
      <c r="O168" s="657"/>
      <c r="P168" s="658"/>
    </row>
    <row r="169" spans="2:16" x14ac:dyDescent="0.2">
      <c r="B169" s="8"/>
      <c r="C169" s="9"/>
      <c r="D169" s="9"/>
      <c r="E169" s="9"/>
      <c r="F169" s="10"/>
      <c r="G169" s="11"/>
      <c r="H169" s="7">
        <v>128963.84</v>
      </c>
      <c r="J169" s="674"/>
      <c r="K169" s="657"/>
      <c r="L169" s="657"/>
      <c r="M169" s="657"/>
      <c r="N169" s="657"/>
      <c r="O169" s="657"/>
      <c r="P169" s="658"/>
    </row>
    <row r="170" spans="2:16" x14ac:dyDescent="0.2">
      <c r="B170" s="8"/>
      <c r="C170" s="9"/>
      <c r="D170" s="9"/>
      <c r="E170" s="9"/>
      <c r="F170" s="10"/>
      <c r="G170" s="12"/>
      <c r="H170" s="7"/>
      <c r="J170" s="674"/>
      <c r="K170" s="657"/>
      <c r="L170" s="657"/>
      <c r="M170" s="657"/>
      <c r="N170" s="657"/>
      <c r="O170" s="657"/>
      <c r="P170" s="658"/>
    </row>
    <row r="171" spans="2:16" x14ac:dyDescent="0.2">
      <c r="B171" s="668" t="s">
        <v>236</v>
      </c>
      <c r="C171" s="669"/>
      <c r="D171" s="669"/>
      <c r="E171" s="669"/>
      <c r="F171" s="669"/>
      <c r="G171" s="670"/>
      <c r="H171" s="13">
        <f>+H168+H169-H170</f>
        <v>506364.87</v>
      </c>
      <c r="J171" s="674"/>
      <c r="K171" s="657"/>
      <c r="L171" s="657"/>
      <c r="M171" s="657"/>
      <c r="N171" s="657"/>
      <c r="O171" s="657"/>
      <c r="P171" s="658"/>
    </row>
    <row r="172" spans="2:16" x14ac:dyDescent="0.2">
      <c r="B172" s="668" t="s">
        <v>237</v>
      </c>
      <c r="C172" s="669"/>
      <c r="D172" s="669"/>
      <c r="E172" s="669"/>
      <c r="F172" s="669"/>
      <c r="G172" s="670"/>
      <c r="H172" s="14">
        <f>+'I. Balanza'!Q90</f>
        <v>506364.87</v>
      </c>
      <c r="J172" s="654" t="s">
        <v>245</v>
      </c>
      <c r="K172" s="655"/>
      <c r="L172" s="655"/>
      <c r="M172" s="655"/>
      <c r="N172" s="655"/>
      <c r="O172" s="655"/>
      <c r="P172" s="656"/>
    </row>
    <row r="173" spans="2:16" x14ac:dyDescent="0.2">
      <c r="B173" s="668" t="s">
        <v>238</v>
      </c>
      <c r="C173" s="669"/>
      <c r="D173" s="669"/>
      <c r="E173" s="669"/>
      <c r="F173" s="669"/>
      <c r="G173" s="670"/>
      <c r="H173" s="13">
        <f>+H171-H172</f>
        <v>0</v>
      </c>
      <c r="J173" s="692" t="s">
        <v>499</v>
      </c>
      <c r="K173" s="693"/>
      <c r="L173" s="693"/>
      <c r="M173" s="693"/>
      <c r="N173" s="693"/>
      <c r="O173" s="693"/>
      <c r="P173" s="694"/>
    </row>
    <row r="174" spans="2:16" x14ac:dyDescent="0.2">
      <c r="B174" s="701" t="s">
        <v>239</v>
      </c>
      <c r="C174" s="702"/>
      <c r="D174" s="702"/>
      <c r="E174" s="702"/>
      <c r="F174" s="702"/>
      <c r="G174" s="703"/>
      <c r="H174" s="15"/>
      <c r="J174" s="695"/>
      <c r="K174" s="696"/>
      <c r="L174" s="696"/>
      <c r="M174" s="696"/>
      <c r="N174" s="696"/>
      <c r="O174" s="696"/>
      <c r="P174" s="697"/>
    </row>
    <row r="175" spans="2:16" x14ac:dyDescent="0.2">
      <c r="B175" s="16"/>
      <c r="G175" s="17" t="s">
        <v>240</v>
      </c>
      <c r="H175" s="7">
        <f>H173</f>
        <v>0</v>
      </c>
      <c r="J175" s="695"/>
      <c r="K175" s="696"/>
      <c r="L175" s="696"/>
      <c r="M175" s="696"/>
      <c r="N175" s="696"/>
      <c r="O175" s="696"/>
      <c r="P175" s="697"/>
    </row>
    <row r="176" spans="2:16" x14ac:dyDescent="0.2">
      <c r="B176" s="8"/>
      <c r="C176" s="9"/>
      <c r="D176" s="9"/>
      <c r="E176" s="9"/>
      <c r="F176" s="9"/>
      <c r="G176" s="12"/>
      <c r="H176" s="7"/>
      <c r="J176" s="695"/>
      <c r="K176" s="696"/>
      <c r="L176" s="696"/>
      <c r="M176" s="696"/>
      <c r="N176" s="696"/>
      <c r="O176" s="696"/>
      <c r="P176" s="697"/>
    </row>
    <row r="177" spans="2:16" x14ac:dyDescent="0.2">
      <c r="B177" s="18"/>
      <c r="C177" s="19"/>
      <c r="D177" s="19"/>
      <c r="E177" s="19"/>
      <c r="F177" s="19"/>
      <c r="G177" s="11"/>
      <c r="H177" s="20"/>
      <c r="J177" s="695"/>
      <c r="K177" s="696"/>
      <c r="L177" s="696"/>
      <c r="M177" s="696"/>
      <c r="N177" s="696"/>
      <c r="O177" s="696"/>
      <c r="P177" s="697"/>
    </row>
    <row r="178" spans="2:16" ht="15" x14ac:dyDescent="0.2">
      <c r="B178" s="704" t="s">
        <v>241</v>
      </c>
      <c r="C178" s="704"/>
      <c r="D178" s="704"/>
      <c r="E178" s="704"/>
      <c r="F178" s="704"/>
      <c r="G178" s="704"/>
      <c r="H178" s="21" t="str">
        <f>IF((+H175+H177)=0,"TRUE","FALSE")</f>
        <v>TRUE</v>
      </c>
      <c r="J178" s="695"/>
      <c r="K178" s="696"/>
      <c r="L178" s="696"/>
      <c r="M178" s="696"/>
      <c r="N178" s="696"/>
      <c r="O178" s="696"/>
      <c r="P178" s="697"/>
    </row>
    <row r="179" spans="2:16" x14ac:dyDescent="0.2">
      <c r="B179" s="675" t="s">
        <v>242</v>
      </c>
      <c r="C179" s="705" t="s">
        <v>498</v>
      </c>
      <c r="D179" s="706"/>
      <c r="E179" s="675" t="s">
        <v>243</v>
      </c>
      <c r="F179" s="671" t="s">
        <v>493</v>
      </c>
      <c r="G179" s="672"/>
      <c r="H179" s="673"/>
      <c r="J179" s="695"/>
      <c r="K179" s="696"/>
      <c r="L179" s="696"/>
      <c r="M179" s="696"/>
      <c r="N179" s="696"/>
      <c r="O179" s="696"/>
      <c r="P179" s="697"/>
    </row>
    <row r="180" spans="2:16" x14ac:dyDescent="0.2">
      <c r="B180" s="676"/>
      <c r="C180" s="707"/>
      <c r="D180" s="708"/>
      <c r="E180" s="676"/>
      <c r="F180" s="677"/>
      <c r="G180" s="678"/>
      <c r="H180" s="679"/>
      <c r="J180" s="698"/>
      <c r="K180" s="699"/>
      <c r="L180" s="699"/>
      <c r="M180" s="699"/>
      <c r="N180" s="699"/>
      <c r="O180" s="699"/>
      <c r="P180" s="700"/>
    </row>
    <row r="181" spans="2:16" x14ac:dyDescent="0.2">
      <c r="B181" s="682" t="s">
        <v>468</v>
      </c>
      <c r="C181" s="149"/>
      <c r="D181" s="147"/>
      <c r="E181" s="680" t="s">
        <v>469</v>
      </c>
      <c r="F181" s="671" t="s">
        <v>494</v>
      </c>
      <c r="G181" s="672"/>
      <c r="H181" s="673"/>
    </row>
    <row r="182" spans="2:16" ht="15" x14ac:dyDescent="0.25">
      <c r="B182" s="683"/>
      <c r="C182" s="150"/>
      <c r="D182" s="148"/>
      <c r="E182" s="681"/>
      <c r="F182" s="677"/>
      <c r="G182" s="678"/>
      <c r="H182" s="679"/>
    </row>
    <row r="185" spans="2:16" ht="15.75" x14ac:dyDescent="0.25">
      <c r="B185" s="112" t="str">
        <f>+C188</f>
        <v>PAGOS ANTICIPADOS</v>
      </c>
      <c r="C185" s="110"/>
      <c r="D185" s="110"/>
      <c r="E185" s="110"/>
      <c r="F185" s="111"/>
      <c r="G185" s="110"/>
      <c r="H185" s="111"/>
      <c r="I185" s="110"/>
      <c r="J185" s="110"/>
      <c r="K185" s="110"/>
      <c r="L185" s="110"/>
      <c r="M185" s="110"/>
      <c r="N185" s="110"/>
      <c r="O185" s="110"/>
      <c r="P185" s="110"/>
    </row>
    <row r="186" spans="2:16" x14ac:dyDescent="0.2">
      <c r="B186" s="684" t="s">
        <v>233</v>
      </c>
      <c r="C186" s="685"/>
      <c r="D186" s="686"/>
      <c r="E186" s="687" t="s">
        <v>234</v>
      </c>
      <c r="F186" s="688"/>
      <c r="G186" s="689"/>
      <c r="H186" s="23" t="s">
        <v>235</v>
      </c>
      <c r="J186" s="654" t="s">
        <v>246</v>
      </c>
      <c r="K186" s="655"/>
      <c r="L186" s="655"/>
      <c r="M186" s="655"/>
      <c r="N186" s="655"/>
      <c r="O186" s="655"/>
      <c r="P186" s="656"/>
    </row>
    <row r="187" spans="2:16" x14ac:dyDescent="0.2">
      <c r="B187" s="6" t="s">
        <v>230</v>
      </c>
      <c r="C187" s="657" t="str">
        <f>'I. Balanza'!B95</f>
        <v xml:space="preserve">1303 </v>
      </c>
      <c r="D187" s="658"/>
      <c r="E187" s="659" t="str">
        <f>+$G$1</f>
        <v>Diciembre 2024</v>
      </c>
      <c r="F187" s="660"/>
      <c r="G187" s="661"/>
      <c r="H187" s="663" t="s">
        <v>229</v>
      </c>
      <c r="J187" s="671"/>
      <c r="K187" s="672"/>
      <c r="L187" s="672"/>
      <c r="M187" s="672"/>
      <c r="N187" s="672"/>
      <c r="O187" s="672"/>
      <c r="P187" s="673"/>
    </row>
    <row r="188" spans="2:16" x14ac:dyDescent="0.2">
      <c r="B188" s="6" t="s">
        <v>231</v>
      </c>
      <c r="C188" s="657" t="str">
        <f>+'I. Balanza'!D95</f>
        <v>PAGOS ANTICIPADOS</v>
      </c>
      <c r="D188" s="658"/>
      <c r="E188" s="662"/>
      <c r="F188" s="660"/>
      <c r="G188" s="661"/>
      <c r="H188" s="663"/>
      <c r="J188" s="674"/>
      <c r="K188" s="657"/>
      <c r="L188" s="657"/>
      <c r="M188" s="657"/>
      <c r="N188" s="657"/>
      <c r="O188" s="657"/>
      <c r="P188" s="658"/>
    </row>
    <row r="189" spans="2:16" x14ac:dyDescent="0.2">
      <c r="B189" s="667" t="s">
        <v>232</v>
      </c>
      <c r="C189" s="667"/>
      <c r="D189" s="667"/>
      <c r="E189" s="667"/>
      <c r="F189" s="667"/>
      <c r="G189" s="667"/>
      <c r="H189" s="7">
        <f>+'I. Balanza'!P95</f>
        <v>486508.03</v>
      </c>
      <c r="J189" s="674"/>
      <c r="K189" s="657"/>
      <c r="L189" s="657"/>
      <c r="M189" s="657"/>
      <c r="N189" s="657"/>
      <c r="O189" s="657"/>
      <c r="P189" s="658"/>
    </row>
    <row r="190" spans="2:16" x14ac:dyDescent="0.2">
      <c r="B190" s="8" t="s">
        <v>500</v>
      </c>
      <c r="C190" s="9"/>
      <c r="D190" s="9"/>
      <c r="E190" s="9"/>
      <c r="F190" s="10"/>
      <c r="G190" s="11"/>
      <c r="H190" s="7"/>
      <c r="J190" s="674"/>
      <c r="K190" s="657"/>
      <c r="L190" s="657"/>
      <c r="M190" s="657"/>
      <c r="N190" s="657"/>
      <c r="O190" s="657"/>
      <c r="P190" s="658"/>
    </row>
    <row r="191" spans="2:16" x14ac:dyDescent="0.2">
      <c r="B191" s="8" t="s">
        <v>501</v>
      </c>
      <c r="C191" s="9"/>
      <c r="D191" s="9"/>
      <c r="E191" s="9"/>
      <c r="F191" s="10"/>
      <c r="G191" s="12"/>
      <c r="H191" s="7">
        <v>141309.88</v>
      </c>
      <c r="J191" s="674"/>
      <c r="K191" s="657"/>
      <c r="L191" s="657"/>
      <c r="M191" s="657"/>
      <c r="N191" s="657"/>
      <c r="O191" s="657"/>
      <c r="P191" s="658"/>
    </row>
    <row r="192" spans="2:16" x14ac:dyDescent="0.2">
      <c r="B192" s="668" t="s">
        <v>236</v>
      </c>
      <c r="C192" s="669"/>
      <c r="D192" s="669"/>
      <c r="E192" s="669"/>
      <c r="F192" s="669"/>
      <c r="G192" s="670"/>
      <c r="H192" s="13">
        <f>+H189+H190-H191</f>
        <v>345198.15</v>
      </c>
      <c r="J192" s="674"/>
      <c r="K192" s="657"/>
      <c r="L192" s="657"/>
      <c r="M192" s="657"/>
      <c r="N192" s="657"/>
      <c r="O192" s="657"/>
      <c r="P192" s="658"/>
    </row>
    <row r="193" spans="2:16" x14ac:dyDescent="0.2">
      <c r="B193" s="668" t="s">
        <v>237</v>
      </c>
      <c r="C193" s="669"/>
      <c r="D193" s="669"/>
      <c r="E193" s="669"/>
      <c r="F193" s="669"/>
      <c r="G193" s="670"/>
      <c r="H193" s="14">
        <f>+'I. Balanza'!Q95</f>
        <v>345198.15</v>
      </c>
      <c r="J193" s="654" t="s">
        <v>245</v>
      </c>
      <c r="K193" s="655"/>
      <c r="L193" s="655"/>
      <c r="M193" s="655"/>
      <c r="N193" s="655"/>
      <c r="O193" s="655"/>
      <c r="P193" s="656"/>
    </row>
    <row r="194" spans="2:16" x14ac:dyDescent="0.2">
      <c r="B194" s="668" t="s">
        <v>238</v>
      </c>
      <c r="C194" s="669"/>
      <c r="D194" s="669"/>
      <c r="E194" s="669"/>
      <c r="F194" s="669"/>
      <c r="G194" s="670"/>
      <c r="H194" s="13">
        <f>+H192-H193</f>
        <v>0</v>
      </c>
      <c r="J194" s="692" t="s">
        <v>502</v>
      </c>
      <c r="K194" s="693"/>
      <c r="L194" s="693"/>
      <c r="M194" s="693"/>
      <c r="N194" s="693"/>
      <c r="O194" s="693"/>
      <c r="P194" s="694"/>
    </row>
    <row r="195" spans="2:16" x14ac:dyDescent="0.2">
      <c r="B195" s="701" t="s">
        <v>239</v>
      </c>
      <c r="C195" s="702"/>
      <c r="D195" s="702"/>
      <c r="E195" s="702"/>
      <c r="F195" s="702"/>
      <c r="G195" s="703"/>
      <c r="H195" s="15"/>
      <c r="J195" s="695"/>
      <c r="K195" s="696"/>
      <c r="L195" s="696"/>
      <c r="M195" s="696"/>
      <c r="N195" s="696"/>
      <c r="O195" s="696"/>
      <c r="P195" s="697"/>
    </row>
    <row r="196" spans="2:16" x14ac:dyDescent="0.2">
      <c r="B196" s="16"/>
      <c r="G196" s="17" t="s">
        <v>240</v>
      </c>
      <c r="H196" s="7">
        <f>H194</f>
        <v>0</v>
      </c>
      <c r="J196" s="695"/>
      <c r="K196" s="696"/>
      <c r="L196" s="696"/>
      <c r="M196" s="696"/>
      <c r="N196" s="696"/>
      <c r="O196" s="696"/>
      <c r="P196" s="697"/>
    </row>
    <row r="197" spans="2:16" x14ac:dyDescent="0.2">
      <c r="B197" s="8"/>
      <c r="C197" s="9"/>
      <c r="D197" s="9"/>
      <c r="E197" s="9"/>
      <c r="F197" s="9"/>
      <c r="G197" s="12"/>
      <c r="H197" s="7"/>
      <c r="J197" s="695"/>
      <c r="K197" s="696"/>
      <c r="L197" s="696"/>
      <c r="M197" s="696"/>
      <c r="N197" s="696"/>
      <c r="O197" s="696"/>
      <c r="P197" s="697"/>
    </row>
    <row r="198" spans="2:16" x14ac:dyDescent="0.2">
      <c r="B198" s="18"/>
      <c r="C198" s="19"/>
      <c r="D198" s="19"/>
      <c r="E198" s="19"/>
      <c r="F198" s="19"/>
      <c r="G198" s="11"/>
      <c r="H198" s="20"/>
      <c r="J198" s="695"/>
      <c r="K198" s="696"/>
      <c r="L198" s="696"/>
      <c r="M198" s="696"/>
      <c r="N198" s="696"/>
      <c r="O198" s="696"/>
      <c r="P198" s="697"/>
    </row>
    <row r="199" spans="2:16" ht="15" x14ac:dyDescent="0.2">
      <c r="B199" s="704" t="s">
        <v>241</v>
      </c>
      <c r="C199" s="704"/>
      <c r="D199" s="704"/>
      <c r="E199" s="704"/>
      <c r="F199" s="704"/>
      <c r="G199" s="704"/>
      <c r="H199" s="21" t="str">
        <f>IF((+H196+H198)=0,"TRUE","FALSE")</f>
        <v>TRUE</v>
      </c>
      <c r="J199" s="695"/>
      <c r="K199" s="696"/>
      <c r="L199" s="696"/>
      <c r="M199" s="696"/>
      <c r="N199" s="696"/>
      <c r="O199" s="696"/>
      <c r="P199" s="697"/>
    </row>
    <row r="200" spans="2:16" x14ac:dyDescent="0.2">
      <c r="B200" s="675" t="s">
        <v>242</v>
      </c>
      <c r="C200" s="705" t="s">
        <v>504</v>
      </c>
      <c r="D200" s="706"/>
      <c r="E200" s="675" t="s">
        <v>243</v>
      </c>
      <c r="F200" s="671" t="s">
        <v>477</v>
      </c>
      <c r="G200" s="672"/>
      <c r="H200" s="673"/>
      <c r="J200" s="695"/>
      <c r="K200" s="696"/>
      <c r="L200" s="696"/>
      <c r="M200" s="696"/>
      <c r="N200" s="696"/>
      <c r="O200" s="696"/>
      <c r="P200" s="697"/>
    </row>
    <row r="201" spans="2:16" x14ac:dyDescent="0.2">
      <c r="B201" s="676"/>
      <c r="C201" s="707"/>
      <c r="D201" s="708"/>
      <c r="E201" s="676"/>
      <c r="F201" s="677"/>
      <c r="G201" s="678"/>
      <c r="H201" s="679"/>
      <c r="J201" s="698"/>
      <c r="K201" s="699"/>
      <c r="L201" s="699"/>
      <c r="M201" s="699"/>
      <c r="N201" s="699"/>
      <c r="O201" s="699"/>
      <c r="P201" s="700"/>
    </row>
    <row r="202" spans="2:16" x14ac:dyDescent="0.2">
      <c r="B202" s="682" t="s">
        <v>468</v>
      </c>
      <c r="C202" s="149"/>
      <c r="D202" s="147"/>
      <c r="E202" s="680" t="s">
        <v>469</v>
      </c>
      <c r="F202" s="671" t="s">
        <v>494</v>
      </c>
      <c r="G202" s="672"/>
      <c r="H202" s="673"/>
    </row>
    <row r="203" spans="2:16" ht="15" x14ac:dyDescent="0.25">
      <c r="B203" s="683"/>
      <c r="C203" s="150"/>
      <c r="D203" s="148"/>
      <c r="E203" s="681"/>
      <c r="F203" s="677"/>
      <c r="G203" s="678"/>
      <c r="H203" s="679"/>
    </row>
    <row r="205" spans="2:16" ht="15.75" x14ac:dyDescent="0.25">
      <c r="B205" s="112" t="str">
        <f>+C208</f>
        <v>DEPOSITOS EN GARANTIA</v>
      </c>
      <c r="C205" s="110"/>
      <c r="D205" s="110"/>
      <c r="E205" s="110"/>
      <c r="F205" s="111"/>
      <c r="G205" s="110"/>
      <c r="H205" s="111"/>
      <c r="I205" s="110"/>
      <c r="J205" s="110"/>
      <c r="K205" s="110"/>
      <c r="L205" s="110"/>
      <c r="M205" s="110"/>
      <c r="N205" s="110"/>
      <c r="O205" s="110"/>
      <c r="P205" s="110"/>
    </row>
    <row r="206" spans="2:16" x14ac:dyDescent="0.2">
      <c r="B206" s="684" t="s">
        <v>233</v>
      </c>
      <c r="C206" s="685"/>
      <c r="D206" s="686"/>
      <c r="E206" s="687" t="s">
        <v>234</v>
      </c>
      <c r="F206" s="688"/>
      <c r="G206" s="689"/>
      <c r="H206" s="23" t="s">
        <v>235</v>
      </c>
      <c r="J206" s="654" t="s">
        <v>246</v>
      </c>
      <c r="K206" s="655"/>
      <c r="L206" s="655"/>
      <c r="M206" s="655"/>
      <c r="N206" s="655"/>
      <c r="O206" s="655"/>
      <c r="P206" s="656"/>
    </row>
    <row r="207" spans="2:16" x14ac:dyDescent="0.2">
      <c r="B207" s="6" t="s">
        <v>230</v>
      </c>
      <c r="C207" s="657" t="str">
        <f>'I. Balanza'!B100</f>
        <v xml:space="preserve">1304 </v>
      </c>
      <c r="D207" s="658"/>
      <c r="E207" s="659" t="str">
        <f>+$G$1</f>
        <v>Diciembre 2024</v>
      </c>
      <c r="F207" s="660"/>
      <c r="G207" s="661"/>
      <c r="H207" s="663" t="s">
        <v>229</v>
      </c>
      <c r="J207" s="664" t="s">
        <v>505</v>
      </c>
      <c r="K207" s="665"/>
      <c r="L207" s="665"/>
      <c r="M207" s="665"/>
      <c r="N207" s="665"/>
      <c r="O207" s="665"/>
      <c r="P207" s="666"/>
    </row>
    <row r="208" spans="2:16" x14ac:dyDescent="0.2">
      <c r="B208" s="6" t="s">
        <v>231</v>
      </c>
      <c r="C208" s="657" t="str">
        <f>'I. Balanza'!D100</f>
        <v>DEPOSITOS EN GARANTIA</v>
      </c>
      <c r="D208" s="658"/>
      <c r="E208" s="662"/>
      <c r="F208" s="660"/>
      <c r="G208" s="661"/>
      <c r="H208" s="663"/>
      <c r="J208" s="662"/>
      <c r="K208" s="660"/>
      <c r="L208" s="660"/>
      <c r="M208" s="660"/>
      <c r="N208" s="660"/>
      <c r="O208" s="660"/>
      <c r="P208" s="661"/>
    </row>
    <row r="209" spans="2:16" x14ac:dyDescent="0.2">
      <c r="B209" s="667" t="s">
        <v>232</v>
      </c>
      <c r="C209" s="667"/>
      <c r="D209" s="667"/>
      <c r="E209" s="667"/>
      <c r="F209" s="667"/>
      <c r="G209" s="667"/>
      <c r="H209" s="7">
        <f>+'I. Balanza'!P100</f>
        <v>627130.54000000015</v>
      </c>
      <c r="J209" s="662"/>
      <c r="K209" s="660"/>
      <c r="L209" s="660"/>
      <c r="M209" s="660"/>
      <c r="N209" s="660"/>
      <c r="O209" s="660"/>
      <c r="P209" s="661"/>
    </row>
    <row r="210" spans="2:16" x14ac:dyDescent="0.2">
      <c r="B210" s="8"/>
      <c r="C210" s="9"/>
      <c r="D210" s="9"/>
      <c r="E210" s="9"/>
      <c r="F210" s="10"/>
      <c r="G210" s="11"/>
      <c r="H210" s="7"/>
      <c r="J210" s="662"/>
      <c r="K210" s="660"/>
      <c r="L210" s="660"/>
      <c r="M210" s="660"/>
      <c r="N210" s="660"/>
      <c r="O210" s="660"/>
      <c r="P210" s="661"/>
    </row>
    <row r="211" spans="2:16" x14ac:dyDescent="0.2">
      <c r="B211" s="8"/>
      <c r="C211" s="9"/>
      <c r="D211" s="9"/>
      <c r="E211" s="9"/>
      <c r="F211" s="10"/>
      <c r="G211" s="12"/>
      <c r="H211" s="7">
        <v>52946.58</v>
      </c>
      <c r="J211" s="662"/>
      <c r="K211" s="660"/>
      <c r="L211" s="660"/>
      <c r="M211" s="660"/>
      <c r="N211" s="660"/>
      <c r="O211" s="660"/>
      <c r="P211" s="661"/>
    </row>
    <row r="212" spans="2:16" x14ac:dyDescent="0.2">
      <c r="B212" s="668" t="s">
        <v>236</v>
      </c>
      <c r="C212" s="669"/>
      <c r="D212" s="669"/>
      <c r="E212" s="669"/>
      <c r="F212" s="669"/>
      <c r="G212" s="670"/>
      <c r="H212" s="13">
        <f>+H209+H210-H211</f>
        <v>574183.9600000002</v>
      </c>
      <c r="J212" s="662"/>
      <c r="K212" s="660"/>
      <c r="L212" s="660"/>
      <c r="M212" s="660"/>
      <c r="N212" s="660"/>
      <c r="O212" s="660"/>
      <c r="P212" s="661"/>
    </row>
    <row r="213" spans="2:16" x14ac:dyDescent="0.2">
      <c r="B213" s="668" t="s">
        <v>237</v>
      </c>
      <c r="C213" s="669"/>
      <c r="D213" s="669"/>
      <c r="E213" s="669"/>
      <c r="F213" s="669"/>
      <c r="G213" s="670"/>
      <c r="H213" s="14">
        <f>+'I. Balanza'!Q100</f>
        <v>574183.95999999985</v>
      </c>
      <c r="J213" s="654" t="s">
        <v>245</v>
      </c>
      <c r="K213" s="655"/>
      <c r="L213" s="655"/>
      <c r="M213" s="655"/>
      <c r="N213" s="655"/>
      <c r="O213" s="655"/>
      <c r="P213" s="656"/>
    </row>
    <row r="214" spans="2:16" x14ac:dyDescent="0.2">
      <c r="B214" s="668" t="s">
        <v>238</v>
      </c>
      <c r="C214" s="669"/>
      <c r="D214" s="669"/>
      <c r="E214" s="669"/>
      <c r="F214" s="669"/>
      <c r="G214" s="670"/>
      <c r="H214" s="13">
        <f>+H212-H213</f>
        <v>0</v>
      </c>
      <c r="J214" s="692" t="s">
        <v>657</v>
      </c>
      <c r="K214" s="693"/>
      <c r="L214" s="693"/>
      <c r="M214" s="693"/>
      <c r="N214" s="693"/>
      <c r="O214" s="693"/>
      <c r="P214" s="694"/>
    </row>
    <row r="215" spans="2:16" x14ac:dyDescent="0.2">
      <c r="B215" s="701" t="s">
        <v>239</v>
      </c>
      <c r="C215" s="702"/>
      <c r="D215" s="702"/>
      <c r="E215" s="702"/>
      <c r="F215" s="702"/>
      <c r="G215" s="703"/>
      <c r="H215" s="15"/>
      <c r="J215" s="695"/>
      <c r="K215" s="696"/>
      <c r="L215" s="696"/>
      <c r="M215" s="696"/>
      <c r="N215" s="696"/>
      <c r="O215" s="696"/>
      <c r="P215" s="697"/>
    </row>
    <row r="216" spans="2:16" x14ac:dyDescent="0.2">
      <c r="B216" s="16"/>
      <c r="G216" s="17" t="s">
        <v>240</v>
      </c>
      <c r="H216" s="7">
        <f>H214</f>
        <v>0</v>
      </c>
      <c r="J216" s="695"/>
      <c r="K216" s="696"/>
      <c r="L216" s="696"/>
      <c r="M216" s="696"/>
      <c r="N216" s="696"/>
      <c r="O216" s="696"/>
      <c r="P216" s="697"/>
    </row>
    <row r="217" spans="2:16" x14ac:dyDescent="0.2">
      <c r="B217" s="8"/>
      <c r="C217" s="9"/>
      <c r="D217" s="9"/>
      <c r="E217" s="9"/>
      <c r="F217" s="9"/>
      <c r="G217" s="12"/>
      <c r="H217" s="7"/>
      <c r="J217" s="695"/>
      <c r="K217" s="696"/>
      <c r="L217" s="696"/>
      <c r="M217" s="696"/>
      <c r="N217" s="696"/>
      <c r="O217" s="696"/>
      <c r="P217" s="697"/>
    </row>
    <row r="218" spans="2:16" x14ac:dyDescent="0.2">
      <c r="B218" s="18"/>
      <c r="C218" s="19"/>
      <c r="D218" s="19"/>
      <c r="E218" s="19"/>
      <c r="F218" s="19"/>
      <c r="G218" s="11"/>
      <c r="H218" s="20"/>
      <c r="J218" s="695"/>
      <c r="K218" s="696"/>
      <c r="L218" s="696"/>
      <c r="M218" s="696"/>
      <c r="N218" s="696"/>
      <c r="O218" s="696"/>
      <c r="P218" s="697"/>
    </row>
    <row r="219" spans="2:16" ht="15" x14ac:dyDescent="0.2">
      <c r="B219" s="704" t="s">
        <v>241</v>
      </c>
      <c r="C219" s="704"/>
      <c r="D219" s="704"/>
      <c r="E219" s="704"/>
      <c r="F219" s="704"/>
      <c r="G219" s="704"/>
      <c r="H219" s="21" t="str">
        <f>IF((+H216+H218)=0,"TRUE","FALSE")</f>
        <v>TRUE</v>
      </c>
      <c r="J219" s="695"/>
      <c r="K219" s="696"/>
      <c r="L219" s="696"/>
      <c r="M219" s="696"/>
      <c r="N219" s="696"/>
      <c r="O219" s="696"/>
      <c r="P219" s="697"/>
    </row>
    <row r="220" spans="2:16" x14ac:dyDescent="0.2">
      <c r="B220" s="675" t="s">
        <v>242</v>
      </c>
      <c r="C220" s="705"/>
      <c r="D220" s="706"/>
      <c r="E220" s="675" t="s">
        <v>243</v>
      </c>
      <c r="F220" s="671" t="s">
        <v>477</v>
      </c>
      <c r="G220" s="672"/>
      <c r="H220" s="673"/>
      <c r="J220" s="695"/>
      <c r="K220" s="696"/>
      <c r="L220" s="696"/>
      <c r="M220" s="696"/>
      <c r="N220" s="696"/>
      <c r="O220" s="696"/>
      <c r="P220" s="697"/>
    </row>
    <row r="221" spans="2:16" x14ac:dyDescent="0.2">
      <c r="B221" s="676"/>
      <c r="C221" s="707"/>
      <c r="D221" s="708"/>
      <c r="E221" s="676"/>
      <c r="F221" s="677"/>
      <c r="G221" s="678"/>
      <c r="H221" s="679"/>
      <c r="J221" s="698"/>
      <c r="K221" s="699"/>
      <c r="L221" s="699"/>
      <c r="M221" s="699"/>
      <c r="N221" s="699"/>
      <c r="O221" s="699"/>
      <c r="P221" s="700"/>
    </row>
    <row r="222" spans="2:16" x14ac:dyDescent="0.2">
      <c r="B222" s="682" t="s">
        <v>468</v>
      </c>
      <c r="C222" s="149"/>
      <c r="D222" s="147"/>
      <c r="E222" s="680" t="s">
        <v>469</v>
      </c>
      <c r="F222" s="671" t="s">
        <v>494</v>
      </c>
      <c r="G222" s="672"/>
      <c r="H222" s="673"/>
    </row>
    <row r="223" spans="2:16" ht="15" x14ac:dyDescent="0.25">
      <c r="B223" s="683"/>
      <c r="C223" s="150"/>
      <c r="D223" s="148"/>
      <c r="E223" s="681"/>
      <c r="F223" s="677"/>
      <c r="G223" s="678"/>
      <c r="H223" s="679"/>
    </row>
    <row r="225" spans="2:16" ht="15.75" x14ac:dyDescent="0.25">
      <c r="B225" s="112" t="str">
        <f>+C228</f>
        <v>IVA POR RECUPERAR</v>
      </c>
      <c r="C225" s="110"/>
      <c r="D225" s="110"/>
      <c r="E225" s="110"/>
      <c r="F225" s="111"/>
      <c r="G225" s="110"/>
      <c r="H225" s="111"/>
      <c r="I225" s="110"/>
      <c r="J225" s="110"/>
      <c r="K225" s="110"/>
      <c r="L225" s="110"/>
      <c r="M225" s="110"/>
      <c r="N225" s="110"/>
      <c r="O225" s="110"/>
      <c r="P225" s="110"/>
    </row>
    <row r="226" spans="2:16" x14ac:dyDescent="0.2">
      <c r="B226" s="684" t="s">
        <v>233</v>
      </c>
      <c r="C226" s="685"/>
      <c r="D226" s="686"/>
      <c r="E226" s="687" t="s">
        <v>234</v>
      </c>
      <c r="F226" s="688"/>
      <c r="G226" s="689"/>
      <c r="H226" s="23" t="s">
        <v>235</v>
      </c>
      <c r="J226" s="654" t="s">
        <v>246</v>
      </c>
      <c r="K226" s="655"/>
      <c r="L226" s="655"/>
      <c r="M226" s="655"/>
      <c r="N226" s="655"/>
      <c r="O226" s="655"/>
      <c r="P226" s="656"/>
    </row>
    <row r="227" spans="2:16" x14ac:dyDescent="0.2">
      <c r="B227" s="6" t="s">
        <v>230</v>
      </c>
      <c r="C227" s="657">
        <f>+'I. Balanza'!C112</f>
        <v>11200002</v>
      </c>
      <c r="D227" s="658"/>
      <c r="E227" s="659" t="str">
        <f>+$G$1</f>
        <v>Diciembre 2024</v>
      </c>
      <c r="F227" s="660"/>
      <c r="G227" s="661"/>
      <c r="H227" s="663" t="s">
        <v>229</v>
      </c>
      <c r="J227" s="671"/>
      <c r="K227" s="672"/>
      <c r="L227" s="672"/>
      <c r="M227" s="672"/>
      <c r="N227" s="672"/>
      <c r="O227" s="672"/>
      <c r="P227" s="673"/>
    </row>
    <row r="228" spans="2:16" x14ac:dyDescent="0.2">
      <c r="B228" s="6" t="s">
        <v>231</v>
      </c>
      <c r="C228" s="657" t="str">
        <f>+'I. Balanza'!D112</f>
        <v>IVA POR RECUPERAR</v>
      </c>
      <c r="D228" s="658"/>
      <c r="E228" s="662"/>
      <c r="F228" s="660"/>
      <c r="G228" s="661"/>
      <c r="H228" s="663"/>
      <c r="J228" s="674"/>
      <c r="K228" s="657"/>
      <c r="L228" s="657"/>
      <c r="M228" s="657"/>
      <c r="N228" s="657"/>
      <c r="O228" s="657"/>
      <c r="P228" s="658"/>
    </row>
    <row r="229" spans="2:16" x14ac:dyDescent="0.2">
      <c r="B229" s="667" t="s">
        <v>232</v>
      </c>
      <c r="C229" s="667"/>
      <c r="D229" s="667"/>
      <c r="E229" s="667"/>
      <c r="F229" s="667"/>
      <c r="G229" s="667"/>
      <c r="H229" s="7">
        <f>'I. Balanza'!P114</f>
        <v>97599.33</v>
      </c>
      <c r="J229" s="674"/>
      <c r="K229" s="657"/>
      <c r="L229" s="657"/>
      <c r="M229" s="657"/>
      <c r="N229" s="657"/>
      <c r="O229" s="657"/>
      <c r="P229" s="658"/>
    </row>
    <row r="230" spans="2:16" x14ac:dyDescent="0.2">
      <c r="B230" s="8"/>
      <c r="C230" s="9"/>
      <c r="D230" s="9"/>
      <c r="E230" s="9"/>
      <c r="F230" s="10"/>
      <c r="G230" s="11"/>
      <c r="H230" s="7">
        <v>97599.33</v>
      </c>
      <c r="J230" s="674"/>
      <c r="K230" s="657"/>
      <c r="L230" s="657"/>
      <c r="M230" s="657"/>
      <c r="N230" s="657"/>
      <c r="O230" s="657"/>
      <c r="P230" s="658"/>
    </row>
    <row r="231" spans="2:16" x14ac:dyDescent="0.2">
      <c r="B231" s="8"/>
      <c r="C231" s="9"/>
      <c r="D231" s="9"/>
      <c r="E231" s="9"/>
      <c r="F231" s="10"/>
      <c r="G231" s="12"/>
      <c r="H231" s="7">
        <v>0</v>
      </c>
      <c r="J231" s="674"/>
      <c r="K231" s="657"/>
      <c r="L231" s="657"/>
      <c r="M231" s="657"/>
      <c r="N231" s="657"/>
      <c r="O231" s="657"/>
      <c r="P231" s="658"/>
    </row>
    <row r="232" spans="2:16" x14ac:dyDescent="0.2">
      <c r="B232" s="668" t="s">
        <v>236</v>
      </c>
      <c r="C232" s="669"/>
      <c r="D232" s="669"/>
      <c r="E232" s="669"/>
      <c r="F232" s="669"/>
      <c r="G232" s="670"/>
      <c r="H232" s="13">
        <f>H229+H231-H230</f>
        <v>0</v>
      </c>
      <c r="J232" s="674"/>
      <c r="K232" s="657"/>
      <c r="L232" s="657"/>
      <c r="M232" s="657"/>
      <c r="N232" s="657"/>
      <c r="O232" s="657"/>
      <c r="P232" s="658"/>
    </row>
    <row r="233" spans="2:16" x14ac:dyDescent="0.2">
      <c r="B233" s="668" t="s">
        <v>237</v>
      </c>
      <c r="C233" s="669"/>
      <c r="D233" s="669"/>
      <c r="E233" s="669"/>
      <c r="F233" s="669"/>
      <c r="G233" s="670"/>
      <c r="H233" s="14">
        <f>'I. Balanza'!Q114</f>
        <v>0</v>
      </c>
      <c r="J233" s="654" t="s">
        <v>245</v>
      </c>
      <c r="K233" s="655"/>
      <c r="L233" s="655"/>
      <c r="M233" s="655"/>
      <c r="N233" s="655"/>
      <c r="O233" s="655"/>
      <c r="P233" s="656"/>
    </row>
    <row r="234" spans="2:16" x14ac:dyDescent="0.2">
      <c r="B234" s="668" t="s">
        <v>238</v>
      </c>
      <c r="C234" s="669"/>
      <c r="D234" s="669"/>
      <c r="E234" s="669"/>
      <c r="F234" s="669"/>
      <c r="G234" s="670"/>
      <c r="H234" s="13">
        <f>+H232-H233</f>
        <v>0</v>
      </c>
      <c r="J234" s="692" t="s">
        <v>506</v>
      </c>
      <c r="K234" s="693"/>
      <c r="L234" s="693"/>
      <c r="M234" s="693"/>
      <c r="N234" s="693"/>
      <c r="O234" s="693"/>
      <c r="P234" s="694"/>
    </row>
    <row r="235" spans="2:16" x14ac:dyDescent="0.2">
      <c r="B235" s="701" t="s">
        <v>239</v>
      </c>
      <c r="C235" s="702"/>
      <c r="D235" s="702"/>
      <c r="E235" s="702"/>
      <c r="F235" s="702"/>
      <c r="G235" s="703"/>
      <c r="H235" s="15"/>
      <c r="J235" s="695"/>
      <c r="K235" s="696"/>
      <c r="L235" s="696"/>
      <c r="M235" s="696"/>
      <c r="N235" s="696"/>
      <c r="O235" s="696"/>
      <c r="P235" s="697"/>
    </row>
    <row r="236" spans="2:16" x14ac:dyDescent="0.2">
      <c r="B236" s="16"/>
      <c r="G236" s="17" t="s">
        <v>240</v>
      </c>
      <c r="H236" s="7">
        <f>H234</f>
        <v>0</v>
      </c>
      <c r="J236" s="695"/>
      <c r="K236" s="696"/>
      <c r="L236" s="696"/>
      <c r="M236" s="696"/>
      <c r="N236" s="696"/>
      <c r="O236" s="696"/>
      <c r="P236" s="697"/>
    </row>
    <row r="237" spans="2:16" x14ac:dyDescent="0.2">
      <c r="B237" s="8"/>
      <c r="C237" s="9"/>
      <c r="D237" s="9"/>
      <c r="E237" s="9"/>
      <c r="F237" s="9"/>
      <c r="G237" s="12"/>
      <c r="H237" s="7"/>
      <c r="J237" s="695"/>
      <c r="K237" s="696"/>
      <c r="L237" s="696"/>
      <c r="M237" s="696"/>
      <c r="N237" s="696"/>
      <c r="O237" s="696"/>
      <c r="P237" s="697"/>
    </row>
    <row r="238" spans="2:16" x14ac:dyDescent="0.2">
      <c r="B238" s="18"/>
      <c r="C238" s="19"/>
      <c r="D238" s="19"/>
      <c r="E238" s="19"/>
      <c r="F238" s="19"/>
      <c r="G238" s="11"/>
      <c r="H238" s="20"/>
      <c r="J238" s="695"/>
      <c r="K238" s="696"/>
      <c r="L238" s="696"/>
      <c r="M238" s="696"/>
      <c r="N238" s="696"/>
      <c r="O238" s="696"/>
      <c r="P238" s="697"/>
    </row>
    <row r="239" spans="2:16" ht="15" x14ac:dyDescent="0.2">
      <c r="B239" s="704" t="s">
        <v>241</v>
      </c>
      <c r="C239" s="704"/>
      <c r="D239" s="704"/>
      <c r="E239" s="704"/>
      <c r="F239" s="704"/>
      <c r="G239" s="704"/>
      <c r="H239" s="21" t="str">
        <f>IF((+H236+H238)=0,"TRUE","FALSE")</f>
        <v>TRUE</v>
      </c>
      <c r="J239" s="695"/>
      <c r="K239" s="696"/>
      <c r="L239" s="696"/>
      <c r="M239" s="696"/>
      <c r="N239" s="696"/>
      <c r="O239" s="696"/>
      <c r="P239" s="697"/>
    </row>
    <row r="240" spans="2:16" x14ac:dyDescent="0.2">
      <c r="B240" s="675" t="s">
        <v>242</v>
      </c>
      <c r="C240" s="705" t="s">
        <v>496</v>
      </c>
      <c r="D240" s="706"/>
      <c r="E240" s="675" t="s">
        <v>243</v>
      </c>
      <c r="F240" s="671" t="s">
        <v>477</v>
      </c>
      <c r="G240" s="672"/>
      <c r="H240" s="673"/>
      <c r="J240" s="695"/>
      <c r="K240" s="696"/>
      <c r="L240" s="696"/>
      <c r="M240" s="696"/>
      <c r="N240" s="696"/>
      <c r="O240" s="696"/>
      <c r="P240" s="697"/>
    </row>
    <row r="241" spans="2:16" x14ac:dyDescent="0.2">
      <c r="B241" s="676"/>
      <c r="C241" s="707"/>
      <c r="D241" s="708"/>
      <c r="E241" s="676"/>
      <c r="F241" s="677"/>
      <c r="G241" s="678"/>
      <c r="H241" s="679"/>
      <c r="J241" s="698"/>
      <c r="K241" s="699"/>
      <c r="L241" s="699"/>
      <c r="M241" s="699"/>
      <c r="N241" s="699"/>
      <c r="O241" s="699"/>
      <c r="P241" s="700"/>
    </row>
    <row r="242" spans="2:16" x14ac:dyDescent="0.2">
      <c r="B242" s="682" t="s">
        <v>468</v>
      </c>
      <c r="C242" s="149"/>
      <c r="D242" s="147"/>
      <c r="E242" s="680" t="s">
        <v>469</v>
      </c>
      <c r="F242" s="671" t="s">
        <v>494</v>
      </c>
      <c r="G242" s="672"/>
      <c r="H242" s="673"/>
    </row>
    <row r="243" spans="2:16" ht="15" x14ac:dyDescent="0.25">
      <c r="B243" s="683"/>
      <c r="C243" s="150"/>
      <c r="D243" s="148"/>
      <c r="E243" s="681"/>
      <c r="F243" s="677"/>
      <c r="G243" s="678"/>
      <c r="H243" s="679"/>
    </row>
    <row r="245" spans="2:16" ht="15.75" x14ac:dyDescent="0.25">
      <c r="B245" s="112" t="str">
        <f>+C248</f>
        <v>PROPIEDADES, PLANTA Y EQUIPO</v>
      </c>
      <c r="C245" s="152"/>
      <c r="D245" s="110"/>
      <c r="E245" s="110"/>
      <c r="F245" s="111"/>
      <c r="G245" s="110"/>
      <c r="H245" s="111"/>
      <c r="I245" s="110"/>
      <c r="J245" s="110"/>
      <c r="K245" s="110"/>
      <c r="L245" s="110"/>
      <c r="M245" s="110"/>
      <c r="N245" s="110"/>
      <c r="O245" s="110"/>
      <c r="P245" s="110"/>
    </row>
    <row r="246" spans="2:16" x14ac:dyDescent="0.2">
      <c r="B246" s="684" t="s">
        <v>233</v>
      </c>
      <c r="C246" s="685"/>
      <c r="D246" s="686"/>
      <c r="E246" s="687" t="s">
        <v>234</v>
      </c>
      <c r="F246" s="688"/>
      <c r="G246" s="689"/>
      <c r="H246" s="23" t="s">
        <v>235</v>
      </c>
      <c r="J246" s="654" t="s">
        <v>246</v>
      </c>
      <c r="K246" s="655"/>
      <c r="L246" s="655"/>
      <c r="M246" s="655"/>
      <c r="N246" s="655"/>
      <c r="O246" s="655"/>
      <c r="P246" s="656"/>
    </row>
    <row r="247" spans="2:16" x14ac:dyDescent="0.2">
      <c r="B247" s="6" t="s">
        <v>230</v>
      </c>
      <c r="D247" s="5" t="s">
        <v>507</v>
      </c>
      <c r="E247" s="659" t="str">
        <f>+$G$1</f>
        <v>Diciembre 2024</v>
      </c>
      <c r="F247" s="660"/>
      <c r="G247" s="661"/>
      <c r="H247" s="663" t="s">
        <v>229</v>
      </c>
      <c r="J247" s="671"/>
      <c r="K247" s="672"/>
      <c r="L247" s="672"/>
      <c r="M247" s="672"/>
      <c r="N247" s="672"/>
      <c r="O247" s="672"/>
      <c r="P247" s="673"/>
    </row>
    <row r="248" spans="2:16" x14ac:dyDescent="0.2">
      <c r="B248" s="6" t="s">
        <v>231</v>
      </c>
      <c r="C248" s="657" t="str">
        <f>+'I. Balanza'!D163</f>
        <v>PROPIEDADES, PLANTA Y EQUIPO</v>
      </c>
      <c r="D248" s="658"/>
      <c r="E248" s="662"/>
      <c r="F248" s="660"/>
      <c r="G248" s="661"/>
      <c r="H248" s="663"/>
      <c r="J248" s="674"/>
      <c r="K248" s="657"/>
      <c r="L248" s="657"/>
      <c r="M248" s="657"/>
      <c r="N248" s="657"/>
      <c r="O248" s="657"/>
      <c r="P248" s="658"/>
    </row>
    <row r="249" spans="2:16" x14ac:dyDescent="0.2">
      <c r="B249" s="667" t="s">
        <v>232</v>
      </c>
      <c r="C249" s="667"/>
      <c r="D249" s="667"/>
      <c r="E249" s="667"/>
      <c r="F249" s="667"/>
      <c r="G249" s="667"/>
      <c r="H249" s="7">
        <f>+'I. Balanza'!P163</f>
        <v>15454478.389999999</v>
      </c>
      <c r="J249" s="674"/>
      <c r="K249" s="657"/>
      <c r="L249" s="657"/>
      <c r="M249" s="657"/>
      <c r="N249" s="657"/>
      <c r="O249" s="657"/>
      <c r="P249" s="658"/>
    </row>
    <row r="250" spans="2:16" x14ac:dyDescent="0.2">
      <c r="B250" s="8"/>
      <c r="C250" s="9"/>
      <c r="D250" s="9"/>
      <c r="E250" s="9"/>
      <c r="F250" s="10"/>
      <c r="G250" s="11"/>
      <c r="H250" s="7">
        <v>238323.47</v>
      </c>
      <c r="J250" s="674"/>
      <c r="K250" s="657"/>
      <c r="L250" s="657"/>
      <c r="M250" s="657"/>
      <c r="N250" s="657"/>
      <c r="O250" s="657"/>
      <c r="P250" s="658"/>
    </row>
    <row r="251" spans="2:16" x14ac:dyDescent="0.2">
      <c r="B251" s="8"/>
      <c r="C251" s="9"/>
      <c r="D251" s="9"/>
      <c r="E251" s="9"/>
      <c r="F251" s="10"/>
      <c r="G251" s="12"/>
      <c r="H251" s="7"/>
      <c r="J251" s="674"/>
      <c r="K251" s="657"/>
      <c r="L251" s="657"/>
      <c r="M251" s="657"/>
      <c r="N251" s="657"/>
      <c r="O251" s="657"/>
      <c r="P251" s="658"/>
    </row>
    <row r="252" spans="2:16" x14ac:dyDescent="0.2">
      <c r="B252" s="668" t="s">
        <v>236</v>
      </c>
      <c r="C252" s="669"/>
      <c r="D252" s="669"/>
      <c r="E252" s="669"/>
      <c r="F252" s="669"/>
      <c r="G252" s="670"/>
      <c r="H252" s="13">
        <f>H249+H251-H250</f>
        <v>15216154.919999998</v>
      </c>
      <c r="J252" s="674"/>
      <c r="K252" s="657"/>
      <c r="L252" s="657"/>
      <c r="M252" s="657"/>
      <c r="N252" s="657"/>
      <c r="O252" s="657"/>
      <c r="P252" s="658"/>
    </row>
    <row r="253" spans="2:16" x14ac:dyDescent="0.2">
      <c r="B253" s="668" t="s">
        <v>237</v>
      </c>
      <c r="C253" s="669"/>
      <c r="D253" s="669"/>
      <c r="E253" s="669"/>
      <c r="F253" s="669"/>
      <c r="G253" s="670"/>
      <c r="H253" s="14">
        <f>+'I. Balanza'!Q163</f>
        <v>15216154.92</v>
      </c>
      <c r="J253" s="654" t="s">
        <v>245</v>
      </c>
      <c r="K253" s="655"/>
      <c r="L253" s="655"/>
      <c r="M253" s="655"/>
      <c r="N253" s="655"/>
      <c r="O253" s="655"/>
      <c r="P253" s="656"/>
    </row>
    <row r="254" spans="2:16" x14ac:dyDescent="0.2">
      <c r="B254" s="668" t="s">
        <v>238</v>
      </c>
      <c r="C254" s="669"/>
      <c r="D254" s="669"/>
      <c r="E254" s="669"/>
      <c r="F254" s="669"/>
      <c r="G254" s="670"/>
      <c r="H254" s="13">
        <f>+H252-H253</f>
        <v>0</v>
      </c>
      <c r="J254" s="692" t="s">
        <v>509</v>
      </c>
      <c r="K254" s="693"/>
      <c r="L254" s="693"/>
      <c r="M254" s="693"/>
      <c r="N254" s="693"/>
      <c r="O254" s="693"/>
      <c r="P254" s="694"/>
    </row>
    <row r="255" spans="2:16" x14ac:dyDescent="0.2">
      <c r="B255" s="701" t="s">
        <v>239</v>
      </c>
      <c r="C255" s="702"/>
      <c r="D255" s="702"/>
      <c r="E255" s="702"/>
      <c r="F255" s="702"/>
      <c r="G255" s="703"/>
      <c r="H255" s="15"/>
      <c r="J255" s="695"/>
      <c r="K255" s="696"/>
      <c r="L255" s="696"/>
      <c r="M255" s="696"/>
      <c r="N255" s="696"/>
      <c r="O255" s="696"/>
      <c r="P255" s="697"/>
    </row>
    <row r="256" spans="2:16" x14ac:dyDescent="0.2">
      <c r="B256" s="16"/>
      <c r="G256" s="17" t="s">
        <v>240</v>
      </c>
      <c r="H256" s="7">
        <f>H254</f>
        <v>0</v>
      </c>
      <c r="J256" s="695"/>
      <c r="K256" s="696"/>
      <c r="L256" s="696"/>
      <c r="M256" s="696"/>
      <c r="N256" s="696"/>
      <c r="O256" s="696"/>
      <c r="P256" s="697"/>
    </row>
    <row r="257" spans="2:16" x14ac:dyDescent="0.2">
      <c r="B257" s="8"/>
      <c r="C257" s="9"/>
      <c r="D257" s="9"/>
      <c r="E257" s="9"/>
      <c r="F257" s="9"/>
      <c r="G257" s="12"/>
      <c r="H257" s="7"/>
      <c r="J257" s="695"/>
      <c r="K257" s="696"/>
      <c r="L257" s="696"/>
      <c r="M257" s="696"/>
      <c r="N257" s="696"/>
      <c r="O257" s="696"/>
      <c r="P257" s="697"/>
    </row>
    <row r="258" spans="2:16" x14ac:dyDescent="0.2">
      <c r="B258" s="18"/>
      <c r="C258" s="19"/>
      <c r="D258" s="19"/>
      <c r="E258" s="19"/>
      <c r="F258" s="19"/>
      <c r="G258" s="11"/>
      <c r="H258" s="20"/>
      <c r="J258" s="695"/>
      <c r="K258" s="696"/>
      <c r="L258" s="696"/>
      <c r="M258" s="696"/>
      <c r="N258" s="696"/>
      <c r="O258" s="696"/>
      <c r="P258" s="697"/>
    </row>
    <row r="259" spans="2:16" ht="15" x14ac:dyDescent="0.2">
      <c r="B259" s="704" t="s">
        <v>241</v>
      </c>
      <c r="C259" s="704"/>
      <c r="D259" s="704"/>
      <c r="E259" s="704"/>
      <c r="F259" s="704"/>
      <c r="G259" s="704"/>
      <c r="H259" s="21" t="str">
        <f>IF((+H256+H258)=0,"TRUE","FALSE")</f>
        <v>TRUE</v>
      </c>
      <c r="J259" s="695"/>
      <c r="K259" s="696"/>
      <c r="L259" s="696"/>
      <c r="M259" s="696"/>
      <c r="N259" s="696"/>
      <c r="O259" s="696"/>
      <c r="P259" s="697"/>
    </row>
    <row r="260" spans="2:16" x14ac:dyDescent="0.2">
      <c r="B260" s="675" t="s">
        <v>242</v>
      </c>
      <c r="C260" s="705" t="s">
        <v>504</v>
      </c>
      <c r="D260" s="706"/>
      <c r="E260" s="675" t="s">
        <v>243</v>
      </c>
      <c r="F260" s="671" t="s">
        <v>477</v>
      </c>
      <c r="G260" s="672"/>
      <c r="H260" s="673"/>
      <c r="J260" s="695"/>
      <c r="K260" s="696"/>
      <c r="L260" s="696"/>
      <c r="M260" s="696"/>
      <c r="N260" s="696"/>
      <c r="O260" s="696"/>
      <c r="P260" s="697"/>
    </row>
    <row r="261" spans="2:16" x14ac:dyDescent="0.2">
      <c r="B261" s="676"/>
      <c r="C261" s="707"/>
      <c r="D261" s="708"/>
      <c r="E261" s="676"/>
      <c r="F261" s="677"/>
      <c r="G261" s="678"/>
      <c r="H261" s="679"/>
      <c r="J261" s="698"/>
      <c r="K261" s="699"/>
      <c r="L261" s="699"/>
      <c r="M261" s="699"/>
      <c r="N261" s="699"/>
      <c r="O261" s="699"/>
      <c r="P261" s="700"/>
    </row>
    <row r="262" spans="2:16" x14ac:dyDescent="0.2">
      <c r="B262" s="682" t="s">
        <v>468</v>
      </c>
      <c r="C262" s="149"/>
      <c r="D262" s="147"/>
      <c r="E262" s="680" t="s">
        <v>469</v>
      </c>
      <c r="F262" s="671" t="s">
        <v>494</v>
      </c>
      <c r="G262" s="672"/>
      <c r="H262" s="673"/>
    </row>
    <row r="263" spans="2:16" ht="15" x14ac:dyDescent="0.25">
      <c r="B263" s="683"/>
      <c r="C263" s="150"/>
      <c r="D263" s="148"/>
      <c r="E263" s="681"/>
      <c r="F263" s="677"/>
      <c r="G263" s="678"/>
      <c r="H263" s="679"/>
    </row>
    <row r="265" spans="2:16" ht="15.75" x14ac:dyDescent="0.25">
      <c r="B265" s="112" t="str">
        <f>+C268</f>
        <v>ACTIVO EN ARRENDAMIENTO</v>
      </c>
      <c r="C265" s="152"/>
      <c r="D265" s="110"/>
      <c r="E265" s="110"/>
      <c r="F265" s="111"/>
      <c r="G265" s="110"/>
      <c r="H265" s="111"/>
      <c r="I265" s="110"/>
      <c r="J265" s="110"/>
      <c r="K265" s="110"/>
      <c r="L265" s="110"/>
      <c r="M265" s="110"/>
      <c r="N265" s="110"/>
      <c r="O265" s="110"/>
      <c r="P265" s="110"/>
    </row>
    <row r="266" spans="2:16" x14ac:dyDescent="0.2">
      <c r="B266" s="684" t="s">
        <v>233</v>
      </c>
      <c r="C266" s="685"/>
      <c r="D266" s="686"/>
      <c r="E266" s="687" t="s">
        <v>234</v>
      </c>
      <c r="F266" s="688"/>
      <c r="G266" s="689"/>
      <c r="H266" s="23" t="s">
        <v>235</v>
      </c>
      <c r="J266" s="654" t="s">
        <v>246</v>
      </c>
      <c r="K266" s="655"/>
      <c r="L266" s="655"/>
      <c r="M266" s="655"/>
      <c r="N266" s="655"/>
      <c r="O266" s="655"/>
      <c r="P266" s="656"/>
    </row>
    <row r="267" spans="2:16" x14ac:dyDescent="0.2">
      <c r="B267" s="6" t="s">
        <v>230</v>
      </c>
      <c r="D267" s="5" t="str">
        <f>+'I. Balanza'!B176</f>
        <v xml:space="preserve">1305 </v>
      </c>
      <c r="E267" s="659" t="str">
        <f>+$G$1</f>
        <v>Diciembre 2024</v>
      </c>
      <c r="F267" s="660"/>
      <c r="G267" s="661"/>
      <c r="H267" s="663" t="s">
        <v>229</v>
      </c>
      <c r="J267" s="671"/>
      <c r="K267" s="672"/>
      <c r="L267" s="672"/>
      <c r="M267" s="672"/>
      <c r="N267" s="672"/>
      <c r="O267" s="672"/>
      <c r="P267" s="673"/>
    </row>
    <row r="268" spans="2:16" x14ac:dyDescent="0.2">
      <c r="B268" s="6" t="s">
        <v>231</v>
      </c>
      <c r="C268" s="657" t="str">
        <f>+'I. Balanza'!D176</f>
        <v>ACTIVO EN ARRENDAMIENTO</v>
      </c>
      <c r="D268" s="658"/>
      <c r="E268" s="662"/>
      <c r="F268" s="660"/>
      <c r="G268" s="661"/>
      <c r="H268" s="663"/>
      <c r="J268" s="674"/>
      <c r="K268" s="657"/>
      <c r="L268" s="657"/>
      <c r="M268" s="657"/>
      <c r="N268" s="657"/>
      <c r="O268" s="657"/>
      <c r="P268" s="658"/>
    </row>
    <row r="269" spans="2:16" x14ac:dyDescent="0.2">
      <c r="B269" s="667" t="s">
        <v>232</v>
      </c>
      <c r="C269" s="667"/>
      <c r="D269" s="667"/>
      <c r="E269" s="667"/>
      <c r="F269" s="667"/>
      <c r="G269" s="667"/>
      <c r="H269" s="7">
        <f>+'I. Balanza'!P178</f>
        <v>721570.89397506509</v>
      </c>
      <c r="J269" s="674"/>
      <c r="K269" s="657"/>
      <c r="L269" s="657"/>
      <c r="M269" s="657"/>
      <c r="N269" s="657"/>
      <c r="O269" s="657"/>
      <c r="P269" s="658"/>
    </row>
    <row r="270" spans="2:16" x14ac:dyDescent="0.2">
      <c r="B270" s="8"/>
      <c r="C270" s="9"/>
      <c r="D270" s="9"/>
      <c r="E270" s="9"/>
      <c r="F270" s="10"/>
      <c r="G270" s="11"/>
      <c r="H270" s="7"/>
      <c r="J270" s="674"/>
      <c r="K270" s="657"/>
      <c r="L270" s="657"/>
      <c r="M270" s="657"/>
      <c r="N270" s="657"/>
      <c r="O270" s="657"/>
      <c r="P270" s="658"/>
    </row>
    <row r="271" spans="2:16" x14ac:dyDescent="0.2">
      <c r="B271" s="8"/>
      <c r="C271" s="9"/>
      <c r="D271" s="9"/>
      <c r="E271" s="9"/>
      <c r="F271" s="10"/>
      <c r="G271" s="12"/>
      <c r="H271" s="7">
        <v>6619.9164584868122</v>
      </c>
      <c r="J271" s="674"/>
      <c r="K271" s="657"/>
      <c r="L271" s="657"/>
      <c r="M271" s="657"/>
      <c r="N271" s="657"/>
      <c r="O271" s="657"/>
      <c r="P271" s="658"/>
    </row>
    <row r="272" spans="2:16" x14ac:dyDescent="0.2">
      <c r="B272" s="668" t="s">
        <v>236</v>
      </c>
      <c r="C272" s="669"/>
      <c r="D272" s="669"/>
      <c r="E272" s="669"/>
      <c r="F272" s="669"/>
      <c r="G272" s="670"/>
      <c r="H272" s="13">
        <f>+H269+H270-H271</f>
        <v>714950.97751657828</v>
      </c>
      <c r="J272" s="674"/>
      <c r="K272" s="657"/>
      <c r="L272" s="657"/>
      <c r="M272" s="657"/>
      <c r="N272" s="657"/>
      <c r="O272" s="657"/>
      <c r="P272" s="658"/>
    </row>
    <row r="273" spans="2:16" x14ac:dyDescent="0.2">
      <c r="B273" s="668" t="s">
        <v>237</v>
      </c>
      <c r="C273" s="669"/>
      <c r="D273" s="669"/>
      <c r="E273" s="669"/>
      <c r="F273" s="669"/>
      <c r="G273" s="670"/>
      <c r="H273" s="14">
        <f>+'I. Balanza'!Q176</f>
        <v>714950.97751657828</v>
      </c>
      <c r="J273" s="654" t="s">
        <v>245</v>
      </c>
      <c r="K273" s="655"/>
      <c r="L273" s="655"/>
      <c r="M273" s="655"/>
      <c r="N273" s="655"/>
      <c r="O273" s="655"/>
      <c r="P273" s="656"/>
    </row>
    <row r="274" spans="2:16" x14ac:dyDescent="0.2">
      <c r="B274" s="668" t="s">
        <v>238</v>
      </c>
      <c r="C274" s="669"/>
      <c r="D274" s="669"/>
      <c r="E274" s="669"/>
      <c r="F274" s="669"/>
      <c r="G274" s="670"/>
      <c r="H274" s="154">
        <f>+H272-H273</f>
        <v>0</v>
      </c>
      <c r="J274" s="692" t="s">
        <v>513</v>
      </c>
      <c r="K274" s="693"/>
      <c r="L274" s="693"/>
      <c r="M274" s="693"/>
      <c r="N274" s="693"/>
      <c r="O274" s="693"/>
      <c r="P274" s="694"/>
    </row>
    <row r="275" spans="2:16" x14ac:dyDescent="0.2">
      <c r="B275" s="701" t="s">
        <v>239</v>
      </c>
      <c r="C275" s="702"/>
      <c r="D275" s="702"/>
      <c r="E275" s="702"/>
      <c r="F275" s="702"/>
      <c r="G275" s="703"/>
      <c r="H275" s="15"/>
      <c r="J275" s="695"/>
      <c r="K275" s="696"/>
      <c r="L275" s="696"/>
      <c r="M275" s="696"/>
      <c r="N275" s="696"/>
      <c r="O275" s="696"/>
      <c r="P275" s="697"/>
    </row>
    <row r="276" spans="2:16" x14ac:dyDescent="0.2">
      <c r="B276" s="16"/>
      <c r="G276" s="17" t="s">
        <v>240</v>
      </c>
      <c r="H276" s="7">
        <f>H274</f>
        <v>0</v>
      </c>
      <c r="J276" s="695"/>
      <c r="K276" s="696"/>
      <c r="L276" s="696"/>
      <c r="M276" s="696"/>
      <c r="N276" s="696"/>
      <c r="O276" s="696"/>
      <c r="P276" s="697"/>
    </row>
    <row r="277" spans="2:16" x14ac:dyDescent="0.2">
      <c r="B277" s="8"/>
      <c r="C277" s="9"/>
      <c r="D277" s="9"/>
      <c r="E277" s="9"/>
      <c r="F277" s="9"/>
      <c r="G277" s="12"/>
      <c r="H277" s="7"/>
      <c r="J277" s="695"/>
      <c r="K277" s="696"/>
      <c r="L277" s="696"/>
      <c r="M277" s="696"/>
      <c r="N277" s="696"/>
      <c r="O277" s="696"/>
      <c r="P277" s="697"/>
    </row>
    <row r="278" spans="2:16" x14ac:dyDescent="0.2">
      <c r="B278" s="18"/>
      <c r="C278" s="19"/>
      <c r="D278" s="19"/>
      <c r="E278" s="19"/>
      <c r="F278" s="19"/>
      <c r="G278" s="11"/>
      <c r="H278" s="20"/>
      <c r="J278" s="695"/>
      <c r="K278" s="696"/>
      <c r="L278" s="696"/>
      <c r="M278" s="696"/>
      <c r="N278" s="696"/>
      <c r="O278" s="696"/>
      <c r="P278" s="697"/>
    </row>
    <row r="279" spans="2:16" ht="15" x14ac:dyDescent="0.2">
      <c r="B279" s="704" t="s">
        <v>241</v>
      </c>
      <c r="C279" s="704"/>
      <c r="D279" s="704"/>
      <c r="E279" s="704"/>
      <c r="F279" s="704"/>
      <c r="G279" s="704"/>
      <c r="H279" s="21" t="str">
        <f>IF((+H276+H278)=0,"TRUE","FALSE")</f>
        <v>TRUE</v>
      </c>
      <c r="J279" s="695"/>
      <c r="K279" s="696"/>
      <c r="L279" s="696"/>
      <c r="M279" s="696"/>
      <c r="N279" s="696"/>
      <c r="O279" s="696"/>
      <c r="P279" s="697"/>
    </row>
    <row r="280" spans="2:16" x14ac:dyDescent="0.2">
      <c r="B280" s="675" t="s">
        <v>242</v>
      </c>
      <c r="C280" s="705" t="s">
        <v>504</v>
      </c>
      <c r="D280" s="706"/>
      <c r="E280" s="675" t="s">
        <v>243</v>
      </c>
      <c r="F280" s="671" t="s">
        <v>477</v>
      </c>
      <c r="G280" s="672"/>
      <c r="H280" s="673"/>
      <c r="J280" s="695"/>
      <c r="K280" s="696"/>
      <c r="L280" s="696"/>
      <c r="M280" s="696"/>
      <c r="N280" s="696"/>
      <c r="O280" s="696"/>
      <c r="P280" s="697"/>
    </row>
    <row r="281" spans="2:16" x14ac:dyDescent="0.2">
      <c r="B281" s="676"/>
      <c r="C281" s="707"/>
      <c r="D281" s="708"/>
      <c r="E281" s="676"/>
      <c r="F281" s="677"/>
      <c r="G281" s="678"/>
      <c r="H281" s="679"/>
      <c r="J281" s="698"/>
      <c r="K281" s="699"/>
      <c r="L281" s="699"/>
      <c r="M281" s="699"/>
      <c r="N281" s="699"/>
      <c r="O281" s="699"/>
      <c r="P281" s="700"/>
    </row>
    <row r="282" spans="2:16" x14ac:dyDescent="0.2">
      <c r="B282" s="682" t="s">
        <v>468</v>
      </c>
      <c r="C282" s="149"/>
      <c r="D282" s="147"/>
      <c r="E282" s="680" t="s">
        <v>469</v>
      </c>
      <c r="F282" s="671" t="s">
        <v>494</v>
      </c>
      <c r="G282" s="672"/>
      <c r="H282" s="673"/>
    </row>
    <row r="283" spans="2:16" ht="15" x14ac:dyDescent="0.25">
      <c r="B283" s="683"/>
      <c r="C283" s="150"/>
      <c r="D283" s="148"/>
      <c r="E283" s="681"/>
      <c r="F283" s="677"/>
      <c r="G283" s="678"/>
      <c r="H283" s="679"/>
    </row>
  </sheetData>
  <mergeCells count="322">
    <mergeCell ref="B282:B283"/>
    <mergeCell ref="E282:E283"/>
    <mergeCell ref="F282:H283"/>
    <mergeCell ref="B273:G273"/>
    <mergeCell ref="J273:P273"/>
    <mergeCell ref="B274:G274"/>
    <mergeCell ref="J274:P281"/>
    <mergeCell ref="B275:G275"/>
    <mergeCell ref="B279:G279"/>
    <mergeCell ref="B280:B281"/>
    <mergeCell ref="C280:D281"/>
    <mergeCell ref="E280:E281"/>
    <mergeCell ref="F280:H281"/>
    <mergeCell ref="B262:B263"/>
    <mergeCell ref="E262:E263"/>
    <mergeCell ref="F262:H263"/>
    <mergeCell ref="B266:D266"/>
    <mergeCell ref="E266:G266"/>
    <mergeCell ref="J266:P266"/>
    <mergeCell ref="E267:G268"/>
    <mergeCell ref="H267:H268"/>
    <mergeCell ref="J267:P272"/>
    <mergeCell ref="C268:D268"/>
    <mergeCell ref="B269:G269"/>
    <mergeCell ref="B272:G272"/>
    <mergeCell ref="B253:G253"/>
    <mergeCell ref="J253:P253"/>
    <mergeCell ref="B254:G254"/>
    <mergeCell ref="J254:P261"/>
    <mergeCell ref="B255:G255"/>
    <mergeCell ref="B259:G259"/>
    <mergeCell ref="B260:B261"/>
    <mergeCell ref="C260:D261"/>
    <mergeCell ref="E260:E261"/>
    <mergeCell ref="F260:H261"/>
    <mergeCell ref="B246:D246"/>
    <mergeCell ref="E246:G246"/>
    <mergeCell ref="J246:P246"/>
    <mergeCell ref="C248:D248"/>
    <mergeCell ref="E247:G248"/>
    <mergeCell ref="H247:H248"/>
    <mergeCell ref="J247:P252"/>
    <mergeCell ref="B249:G249"/>
    <mergeCell ref="B252:G252"/>
    <mergeCell ref="D1:F2"/>
    <mergeCell ref="E60:E61"/>
    <mergeCell ref="F60:H61"/>
    <mergeCell ref="B51:G51"/>
    <mergeCell ref="J51:P51"/>
    <mergeCell ref="B52:G52"/>
    <mergeCell ref="J52:P59"/>
    <mergeCell ref="B53:G53"/>
    <mergeCell ref="B57:G57"/>
    <mergeCell ref="B58:B59"/>
    <mergeCell ref="C58:D59"/>
    <mergeCell ref="E58:E59"/>
    <mergeCell ref="F58:H59"/>
    <mergeCell ref="B60:B61"/>
    <mergeCell ref="B44:D44"/>
    <mergeCell ref="E44:G44"/>
    <mergeCell ref="J44:P44"/>
    <mergeCell ref="C45:D45"/>
    <mergeCell ref="E45:G46"/>
    <mergeCell ref="H45:H46"/>
    <mergeCell ref="J45:P50"/>
    <mergeCell ref="C46:D46"/>
    <mergeCell ref="B47:G47"/>
    <mergeCell ref="B50:G50"/>
    <mergeCell ref="E40:E41"/>
    <mergeCell ref="F40:H41"/>
    <mergeCell ref="B31:G31"/>
    <mergeCell ref="J31:P31"/>
    <mergeCell ref="B32:G32"/>
    <mergeCell ref="J32:P39"/>
    <mergeCell ref="B33:G33"/>
    <mergeCell ref="B37:G37"/>
    <mergeCell ref="B38:B39"/>
    <mergeCell ref="C38:D39"/>
    <mergeCell ref="E38:E39"/>
    <mergeCell ref="F38:H39"/>
    <mergeCell ref="B40:B41"/>
    <mergeCell ref="B24:D24"/>
    <mergeCell ref="E24:G24"/>
    <mergeCell ref="J24:P24"/>
    <mergeCell ref="C25:D25"/>
    <mergeCell ref="E25:G26"/>
    <mergeCell ref="H25:H26"/>
    <mergeCell ref="J25:P30"/>
    <mergeCell ref="C26:D26"/>
    <mergeCell ref="B27:G27"/>
    <mergeCell ref="B30:G30"/>
    <mergeCell ref="B6:D6"/>
    <mergeCell ref="E6:G6"/>
    <mergeCell ref="J6:P6"/>
    <mergeCell ref="C7:D7"/>
    <mergeCell ref="E7:G8"/>
    <mergeCell ref="H7:H8"/>
    <mergeCell ref="J7:P12"/>
    <mergeCell ref="C8:D8"/>
    <mergeCell ref="B9:G9"/>
    <mergeCell ref="B12:G12"/>
    <mergeCell ref="E20:E21"/>
    <mergeCell ref="F20:H21"/>
    <mergeCell ref="B13:G13"/>
    <mergeCell ref="J13:P13"/>
    <mergeCell ref="B14:G14"/>
    <mergeCell ref="J14:P19"/>
    <mergeCell ref="B15:G15"/>
    <mergeCell ref="B17:G17"/>
    <mergeCell ref="B18:B19"/>
    <mergeCell ref="C18:D19"/>
    <mergeCell ref="E18:E19"/>
    <mergeCell ref="F18:H19"/>
    <mergeCell ref="B20:B21"/>
    <mergeCell ref="B65:D65"/>
    <mergeCell ref="E65:G65"/>
    <mergeCell ref="J65:P65"/>
    <mergeCell ref="C66:D66"/>
    <mergeCell ref="E66:G67"/>
    <mergeCell ref="H66:H67"/>
    <mergeCell ref="J66:P71"/>
    <mergeCell ref="C67:D67"/>
    <mergeCell ref="B68:G68"/>
    <mergeCell ref="B71:G71"/>
    <mergeCell ref="B72:G72"/>
    <mergeCell ref="J72:P72"/>
    <mergeCell ref="B73:G73"/>
    <mergeCell ref="J73:P80"/>
    <mergeCell ref="B74:G74"/>
    <mergeCell ref="B78:G78"/>
    <mergeCell ref="B79:B80"/>
    <mergeCell ref="C79:D80"/>
    <mergeCell ref="E79:E80"/>
    <mergeCell ref="F79:H80"/>
    <mergeCell ref="C86:D86"/>
    <mergeCell ref="E86:G87"/>
    <mergeCell ref="H86:H87"/>
    <mergeCell ref="J86:P91"/>
    <mergeCell ref="C87:D87"/>
    <mergeCell ref="B88:G88"/>
    <mergeCell ref="B91:G91"/>
    <mergeCell ref="E81:E82"/>
    <mergeCell ref="F81:H82"/>
    <mergeCell ref="B85:D85"/>
    <mergeCell ref="E85:G85"/>
    <mergeCell ref="J85:P85"/>
    <mergeCell ref="B81:B82"/>
    <mergeCell ref="B92:G92"/>
    <mergeCell ref="J92:P92"/>
    <mergeCell ref="B93:G93"/>
    <mergeCell ref="J93:P100"/>
    <mergeCell ref="B94:G94"/>
    <mergeCell ref="B98:G98"/>
    <mergeCell ref="B99:B100"/>
    <mergeCell ref="C99:D100"/>
    <mergeCell ref="E99:E100"/>
    <mergeCell ref="F99:H100"/>
    <mergeCell ref="C106:D106"/>
    <mergeCell ref="E106:G107"/>
    <mergeCell ref="H106:H107"/>
    <mergeCell ref="J106:P111"/>
    <mergeCell ref="C107:D107"/>
    <mergeCell ref="B108:G108"/>
    <mergeCell ref="B111:G111"/>
    <mergeCell ref="E101:E102"/>
    <mergeCell ref="F101:H102"/>
    <mergeCell ref="B105:D105"/>
    <mergeCell ref="E105:G105"/>
    <mergeCell ref="J105:P105"/>
    <mergeCell ref="B101:B102"/>
    <mergeCell ref="B112:G112"/>
    <mergeCell ref="J112:P112"/>
    <mergeCell ref="B113:G113"/>
    <mergeCell ref="J113:P120"/>
    <mergeCell ref="B114:G114"/>
    <mergeCell ref="B118:G118"/>
    <mergeCell ref="B119:B120"/>
    <mergeCell ref="C119:D120"/>
    <mergeCell ref="E119:E120"/>
    <mergeCell ref="F119:H120"/>
    <mergeCell ref="C126:D126"/>
    <mergeCell ref="E126:G127"/>
    <mergeCell ref="H126:H127"/>
    <mergeCell ref="J126:P131"/>
    <mergeCell ref="C127:D127"/>
    <mergeCell ref="B128:G128"/>
    <mergeCell ref="B131:G131"/>
    <mergeCell ref="E121:E122"/>
    <mergeCell ref="F121:H122"/>
    <mergeCell ref="B125:D125"/>
    <mergeCell ref="E125:G125"/>
    <mergeCell ref="J125:P125"/>
    <mergeCell ref="B121:B122"/>
    <mergeCell ref="B132:G132"/>
    <mergeCell ref="J132:P132"/>
    <mergeCell ref="B133:G133"/>
    <mergeCell ref="J133:P140"/>
    <mergeCell ref="B134:G134"/>
    <mergeCell ref="B138:G138"/>
    <mergeCell ref="B139:B140"/>
    <mergeCell ref="C139:D140"/>
    <mergeCell ref="E139:E140"/>
    <mergeCell ref="F139:H140"/>
    <mergeCell ref="E141:E142"/>
    <mergeCell ref="F141:H142"/>
    <mergeCell ref="B141:B142"/>
    <mergeCell ref="C146:D146"/>
    <mergeCell ref="E146:G147"/>
    <mergeCell ref="H146:H147"/>
    <mergeCell ref="J146:P151"/>
    <mergeCell ref="C147:D147"/>
    <mergeCell ref="B148:G148"/>
    <mergeCell ref="B151:G151"/>
    <mergeCell ref="B145:D145"/>
    <mergeCell ref="E145:G145"/>
    <mergeCell ref="J145:P145"/>
    <mergeCell ref="B152:G152"/>
    <mergeCell ref="J152:P152"/>
    <mergeCell ref="B153:G153"/>
    <mergeCell ref="J153:P160"/>
    <mergeCell ref="B154:G154"/>
    <mergeCell ref="B158:G158"/>
    <mergeCell ref="B159:B160"/>
    <mergeCell ref="C159:D160"/>
    <mergeCell ref="E159:E160"/>
    <mergeCell ref="F159:H160"/>
    <mergeCell ref="E161:E162"/>
    <mergeCell ref="F161:H162"/>
    <mergeCell ref="B186:D186"/>
    <mergeCell ref="E186:G186"/>
    <mergeCell ref="J186:P186"/>
    <mergeCell ref="B161:B162"/>
    <mergeCell ref="B165:D165"/>
    <mergeCell ref="E165:G165"/>
    <mergeCell ref="J165:P165"/>
    <mergeCell ref="C166:D166"/>
    <mergeCell ref="E166:G167"/>
    <mergeCell ref="H166:H167"/>
    <mergeCell ref="J166:P171"/>
    <mergeCell ref="C167:D167"/>
    <mergeCell ref="B168:G168"/>
    <mergeCell ref="B171:G171"/>
    <mergeCell ref="B172:G172"/>
    <mergeCell ref="J172:P172"/>
    <mergeCell ref="B173:G173"/>
    <mergeCell ref="J173:P180"/>
    <mergeCell ref="B174:G174"/>
    <mergeCell ref="B178:G178"/>
    <mergeCell ref="B179:B180"/>
    <mergeCell ref="C179:D180"/>
    <mergeCell ref="E226:G226"/>
    <mergeCell ref="J226:P226"/>
    <mergeCell ref="B202:B203"/>
    <mergeCell ref="B193:G193"/>
    <mergeCell ref="J193:P193"/>
    <mergeCell ref="B194:G194"/>
    <mergeCell ref="J194:P201"/>
    <mergeCell ref="B195:G195"/>
    <mergeCell ref="B199:G199"/>
    <mergeCell ref="B200:B201"/>
    <mergeCell ref="C200:D201"/>
    <mergeCell ref="E200:E201"/>
    <mergeCell ref="F200:H201"/>
    <mergeCell ref="B213:G213"/>
    <mergeCell ref="J213:P213"/>
    <mergeCell ref="B214:G214"/>
    <mergeCell ref="J214:P221"/>
    <mergeCell ref="B215:G215"/>
    <mergeCell ref="B219:G219"/>
    <mergeCell ref="B220:B221"/>
    <mergeCell ref="C220:D221"/>
    <mergeCell ref="E220:E221"/>
    <mergeCell ref="F220:H221"/>
    <mergeCell ref="B222:B223"/>
    <mergeCell ref="G1:H2"/>
    <mergeCell ref="E242:E243"/>
    <mergeCell ref="F242:H243"/>
    <mergeCell ref="B233:G233"/>
    <mergeCell ref="J233:P233"/>
    <mergeCell ref="B234:G234"/>
    <mergeCell ref="J234:P241"/>
    <mergeCell ref="B235:G235"/>
    <mergeCell ref="B239:G239"/>
    <mergeCell ref="B240:B241"/>
    <mergeCell ref="C240:D241"/>
    <mergeCell ref="E240:E241"/>
    <mergeCell ref="F240:H241"/>
    <mergeCell ref="B242:B243"/>
    <mergeCell ref="C227:D227"/>
    <mergeCell ref="E227:G228"/>
    <mergeCell ref="H227:H228"/>
    <mergeCell ref="J227:P232"/>
    <mergeCell ref="C228:D228"/>
    <mergeCell ref="B229:G229"/>
    <mergeCell ref="B232:G232"/>
    <mergeCell ref="E202:E203"/>
    <mergeCell ref="F202:H203"/>
    <mergeCell ref="B226:D226"/>
    <mergeCell ref="E179:E180"/>
    <mergeCell ref="F179:H180"/>
    <mergeCell ref="E222:E223"/>
    <mergeCell ref="F222:H223"/>
    <mergeCell ref="B181:B182"/>
    <mergeCell ref="E181:E182"/>
    <mergeCell ref="F181:H182"/>
    <mergeCell ref="B206:D206"/>
    <mergeCell ref="E206:G206"/>
    <mergeCell ref="J206:P206"/>
    <mergeCell ref="C207:D207"/>
    <mergeCell ref="E207:G208"/>
    <mergeCell ref="H207:H208"/>
    <mergeCell ref="J207:P212"/>
    <mergeCell ref="C208:D208"/>
    <mergeCell ref="B209:G209"/>
    <mergeCell ref="B212:G212"/>
    <mergeCell ref="C187:D187"/>
    <mergeCell ref="E187:G188"/>
    <mergeCell ref="H187:H188"/>
    <mergeCell ref="J187:P192"/>
    <mergeCell ref="C188:D188"/>
    <mergeCell ref="B189:G189"/>
    <mergeCell ref="B192:G192"/>
  </mergeCells>
  <conditionalFormatting sqref="H17">
    <cfRule type="containsText" dxfId="90" priority="35" operator="containsText" text="TRUE">
      <formula>NOT(ISERROR(SEARCH("TRUE",H17)))</formula>
    </cfRule>
    <cfRule type="cellIs" dxfId="89" priority="36" operator="equal">
      <formula>"""TRUE"""</formula>
    </cfRule>
  </conditionalFormatting>
  <conditionalFormatting sqref="H37">
    <cfRule type="containsText" dxfId="88" priority="33" operator="containsText" text="TRUE">
      <formula>NOT(ISERROR(SEARCH("TRUE",H37)))</formula>
    </cfRule>
    <cfRule type="cellIs" dxfId="87" priority="34" operator="equal">
      <formula>"""TRUE"""</formula>
    </cfRule>
  </conditionalFormatting>
  <conditionalFormatting sqref="H57">
    <cfRule type="containsText" dxfId="86" priority="9" operator="containsText" text="TRUE">
      <formula>NOT(ISERROR(SEARCH("TRUE",H57)))</formula>
    </cfRule>
    <cfRule type="cellIs" dxfId="85" priority="10" operator="equal">
      <formula>"""TRUE"""</formula>
    </cfRule>
  </conditionalFormatting>
  <conditionalFormatting sqref="H78">
    <cfRule type="containsText" dxfId="84" priority="29" operator="containsText" text="TRUE">
      <formula>NOT(ISERROR(SEARCH("TRUE",H78)))</formula>
    </cfRule>
    <cfRule type="cellIs" dxfId="83" priority="30" operator="equal">
      <formula>"""TRUE"""</formula>
    </cfRule>
  </conditionalFormatting>
  <conditionalFormatting sqref="H98">
    <cfRule type="containsText" dxfId="82" priority="27" operator="containsText" text="TRUE">
      <formula>NOT(ISERROR(SEARCH("TRUE",H98)))</formula>
    </cfRule>
    <cfRule type="cellIs" dxfId="81" priority="28" operator="equal">
      <formula>"""TRUE"""</formula>
    </cfRule>
  </conditionalFormatting>
  <conditionalFormatting sqref="H118">
    <cfRule type="containsText" dxfId="80" priority="25" operator="containsText" text="TRUE">
      <formula>NOT(ISERROR(SEARCH("TRUE",H118)))</formula>
    </cfRule>
    <cfRule type="cellIs" dxfId="79" priority="26" operator="equal">
      <formula>"""TRUE"""</formula>
    </cfRule>
  </conditionalFormatting>
  <conditionalFormatting sqref="H138">
    <cfRule type="containsText" dxfId="78" priority="23" operator="containsText" text="TRUE">
      <formula>NOT(ISERROR(SEARCH("TRUE",H138)))</formula>
    </cfRule>
    <cfRule type="cellIs" dxfId="77" priority="24" operator="equal">
      <formula>"""TRUE"""</formula>
    </cfRule>
  </conditionalFormatting>
  <conditionalFormatting sqref="H158">
    <cfRule type="containsText" dxfId="76" priority="15" operator="containsText" text="TRUE">
      <formula>NOT(ISERROR(SEARCH("TRUE",H158)))</formula>
    </cfRule>
    <cfRule type="cellIs" dxfId="75" priority="16" operator="equal">
      <formula>"""TRUE"""</formula>
    </cfRule>
  </conditionalFormatting>
  <conditionalFormatting sqref="H178">
    <cfRule type="containsText" dxfId="74" priority="7" operator="containsText" text="TRUE">
      <formula>NOT(ISERROR(SEARCH("TRUE",H178)))</formula>
    </cfRule>
    <cfRule type="cellIs" dxfId="73" priority="8" operator="equal">
      <formula>"""TRUE"""</formula>
    </cfRule>
  </conditionalFormatting>
  <conditionalFormatting sqref="H199">
    <cfRule type="containsText" dxfId="72" priority="13" operator="containsText" text="TRUE">
      <formula>NOT(ISERROR(SEARCH("TRUE",H199)))</formula>
    </cfRule>
    <cfRule type="cellIs" dxfId="71" priority="14" operator="equal">
      <formula>"""TRUE"""</formula>
    </cfRule>
  </conditionalFormatting>
  <conditionalFormatting sqref="H219">
    <cfRule type="containsText" dxfId="70" priority="5" operator="containsText" text="TRUE">
      <formula>NOT(ISERROR(SEARCH("TRUE",H219)))</formula>
    </cfRule>
    <cfRule type="cellIs" dxfId="69" priority="6" operator="equal">
      <formula>"""TRUE"""</formula>
    </cfRule>
  </conditionalFormatting>
  <conditionalFormatting sqref="H239">
    <cfRule type="containsText" dxfId="68" priority="11" operator="containsText" text="TRUE">
      <formula>NOT(ISERROR(SEARCH("TRUE",H239)))</formula>
    </cfRule>
    <cfRule type="cellIs" dxfId="67" priority="12" operator="equal">
      <formula>"""TRUE"""</formula>
    </cfRule>
  </conditionalFormatting>
  <conditionalFormatting sqref="H259">
    <cfRule type="containsText" dxfId="66" priority="3" operator="containsText" text="TRUE">
      <formula>NOT(ISERROR(SEARCH("TRUE",H259)))</formula>
    </cfRule>
    <cfRule type="cellIs" dxfId="65" priority="4" operator="equal">
      <formula>"""TRUE"""</formula>
    </cfRule>
  </conditionalFormatting>
  <conditionalFormatting sqref="H279">
    <cfRule type="containsText" dxfId="64" priority="1" operator="containsText" text="TRUE">
      <formula>NOT(ISERROR(SEARCH("TRUE",H279)))</formula>
    </cfRule>
    <cfRule type="cellIs" dxfId="63" priority="2" operator="equal">
      <formula>"""TRUE"""</formula>
    </cfRule>
  </conditionalFormatting>
  <hyperlinks>
    <hyperlink ref="B9" location="Indice!A1" display="Indice" xr:uid="{1E78DA68-7B3A-4148-A0A2-2EB20FA8ADC7}"/>
    <hyperlink ref="B27" location="Indice!A1" display="Indice" xr:uid="{B40B0733-310C-4225-8003-ABC7E81299A1}"/>
    <hyperlink ref="B47" location="Indice!A1" display="Indice" xr:uid="{BACEA2AF-539C-440E-A267-8AA90D54FD59}"/>
    <hyperlink ref="B68" location="Indice!A1" display="Indice" xr:uid="{1ABBBAD1-09B2-430A-8418-F1860F503805}"/>
    <hyperlink ref="B88" location="Indice!A1" display="Indice" xr:uid="{E544ADA3-8653-4BD6-9A45-4A360684C74F}"/>
    <hyperlink ref="B108" location="Indice!A1" display="Indice" xr:uid="{E9A31248-B168-4C1E-A026-0ABB032BE91F}"/>
    <hyperlink ref="B128" location="Indice!A1" display="Indice" xr:uid="{E237B967-1C45-4CDD-A17F-1D2CA54D61DA}"/>
    <hyperlink ref="B148" location="Indice!A1" display="Indice" xr:uid="{1D80B6ED-F8BC-4B37-B456-597B6820AA36}"/>
    <hyperlink ref="B189" location="Indice!A1" display="Indice" xr:uid="{0A82812C-64EA-4352-B13F-F6A31EC62855}"/>
    <hyperlink ref="B229" location="Indice!A1" display="Indice" xr:uid="{FBEC32BA-107E-4423-BB67-0DE603E9FC9C}"/>
    <hyperlink ref="B168" location="Indice!A1" display="Indice" xr:uid="{2D4CEB96-C0C3-489F-936A-F82B729169ED}"/>
    <hyperlink ref="B209" location="Indice!A1" display="Indice" xr:uid="{5BF9FD18-5E52-428F-AA5D-1CD7029DFCB1}"/>
    <hyperlink ref="B249" location="Indice!A1" display="Indice" xr:uid="{3CF1CA0E-99F8-4DAB-BF0F-FBA74FCBFEA8}"/>
    <hyperlink ref="B269" location="Indice!A1" display="Indice" xr:uid="{DA84D3BF-D0C7-4041-8D0A-D6EB8C8D4B0E}"/>
  </hyperlinks>
  <printOptions gridLinesSet="0"/>
  <pageMargins left="0.25" right="0.25" top="0.75" bottom="0.75" header="0.3" footer="0.3"/>
  <pageSetup paperSize="9" scale="93" orientation="portrait" horizontalDpi="4294967292" verticalDpi="4294967292" r:id="rId1"/>
  <headerFooter alignWithMargins="0">
    <oddHeader>&amp;L&amp;"Calibri,Italic"&amp;11&amp;K808080&amp;G&amp;C&amp;"Calibri Light,Regular"&amp;18&amp;K339966Menu Profit/Loss Report&amp;R&amp;"Calibri,Bold"&amp;15&amp;K339966&amp;D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EF3F9-C515-4CD0-AD12-603FD4CF0988}">
  <dimension ref="B1:R223"/>
  <sheetViews>
    <sheetView showGridLines="0" workbookViewId="0">
      <pane ySplit="3" topLeftCell="A4" activePane="bottomLeft" state="frozen"/>
      <selection activeCell="H254" sqref="H254"/>
      <selection pane="bottomLeft" activeCell="C4" sqref="C4"/>
    </sheetView>
  </sheetViews>
  <sheetFormatPr baseColWidth="10" defaultColWidth="11.5546875" defaultRowHeight="15" x14ac:dyDescent="0.2"/>
  <cols>
    <col min="1" max="1" width="5.5546875" customWidth="1"/>
    <col min="9" max="9" width="3.88671875" customWidth="1"/>
    <col min="10" max="10" width="6" customWidth="1"/>
    <col min="11" max="11" width="4.109375" customWidth="1"/>
    <col min="12" max="13" width="6.5546875" customWidth="1"/>
    <col min="14" max="14" width="5.44140625" customWidth="1"/>
    <col min="15" max="15" width="5.5546875" customWidth="1"/>
    <col min="16" max="16" width="7.109375" customWidth="1"/>
  </cols>
  <sheetData>
    <row r="1" spans="2:16" s="2" customFormat="1" ht="12.75" x14ac:dyDescent="0.2">
      <c r="B1" s="1"/>
      <c r="C1" s="1"/>
    </row>
    <row r="2" spans="2:16" s="2" customFormat="1" ht="18" customHeight="1" x14ac:dyDescent="0.4">
      <c r="B2" s="3"/>
      <c r="C2" s="4" t="s">
        <v>515</v>
      </c>
      <c r="E2" s="24"/>
    </row>
    <row r="3" spans="2:16" s="2" customFormat="1" ht="21" x14ac:dyDescent="0.35">
      <c r="C3" s="4" t="s">
        <v>1038</v>
      </c>
    </row>
    <row r="5" spans="2:16" ht="15.75" x14ac:dyDescent="0.25">
      <c r="B5" s="112" t="str">
        <f>+C8</f>
        <v>CUENTAS POR PAGAR</v>
      </c>
      <c r="C5" s="110"/>
      <c r="D5" s="110"/>
      <c r="E5" s="110"/>
      <c r="F5" s="111"/>
      <c r="G5" s="110"/>
      <c r="H5" s="111"/>
      <c r="I5" s="110"/>
      <c r="J5" s="110"/>
      <c r="K5" s="110"/>
      <c r="L5" s="110"/>
      <c r="M5" s="110"/>
      <c r="N5" s="110"/>
      <c r="O5" s="110"/>
      <c r="P5" s="110"/>
    </row>
    <row r="6" spans="2:16" x14ac:dyDescent="0.2">
      <c r="B6" s="684" t="s">
        <v>233</v>
      </c>
      <c r="C6" s="685"/>
      <c r="D6" s="686"/>
      <c r="E6" s="687" t="s">
        <v>234</v>
      </c>
      <c r="F6" s="688"/>
      <c r="G6" s="689"/>
      <c r="H6" s="23" t="s">
        <v>235</v>
      </c>
      <c r="I6" s="5"/>
      <c r="J6" s="654" t="s">
        <v>246</v>
      </c>
      <c r="K6" s="655"/>
      <c r="L6" s="655"/>
      <c r="M6" s="655"/>
      <c r="N6" s="655"/>
      <c r="O6" s="655"/>
      <c r="P6" s="656"/>
    </row>
    <row r="7" spans="2:16" x14ac:dyDescent="0.2">
      <c r="B7" s="6" t="s">
        <v>230</v>
      </c>
      <c r="C7" s="657" t="str">
        <f>'I. Balanza'!B191</f>
        <v xml:space="preserve">2102 </v>
      </c>
      <c r="D7" s="658"/>
      <c r="E7" s="659" t="str">
        <f>+$C$3</f>
        <v>A Diciembre 2024</v>
      </c>
      <c r="F7" s="660"/>
      <c r="G7" s="661"/>
      <c r="H7" s="663" t="s">
        <v>229</v>
      </c>
      <c r="I7" s="5"/>
      <c r="J7" s="671"/>
      <c r="K7" s="672"/>
      <c r="L7" s="672"/>
      <c r="M7" s="672"/>
      <c r="N7" s="672"/>
      <c r="O7" s="672"/>
      <c r="P7" s="673"/>
    </row>
    <row r="8" spans="2:16" x14ac:dyDescent="0.2">
      <c r="B8" s="6" t="s">
        <v>231</v>
      </c>
      <c r="C8" s="657" t="str">
        <f>'I. Balanza'!D191</f>
        <v>CUENTAS POR PAGAR</v>
      </c>
      <c r="D8" s="658"/>
      <c r="E8" s="662"/>
      <c r="F8" s="660"/>
      <c r="G8" s="661"/>
      <c r="H8" s="663"/>
      <c r="I8" s="5"/>
      <c r="J8" s="674"/>
      <c r="K8" s="657"/>
      <c r="L8" s="657"/>
      <c r="M8" s="657"/>
      <c r="N8" s="657"/>
      <c r="O8" s="657"/>
      <c r="P8" s="658"/>
    </row>
    <row r="9" spans="2:16" x14ac:dyDescent="0.2">
      <c r="B9" s="667" t="s">
        <v>232</v>
      </c>
      <c r="C9" s="667"/>
      <c r="D9" s="667"/>
      <c r="E9" s="667"/>
      <c r="F9" s="667"/>
      <c r="G9" s="667"/>
      <c r="H9" s="7">
        <f>'I. Balanza'!P191</f>
        <v>-9751431.1900000013</v>
      </c>
      <c r="I9" s="5"/>
      <c r="J9" s="674"/>
      <c r="K9" s="657"/>
      <c r="L9" s="657"/>
      <c r="M9" s="657"/>
      <c r="N9" s="657"/>
      <c r="O9" s="657"/>
      <c r="P9" s="658"/>
    </row>
    <row r="10" spans="2:16" x14ac:dyDescent="0.2">
      <c r="B10" s="8" t="s">
        <v>516</v>
      </c>
      <c r="C10" s="9"/>
      <c r="D10" s="9"/>
      <c r="E10" s="9"/>
      <c r="F10" s="10"/>
      <c r="G10" s="11"/>
      <c r="H10" s="7">
        <v>3808737.55</v>
      </c>
      <c r="I10" s="5"/>
      <c r="J10" s="674"/>
      <c r="K10" s="657"/>
      <c r="L10" s="657"/>
      <c r="M10" s="657"/>
      <c r="N10" s="657"/>
      <c r="O10" s="657"/>
      <c r="P10" s="658"/>
    </row>
    <row r="11" spans="2:16" x14ac:dyDescent="0.2">
      <c r="B11" s="8" t="s">
        <v>517</v>
      </c>
      <c r="C11" s="9"/>
      <c r="D11" s="9"/>
      <c r="E11" s="9"/>
      <c r="F11" s="10"/>
      <c r="G11" s="12"/>
      <c r="H11" s="7">
        <v>1257000</v>
      </c>
      <c r="I11" s="5"/>
      <c r="J11" s="674"/>
      <c r="K11" s="657"/>
      <c r="L11" s="657"/>
      <c r="M11" s="657"/>
      <c r="N11" s="657"/>
      <c r="O11" s="657"/>
      <c r="P11" s="658"/>
    </row>
    <row r="12" spans="2:16" x14ac:dyDescent="0.2">
      <c r="B12" s="668" t="s">
        <v>236</v>
      </c>
      <c r="C12" s="669"/>
      <c r="D12" s="669"/>
      <c r="E12" s="669"/>
      <c r="F12" s="669"/>
      <c r="G12" s="670"/>
      <c r="H12" s="13">
        <f>H9+H11-H10</f>
        <v>-12303168.740000002</v>
      </c>
      <c r="I12" s="5"/>
      <c r="J12" s="674"/>
      <c r="K12" s="657"/>
      <c r="L12" s="657"/>
      <c r="M12" s="657"/>
      <c r="N12" s="657"/>
      <c r="O12" s="657"/>
      <c r="P12" s="658"/>
    </row>
    <row r="13" spans="2:16" x14ac:dyDescent="0.2">
      <c r="B13" s="668" t="s">
        <v>237</v>
      </c>
      <c r="C13" s="669"/>
      <c r="D13" s="669"/>
      <c r="E13" s="669"/>
      <c r="F13" s="669"/>
      <c r="G13" s="670"/>
      <c r="H13" s="14">
        <f>'I. Balanza'!Q191</f>
        <v>-12303168.74</v>
      </c>
      <c r="I13" s="5"/>
      <c r="J13" s="654" t="s">
        <v>245</v>
      </c>
      <c r="K13" s="655"/>
      <c r="L13" s="655"/>
      <c r="M13" s="655"/>
      <c r="N13" s="655"/>
      <c r="O13" s="655"/>
      <c r="P13" s="656"/>
    </row>
    <row r="14" spans="2:16" x14ac:dyDescent="0.2">
      <c r="B14" s="668" t="s">
        <v>238</v>
      </c>
      <c r="C14" s="669"/>
      <c r="D14" s="669"/>
      <c r="E14" s="669"/>
      <c r="F14" s="669"/>
      <c r="G14" s="670"/>
      <c r="H14" s="173">
        <f>+H12-H13</f>
        <v>0</v>
      </c>
      <c r="I14" s="5"/>
      <c r="J14" s="692" t="s">
        <v>658</v>
      </c>
      <c r="K14" s="693"/>
      <c r="L14" s="693"/>
      <c r="M14" s="693"/>
      <c r="N14" s="693"/>
      <c r="O14" s="693"/>
      <c r="P14" s="694"/>
    </row>
    <row r="15" spans="2:16" x14ac:dyDescent="0.2">
      <c r="B15" s="701" t="s">
        <v>239</v>
      </c>
      <c r="C15" s="702"/>
      <c r="D15" s="702"/>
      <c r="E15" s="702"/>
      <c r="F15" s="702"/>
      <c r="G15" s="703"/>
      <c r="H15" s="15"/>
      <c r="I15" s="5"/>
      <c r="J15" s="695"/>
      <c r="K15" s="696"/>
      <c r="L15" s="696"/>
      <c r="M15" s="696"/>
      <c r="N15" s="696"/>
      <c r="O15" s="696"/>
      <c r="P15" s="697"/>
    </row>
    <row r="16" spans="2:16" x14ac:dyDescent="0.2">
      <c r="B16" s="16"/>
      <c r="C16" s="5"/>
      <c r="D16" s="5"/>
      <c r="E16" s="5"/>
      <c r="F16" s="5"/>
      <c r="G16" s="17" t="s">
        <v>240</v>
      </c>
      <c r="H16" s="7">
        <f>H14</f>
        <v>0</v>
      </c>
      <c r="I16" s="5"/>
      <c r="J16" s="695"/>
      <c r="K16" s="696"/>
      <c r="L16" s="696"/>
      <c r="M16" s="696"/>
      <c r="N16" s="696"/>
      <c r="O16" s="696"/>
      <c r="P16" s="697"/>
    </row>
    <row r="17" spans="2:16" x14ac:dyDescent="0.2">
      <c r="B17" s="8"/>
      <c r="C17" s="9"/>
      <c r="D17" s="9"/>
      <c r="E17" s="9"/>
      <c r="F17" s="9"/>
      <c r="G17" s="12"/>
      <c r="H17" s="7"/>
      <c r="I17" s="5"/>
      <c r="J17" s="695"/>
      <c r="K17" s="696"/>
      <c r="L17" s="696"/>
      <c r="M17" s="696"/>
      <c r="N17" s="696"/>
      <c r="O17" s="696"/>
      <c r="P17" s="697"/>
    </row>
    <row r="18" spans="2:16" x14ac:dyDescent="0.2">
      <c r="B18" s="18"/>
      <c r="C18" s="19"/>
      <c r="D18" s="19"/>
      <c r="E18" s="19"/>
      <c r="F18" s="19"/>
      <c r="G18" s="11"/>
      <c r="H18" s="20"/>
      <c r="I18" s="5"/>
      <c r="J18" s="695"/>
      <c r="K18" s="696"/>
      <c r="L18" s="696"/>
      <c r="M18" s="696"/>
      <c r="N18" s="696"/>
      <c r="O18" s="696"/>
      <c r="P18" s="697"/>
    </row>
    <row r="19" spans="2:16" x14ac:dyDescent="0.2">
      <c r="B19" s="704" t="s">
        <v>241</v>
      </c>
      <c r="C19" s="704"/>
      <c r="D19" s="704"/>
      <c r="E19" s="704"/>
      <c r="F19" s="704"/>
      <c r="G19" s="704"/>
      <c r="H19" s="21" t="str">
        <f>IF((+H16+H18)=0,"TRUE","FALSE")</f>
        <v>TRUE</v>
      </c>
      <c r="I19" s="5"/>
      <c r="J19" s="695"/>
      <c r="K19" s="696"/>
      <c r="L19" s="696"/>
      <c r="M19" s="696"/>
      <c r="N19" s="696"/>
      <c r="O19" s="696"/>
      <c r="P19" s="697"/>
    </row>
    <row r="20" spans="2:16" x14ac:dyDescent="0.2">
      <c r="B20" s="675" t="s">
        <v>242</v>
      </c>
      <c r="C20" s="705" t="s">
        <v>518</v>
      </c>
      <c r="D20" s="706"/>
      <c r="E20" s="675" t="s">
        <v>243</v>
      </c>
      <c r="F20" s="671" t="s">
        <v>477</v>
      </c>
      <c r="G20" s="672"/>
      <c r="H20" s="673"/>
      <c r="I20" s="5"/>
      <c r="J20" s="695"/>
      <c r="K20" s="696"/>
      <c r="L20" s="696"/>
      <c r="M20" s="696"/>
      <c r="N20" s="696"/>
      <c r="O20" s="696"/>
      <c r="P20" s="697"/>
    </row>
    <row r="21" spans="2:16" x14ac:dyDescent="0.2">
      <c r="B21" s="676"/>
      <c r="C21" s="707"/>
      <c r="D21" s="708"/>
      <c r="E21" s="676"/>
      <c r="F21" s="677"/>
      <c r="G21" s="678"/>
      <c r="H21" s="679"/>
      <c r="I21" s="5"/>
      <c r="J21" s="698"/>
      <c r="K21" s="699"/>
      <c r="L21" s="699"/>
      <c r="M21" s="699"/>
      <c r="N21" s="699"/>
      <c r="O21" s="699"/>
      <c r="P21" s="700"/>
    </row>
    <row r="22" spans="2:16" x14ac:dyDescent="0.2">
      <c r="B22" s="675" t="s">
        <v>519</v>
      </c>
      <c r="C22" s="709"/>
      <c r="D22" s="680"/>
      <c r="E22" s="675" t="s">
        <v>244</v>
      </c>
      <c r="F22" s="671" t="s">
        <v>494</v>
      </c>
      <c r="G22" s="672"/>
      <c r="H22" s="673"/>
      <c r="I22" s="5"/>
      <c r="J22" s="5"/>
      <c r="K22" s="5"/>
      <c r="L22" s="5"/>
      <c r="M22" s="5"/>
      <c r="N22" s="5"/>
      <c r="O22" s="5"/>
      <c r="P22" s="5"/>
    </row>
    <row r="23" spans="2:16" x14ac:dyDescent="0.2">
      <c r="B23" s="676"/>
      <c r="C23" s="710"/>
      <c r="D23" s="681"/>
      <c r="E23" s="676"/>
      <c r="F23" s="677"/>
      <c r="G23" s="678"/>
      <c r="H23" s="679"/>
      <c r="I23" s="5"/>
      <c r="J23" s="5"/>
      <c r="K23" s="5"/>
      <c r="L23" s="5"/>
      <c r="M23" s="5"/>
      <c r="N23" s="5"/>
      <c r="O23" s="5"/>
      <c r="P23" s="5"/>
    </row>
    <row r="24" spans="2:16" x14ac:dyDescent="0.2">
      <c r="B24" s="155"/>
      <c r="C24" s="155"/>
      <c r="D24" s="155"/>
      <c r="E24" s="155"/>
      <c r="F24" s="174"/>
      <c r="G24" s="174"/>
      <c r="H24" s="174"/>
      <c r="I24" s="5"/>
      <c r="J24" s="5"/>
      <c r="K24" s="5"/>
      <c r="L24" s="5"/>
      <c r="M24" s="5"/>
      <c r="N24" s="5"/>
      <c r="O24" s="5"/>
      <c r="P24" s="5"/>
    </row>
    <row r="25" spans="2:16" ht="15.75" x14ac:dyDescent="0.25">
      <c r="B25" s="112" t="str">
        <f>+C28</f>
        <v>PRESTAMOS INSTITUCIONES BANCARIAS</v>
      </c>
      <c r="C25" s="110"/>
      <c r="D25" s="110"/>
      <c r="E25" s="110"/>
      <c r="F25" s="111"/>
      <c r="G25" s="110"/>
      <c r="H25" s="111"/>
      <c r="I25" s="110"/>
      <c r="J25" s="110"/>
      <c r="K25" s="110"/>
      <c r="L25" s="110"/>
      <c r="M25" s="110"/>
      <c r="N25" s="110"/>
      <c r="O25" s="110"/>
      <c r="P25" s="110"/>
    </row>
    <row r="26" spans="2:16" x14ac:dyDescent="0.2">
      <c r="B26" s="684" t="s">
        <v>233</v>
      </c>
      <c r="C26" s="685"/>
      <c r="D26" s="686"/>
      <c r="E26" s="687" t="s">
        <v>234</v>
      </c>
      <c r="F26" s="688"/>
      <c r="G26" s="689"/>
      <c r="H26" s="23" t="s">
        <v>235</v>
      </c>
      <c r="I26" s="5"/>
      <c r="J26" s="654" t="s">
        <v>246</v>
      </c>
      <c r="K26" s="655"/>
      <c r="L26" s="655"/>
      <c r="M26" s="655"/>
      <c r="N26" s="655"/>
      <c r="O26" s="655"/>
      <c r="P26" s="656"/>
    </row>
    <row r="27" spans="2:16" x14ac:dyDescent="0.2">
      <c r="B27" s="6" t="s">
        <v>230</v>
      </c>
      <c r="C27" s="657" t="str">
        <f>'I. Balanza'!B196</f>
        <v xml:space="preserve"> 2112</v>
      </c>
      <c r="D27" s="658"/>
      <c r="E27" s="659" t="str">
        <f>+$C$3</f>
        <v>A Diciembre 2024</v>
      </c>
      <c r="F27" s="660"/>
      <c r="G27" s="661"/>
      <c r="H27" s="663" t="s">
        <v>229</v>
      </c>
      <c r="I27" s="5"/>
      <c r="J27" s="671"/>
      <c r="K27" s="672"/>
      <c r="L27" s="672"/>
      <c r="M27" s="672"/>
      <c r="N27" s="672"/>
      <c r="O27" s="672"/>
      <c r="P27" s="673"/>
    </row>
    <row r="28" spans="2:16" x14ac:dyDescent="0.2">
      <c r="B28" s="6" t="s">
        <v>231</v>
      </c>
      <c r="C28" s="657" t="str">
        <f>'I. Balanza'!D196</f>
        <v>PRESTAMOS INSTITUCIONES BANCARIAS</v>
      </c>
      <c r="D28" s="658"/>
      <c r="E28" s="662"/>
      <c r="F28" s="660"/>
      <c r="G28" s="661"/>
      <c r="H28" s="663"/>
      <c r="I28" s="5"/>
      <c r="J28" s="674"/>
      <c r="K28" s="657"/>
      <c r="L28" s="657"/>
      <c r="M28" s="657"/>
      <c r="N28" s="657"/>
      <c r="O28" s="657"/>
      <c r="P28" s="658"/>
    </row>
    <row r="29" spans="2:16" x14ac:dyDescent="0.2">
      <c r="B29" s="667" t="s">
        <v>232</v>
      </c>
      <c r="C29" s="667"/>
      <c r="D29" s="667"/>
      <c r="E29" s="667"/>
      <c r="F29" s="667"/>
      <c r="G29" s="667"/>
      <c r="H29" s="7">
        <v>191658</v>
      </c>
      <c r="I29" s="5"/>
      <c r="J29" s="674"/>
      <c r="K29" s="657"/>
      <c r="L29" s="657"/>
      <c r="M29" s="657"/>
      <c r="N29" s="657"/>
      <c r="O29" s="657"/>
      <c r="P29" s="658"/>
    </row>
    <row r="30" spans="2:16" x14ac:dyDescent="0.2">
      <c r="B30" s="8" t="s">
        <v>516</v>
      </c>
      <c r="C30" s="9"/>
      <c r="D30" s="9"/>
      <c r="E30" s="9"/>
      <c r="F30" s="10"/>
      <c r="G30" s="247"/>
      <c r="H30" s="7">
        <v>5968</v>
      </c>
      <c r="I30" s="5"/>
      <c r="J30" s="674"/>
      <c r="K30" s="657"/>
      <c r="L30" s="657"/>
      <c r="M30" s="657"/>
      <c r="N30" s="657"/>
      <c r="O30" s="657"/>
      <c r="P30" s="658"/>
    </row>
    <row r="31" spans="2:16" x14ac:dyDescent="0.2">
      <c r="B31" s="8" t="s">
        <v>517</v>
      </c>
      <c r="C31" s="9"/>
      <c r="D31" s="9"/>
      <c r="E31" s="9"/>
      <c r="F31" s="10"/>
      <c r="G31" s="12"/>
      <c r="H31" s="7"/>
      <c r="I31" s="5"/>
      <c r="J31" s="674"/>
      <c r="K31" s="657"/>
      <c r="L31" s="657"/>
      <c r="M31" s="657"/>
      <c r="N31" s="657"/>
      <c r="O31" s="657"/>
      <c r="P31" s="658"/>
    </row>
    <row r="32" spans="2:16" x14ac:dyDescent="0.2">
      <c r="B32" s="668" t="s">
        <v>236</v>
      </c>
      <c r="C32" s="669"/>
      <c r="D32" s="669"/>
      <c r="E32" s="669"/>
      <c r="F32" s="669"/>
      <c r="G32" s="670"/>
      <c r="H32" s="13">
        <v>185690</v>
      </c>
      <c r="I32" s="5"/>
      <c r="J32" s="674"/>
      <c r="K32" s="657"/>
      <c r="L32" s="657"/>
      <c r="M32" s="657"/>
      <c r="N32" s="657"/>
      <c r="O32" s="657"/>
      <c r="P32" s="658"/>
    </row>
    <row r="33" spans="2:16" x14ac:dyDescent="0.2">
      <c r="B33" s="668" t="s">
        <v>237</v>
      </c>
      <c r="C33" s="669"/>
      <c r="D33" s="669"/>
      <c r="E33" s="669"/>
      <c r="F33" s="669"/>
      <c r="G33" s="670"/>
      <c r="H33" s="14">
        <v>185690</v>
      </c>
      <c r="I33" s="5"/>
      <c r="J33" s="654" t="s">
        <v>245</v>
      </c>
      <c r="K33" s="655"/>
      <c r="L33" s="655"/>
      <c r="M33" s="655"/>
      <c r="N33" s="655"/>
      <c r="O33" s="655"/>
      <c r="P33" s="656"/>
    </row>
    <row r="34" spans="2:16" x14ac:dyDescent="0.2">
      <c r="B34" s="668" t="s">
        <v>238</v>
      </c>
      <c r="C34" s="669"/>
      <c r="D34" s="669"/>
      <c r="E34" s="669"/>
      <c r="F34" s="669"/>
      <c r="G34" s="670"/>
      <c r="H34" s="173">
        <f>+H32-H33</f>
        <v>0</v>
      </c>
      <c r="I34" s="5"/>
      <c r="J34" s="692" t="s">
        <v>522</v>
      </c>
      <c r="K34" s="693"/>
      <c r="L34" s="693"/>
      <c r="M34" s="693"/>
      <c r="N34" s="693"/>
      <c r="O34" s="693"/>
      <c r="P34" s="694"/>
    </row>
    <row r="35" spans="2:16" x14ac:dyDescent="0.2">
      <c r="B35" s="701" t="s">
        <v>239</v>
      </c>
      <c r="C35" s="702"/>
      <c r="D35" s="702"/>
      <c r="E35" s="702"/>
      <c r="F35" s="702"/>
      <c r="G35" s="703"/>
      <c r="H35" s="15"/>
      <c r="I35" s="5"/>
      <c r="J35" s="695"/>
      <c r="K35" s="696"/>
      <c r="L35" s="696"/>
      <c r="M35" s="696"/>
      <c r="N35" s="696"/>
      <c r="O35" s="696"/>
      <c r="P35" s="697"/>
    </row>
    <row r="36" spans="2:16" x14ac:dyDescent="0.2">
      <c r="B36" s="16"/>
      <c r="C36" s="5"/>
      <c r="D36" s="5"/>
      <c r="E36" s="5"/>
      <c r="F36" s="5"/>
      <c r="G36" s="17" t="s">
        <v>240</v>
      </c>
      <c r="H36" s="7">
        <f>H34</f>
        <v>0</v>
      </c>
      <c r="I36" s="5"/>
      <c r="J36" s="695"/>
      <c r="K36" s="696"/>
      <c r="L36" s="696"/>
      <c r="M36" s="696"/>
      <c r="N36" s="696"/>
      <c r="O36" s="696"/>
      <c r="P36" s="697"/>
    </row>
    <row r="37" spans="2:16" x14ac:dyDescent="0.2">
      <c r="B37" s="8"/>
      <c r="C37" s="9"/>
      <c r="D37" s="9"/>
      <c r="E37" s="9"/>
      <c r="F37" s="9"/>
      <c r="G37" s="12"/>
      <c r="H37" s="7"/>
      <c r="I37" s="5"/>
      <c r="J37" s="695"/>
      <c r="K37" s="696"/>
      <c r="L37" s="696"/>
      <c r="M37" s="696"/>
      <c r="N37" s="696"/>
      <c r="O37" s="696"/>
      <c r="P37" s="697"/>
    </row>
    <row r="38" spans="2:16" x14ac:dyDescent="0.2">
      <c r="B38" s="18"/>
      <c r="C38" s="19"/>
      <c r="D38" s="19"/>
      <c r="E38" s="19"/>
      <c r="F38" s="19"/>
      <c r="G38" s="11"/>
      <c r="H38" s="20"/>
      <c r="I38" s="5"/>
      <c r="J38" s="695"/>
      <c r="K38" s="696"/>
      <c r="L38" s="696"/>
      <c r="M38" s="696"/>
      <c r="N38" s="696"/>
      <c r="O38" s="696"/>
      <c r="P38" s="697"/>
    </row>
    <row r="39" spans="2:16" x14ac:dyDescent="0.2">
      <c r="B39" s="704" t="s">
        <v>241</v>
      </c>
      <c r="C39" s="704"/>
      <c r="D39" s="704"/>
      <c r="E39" s="704"/>
      <c r="F39" s="704"/>
      <c r="G39" s="704"/>
      <c r="H39" s="21" t="str">
        <f>IF((+H36+H38)=0,"TRUE","FALSE")</f>
        <v>TRUE</v>
      </c>
      <c r="I39" s="5"/>
      <c r="J39" s="695"/>
      <c r="K39" s="696"/>
      <c r="L39" s="696"/>
      <c r="M39" s="696"/>
      <c r="N39" s="696"/>
      <c r="O39" s="696"/>
      <c r="P39" s="697"/>
    </row>
    <row r="40" spans="2:16" x14ac:dyDescent="0.2">
      <c r="B40" s="675" t="s">
        <v>242</v>
      </c>
      <c r="C40" s="705" t="s">
        <v>521</v>
      </c>
      <c r="D40" s="706"/>
      <c r="E40" s="675" t="s">
        <v>243</v>
      </c>
      <c r="F40" s="671" t="s">
        <v>477</v>
      </c>
      <c r="G40" s="672"/>
      <c r="H40" s="673"/>
      <c r="I40" s="5"/>
      <c r="J40" s="695"/>
      <c r="K40" s="696"/>
      <c r="L40" s="696"/>
      <c r="M40" s="696"/>
      <c r="N40" s="696"/>
      <c r="O40" s="696"/>
      <c r="P40" s="697"/>
    </row>
    <row r="41" spans="2:16" x14ac:dyDescent="0.2">
      <c r="B41" s="676"/>
      <c r="C41" s="707"/>
      <c r="D41" s="708"/>
      <c r="E41" s="676"/>
      <c r="F41" s="677"/>
      <c r="G41" s="678"/>
      <c r="H41" s="679"/>
      <c r="I41" s="5"/>
      <c r="J41" s="698"/>
      <c r="K41" s="699"/>
      <c r="L41" s="699"/>
      <c r="M41" s="699"/>
      <c r="N41" s="699"/>
      <c r="O41" s="699"/>
      <c r="P41" s="700"/>
    </row>
    <row r="42" spans="2:16" x14ac:dyDescent="0.2">
      <c r="B42" s="675" t="s">
        <v>519</v>
      </c>
      <c r="C42" s="709"/>
      <c r="D42" s="680"/>
      <c r="E42" s="675" t="s">
        <v>244</v>
      </c>
      <c r="F42" s="671" t="s">
        <v>494</v>
      </c>
      <c r="G42" s="672"/>
      <c r="H42" s="673"/>
      <c r="I42" s="5"/>
      <c r="J42" s="5"/>
      <c r="K42" s="5"/>
      <c r="L42" s="5"/>
      <c r="M42" s="5"/>
      <c r="N42" s="5"/>
      <c r="O42" s="5"/>
      <c r="P42" s="5"/>
    </row>
    <row r="43" spans="2:16" x14ac:dyDescent="0.2">
      <c r="B43" s="676"/>
      <c r="C43" s="710"/>
      <c r="D43" s="681"/>
      <c r="E43" s="676"/>
      <c r="F43" s="677"/>
      <c r="G43" s="678"/>
      <c r="H43" s="679"/>
      <c r="I43" s="5"/>
      <c r="J43" s="5"/>
      <c r="K43" s="5"/>
      <c r="L43" s="5"/>
      <c r="M43" s="5"/>
      <c r="N43" s="5"/>
      <c r="O43" s="5"/>
      <c r="P43" s="5"/>
    </row>
    <row r="44" spans="2:16" x14ac:dyDescent="0.2">
      <c r="B44" s="155"/>
      <c r="C44" s="155"/>
      <c r="D44" s="155"/>
      <c r="E44" s="155"/>
      <c r="F44" s="174"/>
      <c r="G44" s="174"/>
      <c r="H44" s="174"/>
      <c r="I44" s="5"/>
      <c r="J44" s="5"/>
      <c r="K44" s="5"/>
      <c r="L44" s="5"/>
      <c r="M44" s="5"/>
      <c r="N44" s="5"/>
      <c r="O44" s="5"/>
      <c r="P44" s="5"/>
    </row>
    <row r="45" spans="2:16" ht="15.75" x14ac:dyDescent="0.25">
      <c r="B45" s="112" t="str">
        <f>+C48</f>
        <v>ANTICIPOS DE CLIENTES</v>
      </c>
      <c r="C45" s="110"/>
      <c r="D45" s="110"/>
      <c r="E45" s="110"/>
      <c r="F45" s="111"/>
      <c r="G45" s="110"/>
      <c r="H45" s="111"/>
      <c r="I45" s="110"/>
      <c r="J45" s="110"/>
      <c r="K45" s="110"/>
      <c r="L45" s="110"/>
      <c r="M45" s="110"/>
      <c r="N45" s="110"/>
      <c r="O45" s="110"/>
      <c r="P45" s="110"/>
    </row>
    <row r="46" spans="2:16" x14ac:dyDescent="0.2">
      <c r="B46" s="684" t="s">
        <v>233</v>
      </c>
      <c r="C46" s="685"/>
      <c r="D46" s="686"/>
      <c r="E46" s="687" t="s">
        <v>234</v>
      </c>
      <c r="F46" s="688"/>
      <c r="G46" s="689"/>
      <c r="H46" s="23" t="s">
        <v>235</v>
      </c>
      <c r="I46" s="5"/>
      <c r="J46" s="654" t="s">
        <v>246</v>
      </c>
      <c r="K46" s="655"/>
      <c r="L46" s="655"/>
      <c r="M46" s="655"/>
      <c r="N46" s="655"/>
      <c r="O46" s="655"/>
      <c r="P46" s="656"/>
    </row>
    <row r="47" spans="2:16" x14ac:dyDescent="0.2">
      <c r="B47" s="6" t="s">
        <v>230</v>
      </c>
      <c r="C47" s="657" t="str">
        <f>'I. Balanza'!B201</f>
        <v xml:space="preserve">2103 </v>
      </c>
      <c r="D47" s="658"/>
      <c r="E47" s="659" t="str">
        <f>+$C$3</f>
        <v>A Diciembre 2024</v>
      </c>
      <c r="F47" s="660"/>
      <c r="G47" s="661"/>
      <c r="H47" s="663" t="s">
        <v>229</v>
      </c>
      <c r="I47" s="5"/>
      <c r="J47" s="671"/>
      <c r="K47" s="672"/>
      <c r="L47" s="672"/>
      <c r="M47" s="672"/>
      <c r="N47" s="672"/>
      <c r="O47" s="672"/>
      <c r="P47" s="673"/>
    </row>
    <row r="48" spans="2:16" x14ac:dyDescent="0.2">
      <c r="B48" s="6" t="s">
        <v>231</v>
      </c>
      <c r="C48" s="657" t="str">
        <f>'I. Balanza'!D201</f>
        <v>ANTICIPOS DE CLIENTES</v>
      </c>
      <c r="D48" s="658"/>
      <c r="E48" s="662"/>
      <c r="F48" s="660"/>
      <c r="G48" s="661"/>
      <c r="H48" s="663"/>
      <c r="I48" s="5"/>
      <c r="J48" s="674"/>
      <c r="K48" s="657"/>
      <c r="L48" s="657"/>
      <c r="M48" s="657"/>
      <c r="N48" s="657"/>
      <c r="O48" s="657"/>
      <c r="P48" s="658"/>
    </row>
    <row r="49" spans="2:16" x14ac:dyDescent="0.2">
      <c r="B49" s="667" t="s">
        <v>232</v>
      </c>
      <c r="C49" s="667"/>
      <c r="D49" s="667"/>
      <c r="E49" s="667"/>
      <c r="F49" s="667"/>
      <c r="G49" s="667"/>
      <c r="H49" s="7">
        <f>'I. Balanza'!P201</f>
        <v>-852198.99999999988</v>
      </c>
      <c r="I49" s="5"/>
      <c r="J49" s="674"/>
      <c r="K49" s="657"/>
      <c r="L49" s="657"/>
      <c r="M49" s="657"/>
      <c r="N49" s="657"/>
      <c r="O49" s="657"/>
      <c r="P49" s="658"/>
    </row>
    <row r="50" spans="2:16" x14ac:dyDescent="0.2">
      <c r="B50" s="8" t="s">
        <v>524</v>
      </c>
      <c r="C50" s="9"/>
      <c r="D50" s="9"/>
      <c r="E50" s="9"/>
      <c r="F50" s="10"/>
      <c r="G50" s="11"/>
      <c r="H50" s="7">
        <v>-15462.889999995357</v>
      </c>
      <c r="I50" s="5"/>
      <c r="J50" s="674"/>
      <c r="K50" s="657"/>
      <c r="L50" s="657"/>
      <c r="M50" s="657"/>
      <c r="N50" s="657"/>
      <c r="O50" s="657"/>
      <c r="P50" s="658"/>
    </row>
    <row r="51" spans="2:16" x14ac:dyDescent="0.2">
      <c r="B51" s="8" t="s">
        <v>523</v>
      </c>
      <c r="C51" s="9"/>
      <c r="D51" s="9"/>
      <c r="E51" s="9"/>
      <c r="F51" s="10"/>
      <c r="G51" s="12"/>
      <c r="H51" s="7"/>
      <c r="I51" s="5"/>
      <c r="J51" s="674"/>
      <c r="K51" s="657"/>
      <c r="L51" s="657"/>
      <c r="M51" s="657"/>
      <c r="N51" s="657"/>
      <c r="O51" s="657"/>
      <c r="P51" s="658"/>
    </row>
    <row r="52" spans="2:16" x14ac:dyDescent="0.2">
      <c r="B52" s="668" t="s">
        <v>236</v>
      </c>
      <c r="C52" s="669"/>
      <c r="D52" s="669"/>
      <c r="E52" s="669"/>
      <c r="F52" s="669"/>
      <c r="G52" s="670"/>
      <c r="H52" s="13">
        <f>H49+H51-H50</f>
        <v>-836736.11000000453</v>
      </c>
      <c r="I52" s="5"/>
      <c r="J52" s="674"/>
      <c r="K52" s="657"/>
      <c r="L52" s="657"/>
      <c r="M52" s="657"/>
      <c r="N52" s="657"/>
      <c r="O52" s="657"/>
      <c r="P52" s="658"/>
    </row>
    <row r="53" spans="2:16" x14ac:dyDescent="0.2">
      <c r="B53" s="668" t="s">
        <v>237</v>
      </c>
      <c r="C53" s="669"/>
      <c r="D53" s="669"/>
      <c r="E53" s="669"/>
      <c r="F53" s="669"/>
      <c r="G53" s="670"/>
      <c r="H53" s="14">
        <f>'I. Balanza'!Q201</f>
        <v>-836736.11000000453</v>
      </c>
      <c r="I53" s="5"/>
      <c r="J53" s="654" t="s">
        <v>245</v>
      </c>
      <c r="K53" s="655"/>
      <c r="L53" s="655"/>
      <c r="M53" s="655"/>
      <c r="N53" s="655"/>
      <c r="O53" s="655"/>
      <c r="P53" s="656"/>
    </row>
    <row r="54" spans="2:16" x14ac:dyDescent="0.2">
      <c r="B54" s="668" t="s">
        <v>238</v>
      </c>
      <c r="C54" s="669"/>
      <c r="D54" s="669"/>
      <c r="E54" s="669"/>
      <c r="F54" s="669"/>
      <c r="G54" s="670"/>
      <c r="H54" s="173">
        <f>+H52-H53</f>
        <v>0</v>
      </c>
      <c r="I54" s="5"/>
      <c r="J54" s="692" t="s">
        <v>533</v>
      </c>
      <c r="K54" s="693"/>
      <c r="L54" s="693"/>
      <c r="M54" s="693"/>
      <c r="N54" s="693"/>
      <c r="O54" s="693"/>
      <c r="P54" s="694"/>
    </row>
    <row r="55" spans="2:16" x14ac:dyDescent="0.2">
      <c r="B55" s="701" t="s">
        <v>239</v>
      </c>
      <c r="C55" s="702"/>
      <c r="D55" s="702"/>
      <c r="E55" s="702"/>
      <c r="F55" s="702"/>
      <c r="G55" s="703"/>
      <c r="H55" s="15"/>
      <c r="I55" s="5"/>
      <c r="J55" s="695"/>
      <c r="K55" s="696"/>
      <c r="L55" s="696"/>
      <c r="M55" s="696"/>
      <c r="N55" s="696"/>
      <c r="O55" s="696"/>
      <c r="P55" s="697"/>
    </row>
    <row r="56" spans="2:16" x14ac:dyDescent="0.2">
      <c r="B56" s="16"/>
      <c r="C56" s="5"/>
      <c r="D56" s="5"/>
      <c r="E56" s="5"/>
      <c r="F56" s="5"/>
      <c r="G56" s="17" t="s">
        <v>240</v>
      </c>
      <c r="H56" s="7">
        <f>H54</f>
        <v>0</v>
      </c>
      <c r="I56" s="5"/>
      <c r="J56" s="695"/>
      <c r="K56" s="696"/>
      <c r="L56" s="696"/>
      <c r="M56" s="696"/>
      <c r="N56" s="696"/>
      <c r="O56" s="696"/>
      <c r="P56" s="697"/>
    </row>
    <row r="57" spans="2:16" x14ac:dyDescent="0.2">
      <c r="B57" s="8"/>
      <c r="C57" s="9"/>
      <c r="D57" s="9"/>
      <c r="E57" s="9"/>
      <c r="F57" s="9"/>
      <c r="G57" s="12"/>
      <c r="H57" s="7"/>
      <c r="I57" s="5"/>
      <c r="J57" s="695"/>
      <c r="K57" s="696"/>
      <c r="L57" s="696"/>
      <c r="M57" s="696"/>
      <c r="N57" s="696"/>
      <c r="O57" s="696"/>
      <c r="P57" s="697"/>
    </row>
    <row r="58" spans="2:16" x14ac:dyDescent="0.2">
      <c r="B58" s="18"/>
      <c r="C58" s="19"/>
      <c r="D58" s="19"/>
      <c r="E58" s="19"/>
      <c r="F58" s="19"/>
      <c r="G58" s="11"/>
      <c r="H58" s="20"/>
      <c r="I58" s="5"/>
      <c r="J58" s="695"/>
      <c r="K58" s="696"/>
      <c r="L58" s="696"/>
      <c r="M58" s="696"/>
      <c r="N58" s="696"/>
      <c r="O58" s="696"/>
      <c r="P58" s="697"/>
    </row>
    <row r="59" spans="2:16" x14ac:dyDescent="0.2">
      <c r="B59" s="704" t="s">
        <v>241</v>
      </c>
      <c r="C59" s="704"/>
      <c r="D59" s="704"/>
      <c r="E59" s="704"/>
      <c r="F59" s="704"/>
      <c r="G59" s="704"/>
      <c r="H59" s="21" t="str">
        <f>IF((+H56+H58)=0,"TRUE","FALSE")</f>
        <v>TRUE</v>
      </c>
      <c r="I59" s="5"/>
      <c r="J59" s="695"/>
      <c r="K59" s="696"/>
      <c r="L59" s="696"/>
      <c r="M59" s="696"/>
      <c r="N59" s="696"/>
      <c r="O59" s="696"/>
      <c r="P59" s="697"/>
    </row>
    <row r="60" spans="2:16" x14ac:dyDescent="0.2">
      <c r="B60" s="675" t="s">
        <v>242</v>
      </c>
      <c r="C60" s="705" t="s">
        <v>518</v>
      </c>
      <c r="D60" s="706"/>
      <c r="E60" s="675" t="s">
        <v>243</v>
      </c>
      <c r="F60" s="671" t="s">
        <v>477</v>
      </c>
      <c r="G60" s="672"/>
      <c r="H60" s="673"/>
      <c r="I60" s="5"/>
      <c r="J60" s="695"/>
      <c r="K60" s="696"/>
      <c r="L60" s="696"/>
      <c r="M60" s="696"/>
      <c r="N60" s="696"/>
      <c r="O60" s="696"/>
      <c r="P60" s="697"/>
    </row>
    <row r="61" spans="2:16" x14ac:dyDescent="0.2">
      <c r="B61" s="676"/>
      <c r="C61" s="707"/>
      <c r="D61" s="708"/>
      <c r="E61" s="676"/>
      <c r="F61" s="677"/>
      <c r="G61" s="678"/>
      <c r="H61" s="679"/>
      <c r="I61" s="5"/>
      <c r="J61" s="698"/>
      <c r="K61" s="699"/>
      <c r="L61" s="699"/>
      <c r="M61" s="699"/>
      <c r="N61" s="699"/>
      <c r="O61" s="699"/>
      <c r="P61" s="700"/>
    </row>
    <row r="62" spans="2:16" x14ac:dyDescent="0.2">
      <c r="B62" s="675" t="s">
        <v>519</v>
      </c>
      <c r="C62" s="709"/>
      <c r="D62" s="680"/>
      <c r="E62" s="675" t="s">
        <v>244</v>
      </c>
      <c r="F62" s="671" t="s">
        <v>494</v>
      </c>
      <c r="G62" s="672"/>
      <c r="H62" s="673"/>
      <c r="I62" s="5"/>
      <c r="J62" s="5"/>
      <c r="K62" s="5"/>
      <c r="L62" s="5"/>
      <c r="M62" s="5"/>
      <c r="N62" s="5"/>
      <c r="O62" s="5"/>
      <c r="P62" s="5"/>
    </row>
    <row r="63" spans="2:16" x14ac:dyDescent="0.2">
      <c r="B63" s="676"/>
      <c r="C63" s="710"/>
      <c r="D63" s="681"/>
      <c r="E63" s="676"/>
      <c r="F63" s="677"/>
      <c r="G63" s="678"/>
      <c r="H63" s="679"/>
      <c r="I63" s="5"/>
      <c r="J63" s="5"/>
      <c r="K63" s="5"/>
      <c r="L63" s="5"/>
      <c r="M63" s="5"/>
      <c r="N63" s="5"/>
      <c r="O63" s="5"/>
      <c r="P63" s="5"/>
    </row>
    <row r="64" spans="2:16" x14ac:dyDescent="0.2">
      <c r="B64" s="155"/>
      <c r="C64" s="155"/>
      <c r="D64" s="155"/>
      <c r="E64" s="155"/>
      <c r="F64" s="174"/>
      <c r="G64" s="174"/>
      <c r="H64" s="174"/>
      <c r="I64" s="5"/>
      <c r="J64" s="5"/>
      <c r="K64" s="5"/>
      <c r="L64" s="5"/>
      <c r="M64" s="5"/>
      <c r="N64" s="5"/>
      <c r="O64" s="5"/>
      <c r="P64" s="5"/>
    </row>
    <row r="65" spans="2:16" ht="15.75" x14ac:dyDescent="0.25">
      <c r="B65" s="112" t="str">
        <f>+C68</f>
        <v>NOMINA Y PRESTACIONES POR PAGAR</v>
      </c>
      <c r="C65" s="110"/>
      <c r="D65" s="110"/>
      <c r="E65" s="110"/>
      <c r="F65" s="111"/>
      <c r="G65" s="110"/>
      <c r="H65" s="111"/>
      <c r="I65" s="110"/>
      <c r="J65" s="110"/>
      <c r="K65" s="110"/>
      <c r="L65" s="110"/>
      <c r="M65" s="110"/>
      <c r="N65" s="110"/>
      <c r="O65" s="110"/>
      <c r="P65" s="110"/>
    </row>
    <row r="66" spans="2:16" x14ac:dyDescent="0.2">
      <c r="B66" s="684" t="s">
        <v>233</v>
      </c>
      <c r="C66" s="685"/>
      <c r="D66" s="686"/>
      <c r="E66" s="687" t="s">
        <v>234</v>
      </c>
      <c r="F66" s="688"/>
      <c r="G66" s="689"/>
      <c r="H66" s="23" t="s">
        <v>235</v>
      </c>
      <c r="I66" s="5"/>
      <c r="J66" s="654" t="s">
        <v>246</v>
      </c>
      <c r="K66" s="655"/>
      <c r="L66" s="655"/>
      <c r="M66" s="655"/>
      <c r="N66" s="655"/>
      <c r="O66" s="655"/>
      <c r="P66" s="656"/>
    </row>
    <row r="67" spans="2:16" x14ac:dyDescent="0.2">
      <c r="B67" s="6" t="s">
        <v>230</v>
      </c>
      <c r="C67" s="657" t="str">
        <f>'I. Balanza'!B208</f>
        <v xml:space="preserve">2101 </v>
      </c>
      <c r="D67" s="658"/>
      <c r="E67" s="659" t="str">
        <f>+$C$3</f>
        <v>A Diciembre 2024</v>
      </c>
      <c r="F67" s="660"/>
      <c r="G67" s="661"/>
      <c r="H67" s="663" t="s">
        <v>229</v>
      </c>
      <c r="I67" s="5"/>
      <c r="J67" s="728"/>
      <c r="K67" s="665"/>
      <c r="L67" s="665"/>
      <c r="M67" s="665"/>
      <c r="N67" s="665"/>
      <c r="O67" s="665"/>
      <c r="P67" s="666"/>
    </row>
    <row r="68" spans="2:16" x14ac:dyDescent="0.2">
      <c r="B68" s="6" t="s">
        <v>231</v>
      </c>
      <c r="C68" s="657" t="str">
        <f>'I. Balanza'!D208</f>
        <v>NOMINA Y PRESTACIONES POR PAGAR</v>
      </c>
      <c r="D68" s="658"/>
      <c r="E68" s="662"/>
      <c r="F68" s="660"/>
      <c r="G68" s="661"/>
      <c r="H68" s="663"/>
      <c r="I68" s="5"/>
      <c r="J68" s="662"/>
      <c r="K68" s="660"/>
      <c r="L68" s="660"/>
      <c r="M68" s="660"/>
      <c r="N68" s="660"/>
      <c r="O68" s="660"/>
      <c r="P68" s="661"/>
    </row>
    <row r="69" spans="2:16" x14ac:dyDescent="0.2">
      <c r="B69" s="667" t="s">
        <v>232</v>
      </c>
      <c r="C69" s="667"/>
      <c r="D69" s="667"/>
      <c r="E69" s="667"/>
      <c r="F69" s="667"/>
      <c r="G69" s="667"/>
      <c r="H69" s="7">
        <f>'I. Balanza'!P208</f>
        <v>-5327135.5200000005</v>
      </c>
      <c r="I69" s="5"/>
      <c r="J69" s="662"/>
      <c r="K69" s="660"/>
      <c r="L69" s="660"/>
      <c r="M69" s="660"/>
      <c r="N69" s="660"/>
      <c r="O69" s="660"/>
      <c r="P69" s="661"/>
    </row>
    <row r="70" spans="2:16" x14ac:dyDescent="0.2">
      <c r="B70" s="8"/>
      <c r="C70" s="9"/>
      <c r="D70" s="9"/>
      <c r="E70" s="9"/>
      <c r="F70" s="10"/>
      <c r="G70" s="11"/>
      <c r="H70" s="7">
        <v>-6790705.5199999996</v>
      </c>
      <c r="I70" s="5"/>
      <c r="J70" s="662"/>
      <c r="K70" s="660"/>
      <c r="L70" s="660"/>
      <c r="M70" s="660"/>
      <c r="N70" s="660"/>
      <c r="O70" s="660"/>
      <c r="P70" s="661"/>
    </row>
    <row r="71" spans="2:16" x14ac:dyDescent="0.2">
      <c r="B71" s="8"/>
      <c r="C71" s="9"/>
      <c r="D71" s="9"/>
      <c r="E71" s="9"/>
      <c r="F71" s="10"/>
      <c r="G71" s="12"/>
      <c r="H71" s="7">
        <v>1463570</v>
      </c>
      <c r="I71" s="5"/>
      <c r="J71" s="662"/>
      <c r="K71" s="660"/>
      <c r="L71" s="660"/>
      <c r="M71" s="660"/>
      <c r="N71" s="660"/>
      <c r="O71" s="660"/>
      <c r="P71" s="661"/>
    </row>
    <row r="72" spans="2:16" x14ac:dyDescent="0.2">
      <c r="B72" s="668" t="s">
        <v>236</v>
      </c>
      <c r="C72" s="669"/>
      <c r="D72" s="669"/>
      <c r="E72" s="669"/>
      <c r="F72" s="669"/>
      <c r="G72" s="670"/>
      <c r="H72" s="13">
        <f>+H69-H70-H71</f>
        <v>0</v>
      </c>
      <c r="I72" s="5"/>
      <c r="J72" s="662"/>
      <c r="K72" s="660"/>
      <c r="L72" s="660"/>
      <c r="M72" s="660"/>
      <c r="N72" s="660"/>
      <c r="O72" s="660"/>
      <c r="P72" s="661"/>
    </row>
    <row r="73" spans="2:16" x14ac:dyDescent="0.2">
      <c r="B73" s="668" t="s">
        <v>237</v>
      </c>
      <c r="C73" s="669"/>
      <c r="D73" s="669"/>
      <c r="E73" s="669"/>
      <c r="F73" s="669"/>
      <c r="G73" s="670"/>
      <c r="H73" s="14">
        <f>'I. Balanza'!Q208</f>
        <v>0</v>
      </c>
      <c r="I73" s="5"/>
      <c r="J73" s="654" t="s">
        <v>245</v>
      </c>
      <c r="K73" s="655"/>
      <c r="L73" s="655"/>
      <c r="M73" s="655"/>
      <c r="N73" s="655"/>
      <c r="O73" s="655"/>
      <c r="P73" s="656"/>
    </row>
    <row r="74" spans="2:16" x14ac:dyDescent="0.2">
      <c r="B74" s="668" t="s">
        <v>238</v>
      </c>
      <c r="C74" s="669"/>
      <c r="D74" s="669"/>
      <c r="E74" s="669"/>
      <c r="F74" s="669"/>
      <c r="G74" s="670"/>
      <c r="H74" s="13">
        <f>+H72-H73</f>
        <v>0</v>
      </c>
      <c r="I74" s="5"/>
      <c r="J74" s="692" t="s">
        <v>659</v>
      </c>
      <c r="K74" s="693"/>
      <c r="L74" s="693"/>
      <c r="M74" s="693"/>
      <c r="N74" s="693"/>
      <c r="O74" s="693"/>
      <c r="P74" s="694"/>
    </row>
    <row r="75" spans="2:16" x14ac:dyDescent="0.2">
      <c r="B75" s="701" t="s">
        <v>239</v>
      </c>
      <c r="C75" s="702"/>
      <c r="D75" s="702"/>
      <c r="E75" s="702"/>
      <c r="F75" s="702"/>
      <c r="G75" s="703"/>
      <c r="H75" s="15"/>
      <c r="I75" s="5"/>
      <c r="J75" s="695"/>
      <c r="K75" s="696"/>
      <c r="L75" s="696"/>
      <c r="M75" s="696"/>
      <c r="N75" s="696"/>
      <c r="O75" s="696"/>
      <c r="P75" s="697"/>
    </row>
    <row r="76" spans="2:16" x14ac:dyDescent="0.2">
      <c r="B76" s="16"/>
      <c r="C76" s="5"/>
      <c r="D76" s="5"/>
      <c r="E76" s="5"/>
      <c r="F76" s="5"/>
      <c r="G76" s="17" t="s">
        <v>240</v>
      </c>
      <c r="H76" s="7">
        <f>H74</f>
        <v>0</v>
      </c>
      <c r="I76" s="5"/>
      <c r="J76" s="695"/>
      <c r="K76" s="696"/>
      <c r="L76" s="696"/>
      <c r="M76" s="696"/>
      <c r="N76" s="696"/>
      <c r="O76" s="696"/>
      <c r="P76" s="697"/>
    </row>
    <row r="77" spans="2:16" x14ac:dyDescent="0.2">
      <c r="B77" s="8"/>
      <c r="C77" s="9"/>
      <c r="D77" s="9"/>
      <c r="E77" s="9"/>
      <c r="F77" s="9"/>
      <c r="G77" s="12"/>
      <c r="H77" s="7"/>
      <c r="I77" s="5"/>
      <c r="J77" s="695"/>
      <c r="K77" s="696"/>
      <c r="L77" s="696"/>
      <c r="M77" s="696"/>
      <c r="N77" s="696"/>
      <c r="O77" s="696"/>
      <c r="P77" s="697"/>
    </row>
    <row r="78" spans="2:16" x14ac:dyDescent="0.2">
      <c r="B78" s="18"/>
      <c r="C78" s="19"/>
      <c r="D78" s="19"/>
      <c r="E78" s="19"/>
      <c r="F78" s="19"/>
      <c r="G78" s="11"/>
      <c r="H78" s="20"/>
      <c r="I78" s="5"/>
      <c r="J78" s="695"/>
      <c r="K78" s="696"/>
      <c r="L78" s="696"/>
      <c r="M78" s="696"/>
      <c r="N78" s="696"/>
      <c r="O78" s="696"/>
      <c r="P78" s="697"/>
    </row>
    <row r="79" spans="2:16" x14ac:dyDescent="0.2">
      <c r="B79" s="704" t="s">
        <v>241</v>
      </c>
      <c r="C79" s="704"/>
      <c r="D79" s="704"/>
      <c r="E79" s="704"/>
      <c r="F79" s="704"/>
      <c r="G79" s="704"/>
      <c r="H79" s="21" t="str">
        <f>IF((+H76+H78)=0,"TRUE","FALSE")</f>
        <v>TRUE</v>
      </c>
      <c r="I79" s="5"/>
      <c r="J79" s="695"/>
      <c r="K79" s="696"/>
      <c r="L79" s="696"/>
      <c r="M79" s="696"/>
      <c r="N79" s="696"/>
      <c r="O79" s="696"/>
      <c r="P79" s="697"/>
    </row>
    <row r="80" spans="2:16" x14ac:dyDescent="0.2">
      <c r="B80" s="675" t="s">
        <v>242</v>
      </c>
      <c r="C80" s="705" t="s">
        <v>525</v>
      </c>
      <c r="D80" s="706"/>
      <c r="E80" s="675" t="s">
        <v>243</v>
      </c>
      <c r="F80" s="671" t="s">
        <v>477</v>
      </c>
      <c r="G80" s="672"/>
      <c r="H80" s="673"/>
      <c r="I80" s="5"/>
      <c r="J80" s="695"/>
      <c r="K80" s="696"/>
      <c r="L80" s="696"/>
      <c r="M80" s="696"/>
      <c r="N80" s="696"/>
      <c r="O80" s="696"/>
      <c r="P80" s="697"/>
    </row>
    <row r="81" spans="2:16" x14ac:dyDescent="0.2">
      <c r="B81" s="676"/>
      <c r="C81" s="707"/>
      <c r="D81" s="708"/>
      <c r="E81" s="676"/>
      <c r="F81" s="677"/>
      <c r="G81" s="678"/>
      <c r="H81" s="679"/>
      <c r="I81" s="5"/>
      <c r="J81" s="698"/>
      <c r="K81" s="699"/>
      <c r="L81" s="699"/>
      <c r="M81" s="699"/>
      <c r="N81" s="699"/>
      <c r="O81" s="699"/>
      <c r="P81" s="700"/>
    </row>
    <row r="82" spans="2:16" x14ac:dyDescent="0.2">
      <c r="B82" s="675" t="s">
        <v>519</v>
      </c>
      <c r="C82" s="709"/>
      <c r="D82" s="680"/>
      <c r="E82" s="675" t="s">
        <v>244</v>
      </c>
      <c r="F82" s="671" t="s">
        <v>494</v>
      </c>
      <c r="G82" s="672"/>
      <c r="H82" s="673"/>
      <c r="I82" s="5"/>
      <c r="J82" s="5"/>
      <c r="K82" s="5"/>
      <c r="L82" s="5"/>
      <c r="M82" s="5"/>
      <c r="N82" s="5"/>
      <c r="O82" s="5"/>
      <c r="P82" s="5"/>
    </row>
    <row r="83" spans="2:16" x14ac:dyDescent="0.2">
      <c r="B83" s="676"/>
      <c r="C83" s="710"/>
      <c r="D83" s="681"/>
      <c r="E83" s="676"/>
      <c r="F83" s="677"/>
      <c r="G83" s="678"/>
      <c r="H83" s="679"/>
      <c r="I83" s="5"/>
      <c r="J83" s="5"/>
      <c r="K83" s="5"/>
      <c r="L83" s="5"/>
      <c r="M83" s="5"/>
      <c r="N83" s="5"/>
      <c r="O83" s="5"/>
      <c r="P83" s="5"/>
    </row>
    <row r="85" spans="2:16" ht="15.75" x14ac:dyDescent="0.25">
      <c r="B85" s="112" t="str">
        <f>+C88</f>
        <v>CONTRIBUCIONES Y RETENCIONES POR PAGAR</v>
      </c>
      <c r="C85" s="110"/>
      <c r="D85" s="110"/>
      <c r="E85" s="110"/>
      <c r="F85" s="111"/>
      <c r="G85" s="110"/>
      <c r="H85" s="111"/>
      <c r="I85" s="110"/>
      <c r="J85" s="110"/>
      <c r="K85" s="110"/>
      <c r="L85" s="110"/>
      <c r="M85" s="110"/>
      <c r="N85" s="110"/>
      <c r="O85" s="110"/>
      <c r="P85" s="110"/>
    </row>
    <row r="86" spans="2:16" x14ac:dyDescent="0.2">
      <c r="B86" s="684" t="s">
        <v>233</v>
      </c>
      <c r="C86" s="685"/>
      <c r="D86" s="686"/>
      <c r="E86" s="687" t="s">
        <v>234</v>
      </c>
      <c r="F86" s="688"/>
      <c r="G86" s="689"/>
      <c r="H86" s="23" t="s">
        <v>235</v>
      </c>
      <c r="I86" s="5"/>
      <c r="J86" s="654" t="s">
        <v>246</v>
      </c>
      <c r="K86" s="655"/>
      <c r="L86" s="655"/>
      <c r="M86" s="655"/>
      <c r="N86" s="655"/>
      <c r="O86" s="655"/>
      <c r="P86" s="656"/>
    </row>
    <row r="87" spans="2:16" x14ac:dyDescent="0.2">
      <c r="B87" s="6" t="s">
        <v>230</v>
      </c>
      <c r="C87" s="657">
        <f>'I. Balanza'!B223</f>
        <v>2105</v>
      </c>
      <c r="D87" s="658"/>
      <c r="E87" s="659" t="str">
        <f>+$C$3</f>
        <v>A Diciembre 2024</v>
      </c>
      <c r="F87" s="660"/>
      <c r="G87" s="661"/>
      <c r="H87" s="663" t="s">
        <v>229</v>
      </c>
      <c r="I87" s="5"/>
      <c r="J87" s="671"/>
      <c r="K87" s="672"/>
      <c r="L87" s="672"/>
      <c r="M87" s="672"/>
      <c r="N87" s="672"/>
      <c r="O87" s="672"/>
      <c r="P87" s="673"/>
    </row>
    <row r="88" spans="2:16" x14ac:dyDescent="0.2">
      <c r="B88" s="6" t="s">
        <v>231</v>
      </c>
      <c r="C88" s="657" t="str">
        <f>'I. Balanza'!D223</f>
        <v>CONTRIBUCIONES Y RETENCIONES POR PAGAR</v>
      </c>
      <c r="D88" s="658"/>
      <c r="E88" s="662"/>
      <c r="F88" s="660"/>
      <c r="G88" s="661"/>
      <c r="H88" s="663"/>
      <c r="I88" s="5"/>
      <c r="J88" s="674"/>
      <c r="K88" s="657"/>
      <c r="L88" s="657"/>
      <c r="M88" s="657"/>
      <c r="N88" s="657"/>
      <c r="O88" s="657"/>
      <c r="P88" s="658"/>
    </row>
    <row r="89" spans="2:16" x14ac:dyDescent="0.2">
      <c r="B89" s="667" t="s">
        <v>232</v>
      </c>
      <c r="C89" s="667"/>
      <c r="D89" s="667"/>
      <c r="E89" s="667"/>
      <c r="F89" s="667"/>
      <c r="G89" s="667"/>
      <c r="H89" s="7">
        <f>'I. Balanza'!P223</f>
        <v>-798633.05999999994</v>
      </c>
      <c r="I89" s="5"/>
      <c r="J89" s="674"/>
      <c r="K89" s="657"/>
      <c r="L89" s="657"/>
      <c r="M89" s="657"/>
      <c r="N89" s="657"/>
      <c r="O89" s="657"/>
      <c r="P89" s="658"/>
    </row>
    <row r="90" spans="2:16" x14ac:dyDescent="0.2">
      <c r="B90" s="8"/>
      <c r="C90" s="9"/>
      <c r="D90" s="9"/>
      <c r="E90" s="9"/>
      <c r="F90" s="10"/>
      <c r="G90" s="11"/>
      <c r="H90" s="7">
        <v>2131448.7999999998</v>
      </c>
      <c r="I90" s="5"/>
      <c r="J90" s="674"/>
      <c r="K90" s="657"/>
      <c r="L90" s="657"/>
      <c r="M90" s="657"/>
      <c r="N90" s="657"/>
      <c r="O90" s="657"/>
      <c r="P90" s="658"/>
    </row>
    <row r="91" spans="2:16" x14ac:dyDescent="0.2">
      <c r="B91" s="8"/>
      <c r="C91" s="9"/>
      <c r="D91" s="9"/>
      <c r="E91" s="9"/>
      <c r="F91" s="10"/>
      <c r="G91" s="12"/>
      <c r="H91" s="7"/>
      <c r="I91" s="5"/>
      <c r="J91" s="674"/>
      <c r="K91" s="657"/>
      <c r="L91" s="657"/>
      <c r="M91" s="657"/>
      <c r="N91" s="657"/>
      <c r="O91" s="657"/>
      <c r="P91" s="658"/>
    </row>
    <row r="92" spans="2:16" x14ac:dyDescent="0.2">
      <c r="B92" s="668" t="s">
        <v>236</v>
      </c>
      <c r="C92" s="669"/>
      <c r="D92" s="669"/>
      <c r="E92" s="669"/>
      <c r="F92" s="669"/>
      <c r="G92" s="670"/>
      <c r="H92" s="13">
        <f>-H89+H91-H90</f>
        <v>-1332815.7399999998</v>
      </c>
      <c r="I92" s="5"/>
      <c r="J92" s="674"/>
      <c r="K92" s="657"/>
      <c r="L92" s="657"/>
      <c r="M92" s="657"/>
      <c r="N92" s="657"/>
      <c r="O92" s="657"/>
      <c r="P92" s="658"/>
    </row>
    <row r="93" spans="2:16" x14ac:dyDescent="0.2">
      <c r="B93" s="668" t="s">
        <v>237</v>
      </c>
      <c r="C93" s="669"/>
      <c r="D93" s="669"/>
      <c r="E93" s="669"/>
      <c r="F93" s="669"/>
      <c r="G93" s="670"/>
      <c r="H93" s="14">
        <f>'I. Balanza'!Q223</f>
        <v>-1332815.74</v>
      </c>
      <c r="I93" s="5"/>
      <c r="J93" s="654" t="s">
        <v>245</v>
      </c>
      <c r="K93" s="655"/>
      <c r="L93" s="655"/>
      <c r="M93" s="655"/>
      <c r="N93" s="655"/>
      <c r="O93" s="655"/>
      <c r="P93" s="656"/>
    </row>
    <row r="94" spans="2:16" x14ac:dyDescent="0.2">
      <c r="B94" s="668" t="s">
        <v>238</v>
      </c>
      <c r="C94" s="669"/>
      <c r="D94" s="669"/>
      <c r="E94" s="669"/>
      <c r="F94" s="669"/>
      <c r="G94" s="670"/>
      <c r="H94" s="13">
        <f>+H92-H93</f>
        <v>0</v>
      </c>
      <c r="I94" s="5"/>
      <c r="J94" s="692" t="s">
        <v>527</v>
      </c>
      <c r="K94" s="693"/>
      <c r="L94" s="693"/>
      <c r="M94" s="693"/>
      <c r="N94" s="693"/>
      <c r="O94" s="693"/>
      <c r="P94" s="694"/>
    </row>
    <row r="95" spans="2:16" x14ac:dyDescent="0.2">
      <c r="B95" s="701" t="s">
        <v>239</v>
      </c>
      <c r="C95" s="702"/>
      <c r="D95" s="702"/>
      <c r="E95" s="702"/>
      <c r="F95" s="702"/>
      <c r="G95" s="703"/>
      <c r="H95" s="15"/>
      <c r="I95" s="5"/>
      <c r="J95" s="695"/>
      <c r="K95" s="696"/>
      <c r="L95" s="696"/>
      <c r="M95" s="696"/>
      <c r="N95" s="696"/>
      <c r="O95" s="696"/>
      <c r="P95" s="697"/>
    </row>
    <row r="96" spans="2:16" x14ac:dyDescent="0.2">
      <c r="B96" s="16"/>
      <c r="C96" s="5"/>
      <c r="D96" s="5"/>
      <c r="E96" s="5"/>
      <c r="F96" s="5"/>
      <c r="G96" s="17" t="s">
        <v>240</v>
      </c>
      <c r="H96" s="7">
        <f>H94</f>
        <v>0</v>
      </c>
      <c r="I96" s="5"/>
      <c r="J96" s="695"/>
      <c r="K96" s="696"/>
      <c r="L96" s="696"/>
      <c r="M96" s="696"/>
      <c r="N96" s="696"/>
      <c r="O96" s="696"/>
      <c r="P96" s="697"/>
    </row>
    <row r="97" spans="2:16" x14ac:dyDescent="0.2">
      <c r="B97" s="8"/>
      <c r="C97" s="9"/>
      <c r="D97" s="9"/>
      <c r="E97" s="9"/>
      <c r="F97" s="9"/>
      <c r="G97" s="12"/>
      <c r="H97" s="7"/>
      <c r="I97" s="5"/>
      <c r="J97" s="695"/>
      <c r="K97" s="696"/>
      <c r="L97" s="696"/>
      <c r="M97" s="696"/>
      <c r="N97" s="696"/>
      <c r="O97" s="696"/>
      <c r="P97" s="697"/>
    </row>
    <row r="98" spans="2:16" x14ac:dyDescent="0.2">
      <c r="B98" s="18"/>
      <c r="C98" s="19"/>
      <c r="D98" s="19"/>
      <c r="E98" s="19"/>
      <c r="F98" s="19"/>
      <c r="G98" s="11"/>
      <c r="H98" s="20"/>
      <c r="I98" s="5"/>
      <c r="J98" s="695"/>
      <c r="K98" s="696"/>
      <c r="L98" s="696"/>
      <c r="M98" s="696"/>
      <c r="N98" s="696"/>
      <c r="O98" s="696"/>
      <c r="P98" s="697"/>
    </row>
    <row r="99" spans="2:16" x14ac:dyDescent="0.2">
      <c r="B99" s="704" t="s">
        <v>241</v>
      </c>
      <c r="C99" s="704"/>
      <c r="D99" s="704"/>
      <c r="E99" s="704"/>
      <c r="F99" s="704"/>
      <c r="G99" s="704"/>
      <c r="H99" s="21" t="str">
        <f>IF((+H96+H98)=0,"TRUE","FALSE")</f>
        <v>TRUE</v>
      </c>
      <c r="I99" s="5"/>
      <c r="J99" s="695"/>
      <c r="K99" s="696"/>
      <c r="L99" s="696"/>
      <c r="M99" s="696"/>
      <c r="N99" s="696"/>
      <c r="O99" s="696"/>
      <c r="P99" s="697"/>
    </row>
    <row r="100" spans="2:16" x14ac:dyDescent="0.2">
      <c r="B100" s="675" t="s">
        <v>242</v>
      </c>
      <c r="C100" s="705" t="s">
        <v>525</v>
      </c>
      <c r="D100" s="706"/>
      <c r="E100" s="675" t="s">
        <v>243</v>
      </c>
      <c r="F100" s="671" t="s">
        <v>477</v>
      </c>
      <c r="G100" s="672"/>
      <c r="H100" s="673"/>
      <c r="I100" s="5"/>
      <c r="J100" s="695"/>
      <c r="K100" s="696"/>
      <c r="L100" s="696"/>
      <c r="M100" s="696"/>
      <c r="N100" s="696"/>
      <c r="O100" s="696"/>
      <c r="P100" s="697"/>
    </row>
    <row r="101" spans="2:16" x14ac:dyDescent="0.2">
      <c r="B101" s="676"/>
      <c r="C101" s="707"/>
      <c r="D101" s="708"/>
      <c r="E101" s="676"/>
      <c r="F101" s="677"/>
      <c r="G101" s="678"/>
      <c r="H101" s="679"/>
      <c r="I101" s="5"/>
      <c r="J101" s="698"/>
      <c r="K101" s="699"/>
      <c r="L101" s="699"/>
      <c r="M101" s="699"/>
      <c r="N101" s="699"/>
      <c r="O101" s="699"/>
      <c r="P101" s="700"/>
    </row>
    <row r="102" spans="2:16" x14ac:dyDescent="0.2">
      <c r="B102" s="675" t="s">
        <v>519</v>
      </c>
      <c r="C102" s="709"/>
      <c r="D102" s="680"/>
      <c r="E102" s="675" t="s">
        <v>244</v>
      </c>
      <c r="F102" s="671" t="s">
        <v>494</v>
      </c>
      <c r="G102" s="672"/>
      <c r="H102" s="673"/>
      <c r="I102" s="5"/>
      <c r="J102" s="5"/>
      <c r="K102" s="5"/>
      <c r="L102" s="5"/>
      <c r="M102" s="5"/>
      <c r="N102" s="5"/>
      <c r="O102" s="5"/>
      <c r="P102" s="5"/>
    </row>
    <row r="103" spans="2:16" x14ac:dyDescent="0.2">
      <c r="B103" s="676"/>
      <c r="C103" s="710"/>
      <c r="D103" s="681"/>
      <c r="E103" s="676"/>
      <c r="F103" s="677"/>
      <c r="G103" s="678"/>
      <c r="H103" s="679"/>
      <c r="I103" s="5"/>
      <c r="J103" s="5"/>
      <c r="K103" s="5"/>
      <c r="L103" s="5"/>
      <c r="M103" s="5"/>
      <c r="N103" s="5"/>
      <c r="O103" s="5"/>
      <c r="P103" s="5"/>
    </row>
    <row r="105" spans="2:16" ht="15.75" x14ac:dyDescent="0.25">
      <c r="B105" s="112" t="str">
        <f>+C108</f>
        <v>IVA POR PAGAR</v>
      </c>
      <c r="C105" s="110"/>
      <c r="D105" s="110"/>
      <c r="E105" s="110"/>
      <c r="F105" s="111"/>
      <c r="G105" s="110"/>
      <c r="H105" s="111"/>
      <c r="I105" s="110"/>
      <c r="J105" s="110"/>
      <c r="K105" s="110"/>
      <c r="L105" s="110"/>
      <c r="M105" s="110"/>
      <c r="N105" s="110"/>
      <c r="O105" s="110"/>
      <c r="P105" s="110"/>
    </row>
    <row r="106" spans="2:16" x14ac:dyDescent="0.2">
      <c r="B106" s="684" t="s">
        <v>233</v>
      </c>
      <c r="C106" s="685"/>
      <c r="D106" s="686"/>
      <c r="E106" s="687" t="s">
        <v>234</v>
      </c>
      <c r="F106" s="688"/>
      <c r="G106" s="689"/>
      <c r="H106" s="23" t="s">
        <v>235</v>
      </c>
      <c r="I106" s="5"/>
      <c r="J106" s="654" t="s">
        <v>246</v>
      </c>
      <c r="K106" s="655"/>
      <c r="L106" s="655"/>
      <c r="M106" s="655"/>
      <c r="N106" s="655"/>
      <c r="O106" s="655"/>
      <c r="P106" s="656"/>
    </row>
    <row r="107" spans="2:16" x14ac:dyDescent="0.2">
      <c r="B107" s="6" t="s">
        <v>230</v>
      </c>
      <c r="C107" s="657">
        <f>'I. Balanza'!B232</f>
        <v>2105</v>
      </c>
      <c r="D107" s="658"/>
      <c r="E107" s="659" t="str">
        <f>+$C$3</f>
        <v>A Diciembre 2024</v>
      </c>
      <c r="F107" s="660"/>
      <c r="G107" s="661"/>
      <c r="H107" s="663" t="s">
        <v>229</v>
      </c>
      <c r="I107" s="5"/>
      <c r="J107" s="671"/>
      <c r="K107" s="672"/>
      <c r="L107" s="672"/>
      <c r="M107" s="672"/>
      <c r="N107" s="672"/>
      <c r="O107" s="672"/>
      <c r="P107" s="673"/>
    </row>
    <row r="108" spans="2:16" x14ac:dyDescent="0.2">
      <c r="B108" s="6" t="s">
        <v>231</v>
      </c>
      <c r="C108" s="657" t="str">
        <f>'I. Balanza'!D232</f>
        <v>IVA POR PAGAR</v>
      </c>
      <c r="D108" s="658"/>
      <c r="E108" s="662"/>
      <c r="F108" s="660"/>
      <c r="G108" s="661"/>
      <c r="H108" s="663"/>
      <c r="I108" s="5"/>
      <c r="J108" s="674"/>
      <c r="K108" s="657"/>
      <c r="L108" s="657"/>
      <c r="M108" s="657"/>
      <c r="N108" s="657"/>
      <c r="O108" s="657"/>
      <c r="P108" s="658"/>
    </row>
    <row r="109" spans="2:16" x14ac:dyDescent="0.2">
      <c r="B109" s="667" t="s">
        <v>232</v>
      </c>
      <c r="C109" s="667"/>
      <c r="D109" s="667"/>
      <c r="E109" s="667"/>
      <c r="F109" s="667"/>
      <c r="G109" s="667"/>
      <c r="H109" s="7">
        <f>'I. Balanza'!P232</f>
        <v>-3180652.19</v>
      </c>
      <c r="I109" s="5"/>
      <c r="J109" s="674"/>
      <c r="K109" s="657"/>
      <c r="L109" s="657"/>
      <c r="M109" s="657"/>
      <c r="N109" s="657"/>
      <c r="O109" s="657"/>
      <c r="P109" s="658"/>
    </row>
    <row r="110" spans="2:16" x14ac:dyDescent="0.2">
      <c r="B110" s="8"/>
      <c r="C110" s="9"/>
      <c r="D110" s="9"/>
      <c r="E110" s="9"/>
      <c r="F110" s="10"/>
      <c r="G110" s="11"/>
      <c r="H110" s="7">
        <v>627712.30000000005</v>
      </c>
      <c r="I110" s="5"/>
      <c r="J110" s="674"/>
      <c r="K110" s="657"/>
      <c r="L110" s="657"/>
      <c r="M110" s="657"/>
      <c r="N110" s="657"/>
      <c r="O110" s="657"/>
      <c r="P110" s="658"/>
    </row>
    <row r="111" spans="2:16" x14ac:dyDescent="0.2">
      <c r="B111" s="8"/>
      <c r="C111" s="9"/>
      <c r="D111" s="9"/>
      <c r="E111" s="9"/>
      <c r="F111" s="10"/>
      <c r="G111" s="12"/>
      <c r="H111" s="7">
        <v>535750.87</v>
      </c>
      <c r="I111" s="5"/>
      <c r="J111" s="674"/>
      <c r="K111" s="657"/>
      <c r="L111" s="657"/>
      <c r="M111" s="657"/>
      <c r="N111" s="657"/>
      <c r="O111" s="657"/>
      <c r="P111" s="658"/>
    </row>
    <row r="112" spans="2:16" x14ac:dyDescent="0.2">
      <c r="B112" s="668" t="s">
        <v>236</v>
      </c>
      <c r="C112" s="669"/>
      <c r="D112" s="669"/>
      <c r="E112" s="669"/>
      <c r="F112" s="669"/>
      <c r="G112" s="670"/>
      <c r="H112" s="13">
        <f>H109+H111-H110</f>
        <v>-3272613.62</v>
      </c>
      <c r="I112" s="5"/>
      <c r="J112" s="674"/>
      <c r="K112" s="657"/>
      <c r="L112" s="657"/>
      <c r="M112" s="657"/>
      <c r="N112" s="657"/>
      <c r="O112" s="657"/>
      <c r="P112" s="658"/>
    </row>
    <row r="113" spans="2:16" x14ac:dyDescent="0.2">
      <c r="B113" s="668" t="s">
        <v>237</v>
      </c>
      <c r="C113" s="669"/>
      <c r="D113" s="669"/>
      <c r="E113" s="669"/>
      <c r="F113" s="669"/>
      <c r="G113" s="670"/>
      <c r="H113" s="14">
        <f>'I. Balanza'!Q232</f>
        <v>-3272613.62</v>
      </c>
      <c r="I113" s="5"/>
      <c r="J113" s="654" t="s">
        <v>245</v>
      </c>
      <c r="K113" s="655"/>
      <c r="L113" s="655"/>
      <c r="M113" s="655"/>
      <c r="N113" s="655"/>
      <c r="O113" s="655"/>
      <c r="P113" s="656"/>
    </row>
    <row r="114" spans="2:16" x14ac:dyDescent="0.2">
      <c r="B114" s="668" t="s">
        <v>238</v>
      </c>
      <c r="C114" s="669"/>
      <c r="D114" s="669"/>
      <c r="E114" s="669"/>
      <c r="F114" s="669"/>
      <c r="G114" s="670"/>
      <c r="H114" s="13">
        <f>+H112-H113</f>
        <v>0</v>
      </c>
      <c r="I114" s="5"/>
      <c r="J114" s="692" t="s">
        <v>506</v>
      </c>
      <c r="K114" s="693"/>
      <c r="L114" s="693"/>
      <c r="M114" s="693"/>
      <c r="N114" s="693"/>
      <c r="O114" s="693"/>
      <c r="P114" s="694"/>
    </row>
    <row r="115" spans="2:16" x14ac:dyDescent="0.2">
      <c r="B115" s="701" t="s">
        <v>239</v>
      </c>
      <c r="C115" s="702"/>
      <c r="D115" s="702"/>
      <c r="E115" s="702"/>
      <c r="F115" s="702"/>
      <c r="G115" s="703"/>
      <c r="H115" s="15"/>
      <c r="I115" s="5"/>
      <c r="J115" s="695"/>
      <c r="K115" s="696"/>
      <c r="L115" s="696"/>
      <c r="M115" s="696"/>
      <c r="N115" s="696"/>
      <c r="O115" s="696"/>
      <c r="P115" s="697"/>
    </row>
    <row r="116" spans="2:16" x14ac:dyDescent="0.2">
      <c r="B116" s="16"/>
      <c r="C116" s="5"/>
      <c r="D116" s="5"/>
      <c r="E116" s="5"/>
      <c r="F116" s="5"/>
      <c r="G116" s="17" t="s">
        <v>240</v>
      </c>
      <c r="H116" s="7">
        <f>H114</f>
        <v>0</v>
      </c>
      <c r="I116" s="5"/>
      <c r="J116" s="695"/>
      <c r="K116" s="696"/>
      <c r="L116" s="696"/>
      <c r="M116" s="696"/>
      <c r="N116" s="696"/>
      <c r="O116" s="696"/>
      <c r="P116" s="697"/>
    </row>
    <row r="117" spans="2:16" x14ac:dyDescent="0.2">
      <c r="B117" s="8"/>
      <c r="C117" s="9"/>
      <c r="D117" s="9"/>
      <c r="E117" s="9"/>
      <c r="F117" s="9"/>
      <c r="G117" s="12"/>
      <c r="H117" s="7"/>
      <c r="I117" s="5"/>
      <c r="J117" s="695"/>
      <c r="K117" s="696"/>
      <c r="L117" s="696"/>
      <c r="M117" s="696"/>
      <c r="N117" s="696"/>
      <c r="O117" s="696"/>
      <c r="P117" s="697"/>
    </row>
    <row r="118" spans="2:16" x14ac:dyDescent="0.2">
      <c r="B118" s="18"/>
      <c r="C118" s="19"/>
      <c r="D118" s="19"/>
      <c r="E118" s="19"/>
      <c r="F118" s="19"/>
      <c r="G118" s="11"/>
      <c r="H118" s="20"/>
      <c r="I118" s="5"/>
      <c r="J118" s="695"/>
      <c r="K118" s="696"/>
      <c r="L118" s="696"/>
      <c r="M118" s="696"/>
      <c r="N118" s="696"/>
      <c r="O118" s="696"/>
      <c r="P118" s="697"/>
    </row>
    <row r="119" spans="2:16" x14ac:dyDescent="0.2">
      <c r="B119" s="704" t="s">
        <v>241</v>
      </c>
      <c r="C119" s="704"/>
      <c r="D119" s="704"/>
      <c r="E119" s="704"/>
      <c r="F119" s="704"/>
      <c r="G119" s="704"/>
      <c r="H119" s="21" t="str">
        <f>IF((+H116+H118)=0,"TRUE","FALSE")</f>
        <v>TRUE</v>
      </c>
      <c r="I119" s="5"/>
      <c r="J119" s="695"/>
      <c r="K119" s="696"/>
      <c r="L119" s="696"/>
      <c r="M119" s="696"/>
      <c r="N119" s="696"/>
      <c r="O119" s="696"/>
      <c r="P119" s="697"/>
    </row>
    <row r="120" spans="2:16" x14ac:dyDescent="0.2">
      <c r="B120" s="675" t="s">
        <v>242</v>
      </c>
      <c r="C120" s="705" t="s">
        <v>525</v>
      </c>
      <c r="D120" s="706"/>
      <c r="E120" s="675" t="s">
        <v>243</v>
      </c>
      <c r="F120" s="671" t="s">
        <v>477</v>
      </c>
      <c r="G120" s="672"/>
      <c r="H120" s="673"/>
      <c r="I120" s="5"/>
      <c r="J120" s="695"/>
      <c r="K120" s="696"/>
      <c r="L120" s="696"/>
      <c r="M120" s="696"/>
      <c r="N120" s="696"/>
      <c r="O120" s="696"/>
      <c r="P120" s="697"/>
    </row>
    <row r="121" spans="2:16" x14ac:dyDescent="0.2">
      <c r="B121" s="676"/>
      <c r="C121" s="707"/>
      <c r="D121" s="708"/>
      <c r="E121" s="676"/>
      <c r="F121" s="677"/>
      <c r="G121" s="678"/>
      <c r="H121" s="679"/>
      <c r="I121" s="5"/>
      <c r="J121" s="698"/>
      <c r="K121" s="699"/>
      <c r="L121" s="699"/>
      <c r="M121" s="699"/>
      <c r="N121" s="699"/>
      <c r="O121" s="699"/>
      <c r="P121" s="700"/>
    </row>
    <row r="122" spans="2:16" x14ac:dyDescent="0.2">
      <c r="B122" s="675" t="s">
        <v>519</v>
      </c>
      <c r="C122" s="709"/>
      <c r="D122" s="680"/>
      <c r="E122" s="675" t="s">
        <v>244</v>
      </c>
      <c r="F122" s="671" t="s">
        <v>494</v>
      </c>
      <c r="G122" s="672"/>
      <c r="H122" s="673"/>
      <c r="I122" s="5"/>
      <c r="J122" s="5"/>
      <c r="K122" s="5"/>
      <c r="L122" s="5"/>
      <c r="M122" s="5"/>
      <c r="N122" s="5"/>
      <c r="O122" s="5"/>
      <c r="P122" s="5"/>
    </row>
    <row r="123" spans="2:16" x14ac:dyDescent="0.2">
      <c r="B123" s="676"/>
      <c r="C123" s="710"/>
      <c r="D123" s="681"/>
      <c r="E123" s="676"/>
      <c r="F123" s="677"/>
      <c r="G123" s="678"/>
      <c r="H123" s="679"/>
      <c r="I123" s="5"/>
      <c r="J123" s="5"/>
      <c r="K123" s="5"/>
      <c r="L123" s="5"/>
      <c r="M123" s="5"/>
      <c r="N123" s="5"/>
      <c r="O123" s="5"/>
      <c r="P123" s="5"/>
    </row>
    <row r="125" spans="2:16" ht="15.75" x14ac:dyDescent="0.25">
      <c r="B125" s="112" t="str">
        <f>+C128</f>
        <v>ISR POR PAGAR</v>
      </c>
      <c r="C125" s="110"/>
      <c r="D125" s="110"/>
      <c r="E125" s="110"/>
      <c r="F125" s="111"/>
      <c r="G125" s="110"/>
      <c r="H125" s="111"/>
      <c r="I125" s="110"/>
      <c r="J125" s="110"/>
      <c r="K125" s="110"/>
      <c r="L125" s="110"/>
      <c r="M125" s="110"/>
      <c r="N125" s="110"/>
      <c r="O125" s="110"/>
      <c r="P125" s="110"/>
    </row>
    <row r="126" spans="2:16" x14ac:dyDescent="0.2">
      <c r="B126" s="684" t="s">
        <v>233</v>
      </c>
      <c r="C126" s="685"/>
      <c r="D126" s="686"/>
      <c r="E126" s="687" t="s">
        <v>234</v>
      </c>
      <c r="F126" s="688"/>
      <c r="G126" s="689"/>
      <c r="H126" s="23" t="s">
        <v>235</v>
      </c>
      <c r="I126" s="5"/>
      <c r="J126" s="654" t="s">
        <v>246</v>
      </c>
      <c r="K126" s="655"/>
      <c r="L126" s="655"/>
      <c r="M126" s="655"/>
      <c r="N126" s="655"/>
      <c r="O126" s="655"/>
      <c r="P126" s="656"/>
    </row>
    <row r="127" spans="2:16" x14ac:dyDescent="0.2">
      <c r="B127" s="6" t="s">
        <v>230</v>
      </c>
      <c r="C127" s="657">
        <f>'I. Balanza'!B238</f>
        <v>2105</v>
      </c>
      <c r="D127" s="658"/>
      <c r="E127" s="659" t="str">
        <f>+$C$3</f>
        <v>A Diciembre 2024</v>
      </c>
      <c r="F127" s="660"/>
      <c r="G127" s="661"/>
      <c r="H127" s="663" t="s">
        <v>229</v>
      </c>
      <c r="I127" s="5"/>
      <c r="J127" s="722" t="s">
        <v>1019</v>
      </c>
      <c r="K127" s="723"/>
      <c r="L127" s="723"/>
      <c r="M127" s="723"/>
      <c r="N127" s="723"/>
      <c r="O127" s="723"/>
      <c r="P127" s="724"/>
    </row>
    <row r="128" spans="2:16" x14ac:dyDescent="0.2">
      <c r="B128" s="6" t="s">
        <v>231</v>
      </c>
      <c r="C128" s="657" t="str">
        <f>'I. Balanza'!D238</f>
        <v>ISR POR PAGAR</v>
      </c>
      <c r="D128" s="658"/>
      <c r="E128" s="662"/>
      <c r="F128" s="660"/>
      <c r="G128" s="661"/>
      <c r="H128" s="663"/>
      <c r="I128" s="5"/>
      <c r="J128" s="725"/>
      <c r="K128" s="726"/>
      <c r="L128" s="726"/>
      <c r="M128" s="726"/>
      <c r="N128" s="726"/>
      <c r="O128" s="726"/>
      <c r="P128" s="727"/>
    </row>
    <row r="129" spans="2:16" x14ac:dyDescent="0.2">
      <c r="B129" s="667" t="s">
        <v>232</v>
      </c>
      <c r="C129" s="667"/>
      <c r="D129" s="667"/>
      <c r="E129" s="667"/>
      <c r="F129" s="667"/>
      <c r="G129" s="667"/>
      <c r="H129" s="7">
        <f>'I. Balanza'!P238</f>
        <v>-801211</v>
      </c>
      <c r="I129" s="5"/>
      <c r="J129" s="725"/>
      <c r="K129" s="726"/>
      <c r="L129" s="726"/>
      <c r="M129" s="726"/>
      <c r="N129" s="726"/>
      <c r="O129" s="726"/>
      <c r="P129" s="727"/>
    </row>
    <row r="130" spans="2:16" x14ac:dyDescent="0.2">
      <c r="B130" s="8"/>
      <c r="C130" s="9"/>
      <c r="D130" s="9"/>
      <c r="E130" s="9"/>
      <c r="F130" s="10"/>
      <c r="G130" s="11"/>
      <c r="H130" s="7"/>
      <c r="I130" s="5"/>
      <c r="J130" s="725"/>
      <c r="K130" s="726"/>
      <c r="L130" s="726"/>
      <c r="M130" s="726"/>
      <c r="N130" s="726"/>
      <c r="O130" s="726"/>
      <c r="P130" s="727"/>
    </row>
    <row r="131" spans="2:16" x14ac:dyDescent="0.2">
      <c r="B131" s="8"/>
      <c r="C131" s="9"/>
      <c r="D131" s="9"/>
      <c r="E131" s="9"/>
      <c r="F131" s="10"/>
      <c r="G131" s="12"/>
      <c r="H131" s="7">
        <v>7450612.0700000003</v>
      </c>
      <c r="I131" s="5"/>
      <c r="J131" s="725"/>
      <c r="K131" s="726"/>
      <c r="L131" s="726"/>
      <c r="M131" s="726"/>
      <c r="N131" s="726"/>
      <c r="O131" s="726"/>
      <c r="P131" s="727"/>
    </row>
    <row r="132" spans="2:16" x14ac:dyDescent="0.2">
      <c r="B132" s="668" t="s">
        <v>236</v>
      </c>
      <c r="C132" s="669"/>
      <c r="D132" s="669"/>
      <c r="E132" s="669"/>
      <c r="F132" s="669"/>
      <c r="G132" s="670"/>
      <c r="H132" s="13">
        <f>+H129+H130-H131</f>
        <v>-8251823.0700000003</v>
      </c>
      <c r="I132" s="5"/>
      <c r="J132" s="725"/>
      <c r="K132" s="726"/>
      <c r="L132" s="726"/>
      <c r="M132" s="726"/>
      <c r="N132" s="726"/>
      <c r="O132" s="726"/>
      <c r="P132" s="727"/>
    </row>
    <row r="133" spans="2:16" x14ac:dyDescent="0.2">
      <c r="B133" s="668" t="s">
        <v>237</v>
      </c>
      <c r="C133" s="669"/>
      <c r="D133" s="669"/>
      <c r="E133" s="669"/>
      <c r="F133" s="669"/>
      <c r="G133" s="670"/>
      <c r="H133" s="14">
        <f>'I. Balanza'!Q238</f>
        <v>-4981493</v>
      </c>
      <c r="I133" s="5"/>
      <c r="J133" s="654" t="s">
        <v>245</v>
      </c>
      <c r="K133" s="655"/>
      <c r="L133" s="655"/>
      <c r="M133" s="655"/>
      <c r="N133" s="655"/>
      <c r="O133" s="655"/>
      <c r="P133" s="656"/>
    </row>
    <row r="134" spans="2:16" x14ac:dyDescent="0.2">
      <c r="B134" s="668" t="s">
        <v>238</v>
      </c>
      <c r="C134" s="669"/>
      <c r="D134" s="669"/>
      <c r="E134" s="669"/>
      <c r="F134" s="669"/>
      <c r="G134" s="670"/>
      <c r="H134" s="13">
        <f>+H132-H133</f>
        <v>-3270330.0700000003</v>
      </c>
      <c r="I134" s="5"/>
      <c r="J134" s="692" t="s">
        <v>532</v>
      </c>
      <c r="K134" s="693"/>
      <c r="L134" s="693"/>
      <c r="M134" s="693"/>
      <c r="N134" s="693"/>
      <c r="O134" s="693"/>
      <c r="P134" s="694"/>
    </row>
    <row r="135" spans="2:16" x14ac:dyDescent="0.2">
      <c r="B135" s="701" t="s">
        <v>239</v>
      </c>
      <c r="C135" s="702"/>
      <c r="D135" s="702"/>
      <c r="E135" s="702"/>
      <c r="F135" s="702"/>
      <c r="G135" s="703"/>
      <c r="H135" s="15"/>
      <c r="I135" s="5"/>
      <c r="J135" s="695"/>
      <c r="K135" s="696"/>
      <c r="L135" s="696"/>
      <c r="M135" s="696"/>
      <c r="N135" s="696"/>
      <c r="O135" s="696"/>
      <c r="P135" s="697"/>
    </row>
    <row r="136" spans="2:16" x14ac:dyDescent="0.2">
      <c r="B136" s="16"/>
      <c r="C136" s="5"/>
      <c r="D136" s="5"/>
      <c r="E136" s="5"/>
      <c r="F136" s="5"/>
      <c r="G136" s="17" t="s">
        <v>240</v>
      </c>
      <c r="H136" s="7">
        <f>H134</f>
        <v>-3270330.0700000003</v>
      </c>
      <c r="I136" s="5"/>
      <c r="J136" s="695"/>
      <c r="K136" s="696"/>
      <c r="L136" s="696"/>
      <c r="M136" s="696"/>
      <c r="N136" s="696"/>
      <c r="O136" s="696"/>
      <c r="P136" s="697"/>
    </row>
    <row r="137" spans="2:16" x14ac:dyDescent="0.2">
      <c r="B137" s="8" t="s">
        <v>531</v>
      </c>
      <c r="C137" s="9"/>
      <c r="D137" s="9"/>
      <c r="E137" s="9"/>
      <c r="F137" s="9"/>
      <c r="G137" s="12"/>
      <c r="H137" s="7"/>
      <c r="I137" s="5"/>
      <c r="J137" s="695"/>
      <c r="K137" s="696"/>
      <c r="L137" s="696"/>
      <c r="M137" s="696"/>
      <c r="N137" s="696"/>
      <c r="O137" s="696"/>
      <c r="P137" s="697"/>
    </row>
    <row r="138" spans="2:16" x14ac:dyDescent="0.2">
      <c r="B138" s="18"/>
      <c r="C138" s="19"/>
      <c r="D138" s="19"/>
      <c r="E138" s="19"/>
      <c r="F138" s="19"/>
      <c r="G138" s="11"/>
      <c r="H138" s="20"/>
      <c r="I138" s="5"/>
      <c r="J138" s="695"/>
      <c r="K138" s="696"/>
      <c r="L138" s="696"/>
      <c r="M138" s="696"/>
      <c r="N138" s="696"/>
      <c r="O138" s="696"/>
      <c r="P138" s="697"/>
    </row>
    <row r="139" spans="2:16" x14ac:dyDescent="0.2">
      <c r="B139" s="704" t="s">
        <v>241</v>
      </c>
      <c r="C139" s="704"/>
      <c r="D139" s="704"/>
      <c r="E139" s="704"/>
      <c r="F139" s="704"/>
      <c r="G139" s="704"/>
      <c r="H139" s="21" t="str">
        <f>IF((+H136+H138)=0,"TRUE","FALSE")</f>
        <v>FALSE</v>
      </c>
      <c r="I139" s="5"/>
      <c r="J139" s="695"/>
      <c r="K139" s="696"/>
      <c r="L139" s="696"/>
      <c r="M139" s="696"/>
      <c r="N139" s="696"/>
      <c r="O139" s="696"/>
      <c r="P139" s="697"/>
    </row>
    <row r="140" spans="2:16" x14ac:dyDescent="0.2">
      <c r="B140" s="675" t="s">
        <v>242</v>
      </c>
      <c r="C140" s="705" t="s">
        <v>528</v>
      </c>
      <c r="D140" s="706"/>
      <c r="E140" s="675" t="s">
        <v>243</v>
      </c>
      <c r="F140" s="671" t="s">
        <v>477</v>
      </c>
      <c r="G140" s="672"/>
      <c r="H140" s="673"/>
      <c r="I140" s="5"/>
      <c r="J140" s="695"/>
      <c r="K140" s="696"/>
      <c r="L140" s="696"/>
      <c r="M140" s="696"/>
      <c r="N140" s="696"/>
      <c r="O140" s="696"/>
      <c r="P140" s="697"/>
    </row>
    <row r="141" spans="2:16" x14ac:dyDescent="0.2">
      <c r="B141" s="676"/>
      <c r="C141" s="707"/>
      <c r="D141" s="708"/>
      <c r="E141" s="676"/>
      <c r="F141" s="677"/>
      <c r="G141" s="678"/>
      <c r="H141" s="679"/>
      <c r="I141" s="5"/>
      <c r="J141" s="698"/>
      <c r="K141" s="699"/>
      <c r="L141" s="699"/>
      <c r="M141" s="699"/>
      <c r="N141" s="699"/>
      <c r="O141" s="699"/>
      <c r="P141" s="700"/>
    </row>
    <row r="142" spans="2:16" x14ac:dyDescent="0.2">
      <c r="B142" s="675" t="s">
        <v>519</v>
      </c>
      <c r="C142" s="709"/>
      <c r="D142" s="680"/>
      <c r="E142" s="675" t="s">
        <v>244</v>
      </c>
      <c r="F142" s="671" t="s">
        <v>494</v>
      </c>
      <c r="G142" s="672"/>
      <c r="H142" s="673"/>
      <c r="I142" s="5"/>
      <c r="J142" s="5"/>
      <c r="K142" s="5"/>
      <c r="L142" s="5"/>
      <c r="M142" s="5"/>
      <c r="N142" s="5"/>
      <c r="O142" s="5"/>
      <c r="P142" s="5"/>
    </row>
    <row r="143" spans="2:16" x14ac:dyDescent="0.2">
      <c r="B143" s="676"/>
      <c r="C143" s="710"/>
      <c r="D143" s="681"/>
      <c r="E143" s="676"/>
      <c r="F143" s="677"/>
      <c r="G143" s="678"/>
      <c r="H143" s="679"/>
      <c r="I143" s="5"/>
      <c r="J143" s="5"/>
      <c r="K143" s="5"/>
      <c r="L143" s="5"/>
      <c r="M143" s="5"/>
      <c r="N143" s="5"/>
      <c r="O143" s="5"/>
      <c r="P143" s="5"/>
    </row>
    <row r="145" spans="2:16" ht="15.75" x14ac:dyDescent="0.25">
      <c r="B145" s="112" t="s">
        <v>660</v>
      </c>
      <c r="C145" s="110"/>
      <c r="D145" s="110"/>
      <c r="E145" s="110"/>
      <c r="F145" s="111"/>
      <c r="G145" s="110"/>
      <c r="H145" s="111"/>
      <c r="I145" s="110"/>
      <c r="J145" s="110"/>
      <c r="K145" s="110"/>
      <c r="L145" s="110"/>
      <c r="M145" s="110"/>
      <c r="N145" s="110"/>
      <c r="O145" s="110"/>
      <c r="P145" s="110"/>
    </row>
    <row r="146" spans="2:16" x14ac:dyDescent="0.2">
      <c r="B146" s="684" t="s">
        <v>233</v>
      </c>
      <c r="C146" s="685"/>
      <c r="D146" s="686"/>
      <c r="E146" s="687" t="s">
        <v>234</v>
      </c>
      <c r="F146" s="688"/>
      <c r="G146" s="689"/>
      <c r="H146" s="23" t="s">
        <v>235</v>
      </c>
      <c r="I146" s="5"/>
      <c r="J146" s="654" t="s">
        <v>246</v>
      </c>
      <c r="K146" s="655"/>
      <c r="L146" s="655"/>
      <c r="M146" s="655"/>
      <c r="N146" s="655"/>
      <c r="O146" s="655"/>
      <c r="P146" s="656"/>
    </row>
    <row r="147" spans="2:16" x14ac:dyDescent="0.2">
      <c r="B147" s="6" t="s">
        <v>230</v>
      </c>
      <c r="C147" s="657">
        <f>'I. Balanza'!B245</f>
        <v>2110</v>
      </c>
      <c r="D147" s="658"/>
      <c r="E147" s="659" t="str">
        <f>+$C$3</f>
        <v>A Diciembre 2024</v>
      </c>
      <c r="F147" s="660"/>
      <c r="G147" s="661"/>
      <c r="H147" s="663" t="s">
        <v>229</v>
      </c>
      <c r="I147" s="5"/>
      <c r="J147" s="671"/>
      <c r="K147" s="672"/>
      <c r="L147" s="672"/>
      <c r="M147" s="672"/>
      <c r="N147" s="672"/>
      <c r="O147" s="672"/>
      <c r="P147" s="673"/>
    </row>
    <row r="148" spans="2:16" x14ac:dyDescent="0.2">
      <c r="B148" s="6" t="s">
        <v>231</v>
      </c>
      <c r="C148" s="657" t="str">
        <f>'I. Balanza'!D245</f>
        <v>RESERVAS POR PAGAR</v>
      </c>
      <c r="D148" s="658"/>
      <c r="E148" s="662"/>
      <c r="F148" s="660"/>
      <c r="G148" s="661"/>
      <c r="H148" s="663"/>
      <c r="I148" s="5"/>
      <c r="J148" s="674"/>
      <c r="K148" s="657"/>
      <c r="L148" s="657"/>
      <c r="M148" s="657"/>
      <c r="N148" s="657"/>
      <c r="O148" s="657"/>
      <c r="P148" s="658"/>
    </row>
    <row r="149" spans="2:16" x14ac:dyDescent="0.2">
      <c r="B149" s="667" t="s">
        <v>232</v>
      </c>
      <c r="C149" s="667"/>
      <c r="D149" s="667"/>
      <c r="E149" s="667"/>
      <c r="F149" s="667"/>
      <c r="G149" s="667"/>
      <c r="H149" s="7">
        <f>'I. Balanza'!P245</f>
        <v>-1066092.8600000001</v>
      </c>
      <c r="I149" s="5"/>
      <c r="J149" s="674"/>
      <c r="K149" s="657"/>
      <c r="L149" s="657"/>
      <c r="M149" s="657"/>
      <c r="N149" s="657"/>
      <c r="O149" s="657"/>
      <c r="P149" s="658"/>
    </row>
    <row r="150" spans="2:16" x14ac:dyDescent="0.2">
      <c r="B150" s="8"/>
      <c r="C150" s="9"/>
      <c r="D150" s="9"/>
      <c r="E150" s="9"/>
      <c r="F150" s="10"/>
      <c r="G150" s="11"/>
      <c r="H150" s="7"/>
      <c r="I150" s="5"/>
      <c r="J150" s="674"/>
      <c r="K150" s="657"/>
      <c r="L150" s="657"/>
      <c r="M150" s="657"/>
      <c r="N150" s="657"/>
      <c r="O150" s="657"/>
      <c r="P150" s="658"/>
    </row>
    <row r="151" spans="2:16" x14ac:dyDescent="0.2">
      <c r="B151" s="8"/>
      <c r="C151" s="9"/>
      <c r="D151" s="9"/>
      <c r="E151" s="9"/>
      <c r="F151" s="10"/>
      <c r="G151" s="12"/>
      <c r="H151" s="7">
        <v>19498.37</v>
      </c>
      <c r="I151" s="5"/>
      <c r="J151" s="674"/>
      <c r="K151" s="657"/>
      <c r="L151" s="657"/>
      <c r="M151" s="657"/>
      <c r="N151" s="657"/>
      <c r="O151" s="657"/>
      <c r="P151" s="658"/>
    </row>
    <row r="152" spans="2:16" x14ac:dyDescent="0.2">
      <c r="B152" s="668" t="s">
        <v>236</v>
      </c>
      <c r="C152" s="669"/>
      <c r="D152" s="669"/>
      <c r="E152" s="669"/>
      <c r="F152" s="669"/>
      <c r="G152" s="670"/>
      <c r="H152" s="13">
        <f>H149+H151-H150</f>
        <v>-1046594.4900000001</v>
      </c>
      <c r="I152" s="5"/>
      <c r="J152" s="674"/>
      <c r="K152" s="657"/>
      <c r="L152" s="657"/>
      <c r="M152" s="657"/>
      <c r="N152" s="657"/>
      <c r="O152" s="657"/>
      <c r="P152" s="658"/>
    </row>
    <row r="153" spans="2:16" x14ac:dyDescent="0.2">
      <c r="B153" s="668" t="s">
        <v>237</v>
      </c>
      <c r="C153" s="669"/>
      <c r="D153" s="669"/>
      <c r="E153" s="669"/>
      <c r="F153" s="669"/>
      <c r="G153" s="670"/>
      <c r="H153" s="14">
        <f>'I. Balanza'!Q245</f>
        <v>-1046594.49</v>
      </c>
      <c r="I153" s="5"/>
      <c r="J153" s="654" t="s">
        <v>245</v>
      </c>
      <c r="K153" s="655"/>
      <c r="L153" s="655"/>
      <c r="M153" s="655"/>
      <c r="N153" s="655"/>
      <c r="O153" s="655"/>
      <c r="P153" s="656"/>
    </row>
    <row r="154" spans="2:16" x14ac:dyDescent="0.2">
      <c r="B154" s="668" t="s">
        <v>238</v>
      </c>
      <c r="C154" s="669"/>
      <c r="D154" s="669"/>
      <c r="E154" s="669"/>
      <c r="F154" s="669"/>
      <c r="G154" s="670"/>
      <c r="H154" s="13">
        <f>+H152-H153</f>
        <v>0</v>
      </c>
      <c r="I154" s="5"/>
      <c r="J154" s="692" t="s">
        <v>535</v>
      </c>
      <c r="K154" s="693"/>
      <c r="L154" s="693"/>
      <c r="M154" s="693"/>
      <c r="N154" s="693"/>
      <c r="O154" s="693"/>
      <c r="P154" s="694"/>
    </row>
    <row r="155" spans="2:16" x14ac:dyDescent="0.2">
      <c r="B155" s="701" t="s">
        <v>239</v>
      </c>
      <c r="C155" s="702"/>
      <c r="D155" s="702"/>
      <c r="E155" s="702"/>
      <c r="F155" s="702"/>
      <c r="G155" s="703"/>
      <c r="H155" s="15"/>
      <c r="I155" s="5"/>
      <c r="J155" s="695"/>
      <c r="K155" s="696"/>
      <c r="L155" s="696"/>
      <c r="M155" s="696"/>
      <c r="N155" s="696"/>
      <c r="O155" s="696"/>
      <c r="P155" s="697"/>
    </row>
    <row r="156" spans="2:16" x14ac:dyDescent="0.2">
      <c r="B156" s="16"/>
      <c r="C156" s="5"/>
      <c r="D156" s="5"/>
      <c r="E156" s="5"/>
      <c r="F156" s="5"/>
      <c r="G156" s="17" t="s">
        <v>240</v>
      </c>
      <c r="H156" s="7">
        <f>H154</f>
        <v>0</v>
      </c>
      <c r="I156" s="5"/>
      <c r="J156" s="695"/>
      <c r="K156" s="696"/>
      <c r="L156" s="696"/>
      <c r="M156" s="696"/>
      <c r="N156" s="696"/>
      <c r="O156" s="696"/>
      <c r="P156" s="697"/>
    </row>
    <row r="157" spans="2:16" x14ac:dyDescent="0.2">
      <c r="B157" s="8"/>
      <c r="C157" s="9"/>
      <c r="D157" s="9"/>
      <c r="E157" s="9"/>
      <c r="F157" s="9"/>
      <c r="G157" s="12"/>
      <c r="H157" s="7"/>
      <c r="I157" s="5"/>
      <c r="J157" s="695"/>
      <c r="K157" s="696"/>
      <c r="L157" s="696"/>
      <c r="M157" s="696"/>
      <c r="N157" s="696"/>
      <c r="O157" s="696"/>
      <c r="P157" s="697"/>
    </row>
    <row r="158" spans="2:16" x14ac:dyDescent="0.2">
      <c r="B158" s="18"/>
      <c r="C158" s="19"/>
      <c r="D158" s="19"/>
      <c r="E158" s="19"/>
      <c r="F158" s="19"/>
      <c r="G158" s="11"/>
      <c r="H158" s="20"/>
      <c r="I158" s="5"/>
      <c r="J158" s="695"/>
      <c r="K158" s="696"/>
      <c r="L158" s="696"/>
      <c r="M158" s="696"/>
      <c r="N158" s="696"/>
      <c r="O158" s="696"/>
      <c r="P158" s="697"/>
    </row>
    <row r="159" spans="2:16" x14ac:dyDescent="0.2">
      <c r="B159" s="704" t="s">
        <v>241</v>
      </c>
      <c r="C159" s="704"/>
      <c r="D159" s="704"/>
      <c r="E159" s="704"/>
      <c r="F159" s="704"/>
      <c r="G159" s="704"/>
      <c r="H159" s="21" t="str">
        <f>IF((+H156+H158)=0,"TRUE","FALSE")</f>
        <v>TRUE</v>
      </c>
      <c r="I159" s="5"/>
      <c r="J159" s="695"/>
      <c r="K159" s="696"/>
      <c r="L159" s="696"/>
      <c r="M159" s="696"/>
      <c r="N159" s="696"/>
      <c r="O159" s="696"/>
      <c r="P159" s="697"/>
    </row>
    <row r="160" spans="2:16" x14ac:dyDescent="0.2">
      <c r="B160" s="675" t="s">
        <v>242</v>
      </c>
      <c r="C160" s="705" t="s">
        <v>518</v>
      </c>
      <c r="D160" s="706"/>
      <c r="E160" s="675" t="s">
        <v>243</v>
      </c>
      <c r="F160" s="671" t="s">
        <v>477</v>
      </c>
      <c r="G160" s="672"/>
      <c r="H160" s="673"/>
      <c r="I160" s="5"/>
      <c r="J160" s="695"/>
      <c r="K160" s="696"/>
      <c r="L160" s="696"/>
      <c r="M160" s="696"/>
      <c r="N160" s="696"/>
      <c r="O160" s="696"/>
      <c r="P160" s="697"/>
    </row>
    <row r="161" spans="2:16" x14ac:dyDescent="0.2">
      <c r="B161" s="676"/>
      <c r="C161" s="707"/>
      <c r="D161" s="708"/>
      <c r="E161" s="676"/>
      <c r="F161" s="677"/>
      <c r="G161" s="678"/>
      <c r="H161" s="679"/>
      <c r="I161" s="5"/>
      <c r="J161" s="698"/>
      <c r="K161" s="699"/>
      <c r="L161" s="699"/>
      <c r="M161" s="699"/>
      <c r="N161" s="699"/>
      <c r="O161" s="699"/>
      <c r="P161" s="700"/>
    </row>
    <row r="162" spans="2:16" x14ac:dyDescent="0.2">
      <c r="B162" s="675" t="s">
        <v>519</v>
      </c>
      <c r="C162" s="709"/>
      <c r="D162" s="680"/>
      <c r="E162" s="675" t="s">
        <v>244</v>
      </c>
      <c r="F162" s="671" t="s">
        <v>494</v>
      </c>
      <c r="G162" s="672"/>
      <c r="H162" s="673"/>
      <c r="I162" s="5"/>
      <c r="J162" s="5"/>
      <c r="K162" s="5"/>
      <c r="L162" s="5"/>
      <c r="M162" s="5"/>
      <c r="N162" s="5"/>
      <c r="O162" s="5"/>
      <c r="P162" s="5"/>
    </row>
    <row r="163" spans="2:16" x14ac:dyDescent="0.2">
      <c r="B163" s="676"/>
      <c r="C163" s="710"/>
      <c r="D163" s="681"/>
      <c r="E163" s="676"/>
      <c r="F163" s="677"/>
      <c r="G163" s="678"/>
      <c r="H163" s="679"/>
      <c r="I163" s="5"/>
      <c r="J163" s="5"/>
      <c r="K163" s="5"/>
      <c r="L163" s="5"/>
      <c r="M163" s="5"/>
      <c r="N163" s="5"/>
      <c r="O163" s="5"/>
      <c r="P163" s="5"/>
    </row>
    <row r="165" spans="2:16" ht="15.75" x14ac:dyDescent="0.25">
      <c r="B165" s="112" t="str">
        <f>+C168</f>
        <v>PTU POR PAGAR</v>
      </c>
      <c r="C165" s="110"/>
      <c r="D165" s="110"/>
      <c r="E165" s="110"/>
      <c r="F165" s="111"/>
      <c r="G165" s="110"/>
      <c r="H165" s="111"/>
      <c r="I165" s="110"/>
      <c r="J165" s="110"/>
      <c r="K165" s="110"/>
      <c r="L165" s="110"/>
      <c r="M165" s="110"/>
      <c r="N165" s="110"/>
      <c r="O165" s="110"/>
      <c r="P165" s="110"/>
    </row>
    <row r="166" spans="2:16" x14ac:dyDescent="0.2">
      <c r="B166" s="684" t="s">
        <v>233</v>
      </c>
      <c r="C166" s="685"/>
      <c r="D166" s="686"/>
      <c r="E166" s="687" t="s">
        <v>234</v>
      </c>
      <c r="F166" s="688"/>
      <c r="G166" s="689"/>
      <c r="H166" s="23" t="s">
        <v>235</v>
      </c>
      <c r="I166" s="5"/>
      <c r="J166" s="654" t="s">
        <v>246</v>
      </c>
      <c r="K166" s="655"/>
      <c r="L166" s="655"/>
      <c r="M166" s="655"/>
      <c r="N166" s="655"/>
      <c r="O166" s="655"/>
      <c r="P166" s="656"/>
    </row>
    <row r="167" spans="2:16" x14ac:dyDescent="0.2">
      <c r="B167" s="6" t="s">
        <v>230</v>
      </c>
      <c r="C167" s="657" t="str">
        <f>'I. Balanza'!B251</f>
        <v xml:space="preserve">2111 </v>
      </c>
      <c r="D167" s="658"/>
      <c r="E167" s="659" t="str">
        <f>+$C$3</f>
        <v>A Diciembre 2024</v>
      </c>
      <c r="F167" s="660"/>
      <c r="G167" s="661"/>
      <c r="H167" s="663" t="s">
        <v>229</v>
      </c>
      <c r="I167" s="5"/>
      <c r="J167" s="671"/>
      <c r="K167" s="672"/>
      <c r="L167" s="672"/>
      <c r="M167" s="672"/>
      <c r="N167" s="672"/>
      <c r="O167" s="672"/>
      <c r="P167" s="673"/>
    </row>
    <row r="168" spans="2:16" x14ac:dyDescent="0.2">
      <c r="B168" s="6" t="s">
        <v>231</v>
      </c>
      <c r="C168" s="657" t="str">
        <f>'I. Balanza'!D251</f>
        <v>PTU POR PAGAR</v>
      </c>
      <c r="D168" s="658"/>
      <c r="E168" s="662"/>
      <c r="F168" s="660"/>
      <c r="G168" s="661"/>
      <c r="H168" s="663"/>
      <c r="I168" s="5"/>
      <c r="J168" s="674"/>
      <c r="K168" s="657"/>
      <c r="L168" s="657"/>
      <c r="M168" s="657"/>
      <c r="N168" s="657"/>
      <c r="O168" s="657"/>
      <c r="P168" s="658"/>
    </row>
    <row r="169" spans="2:16" x14ac:dyDescent="0.2">
      <c r="B169" s="667" t="s">
        <v>232</v>
      </c>
      <c r="C169" s="667"/>
      <c r="D169" s="667"/>
      <c r="E169" s="667"/>
      <c r="F169" s="667"/>
      <c r="G169" s="667"/>
      <c r="H169" s="7">
        <f>'I. Balanza'!P251</f>
        <v>-4584704.2</v>
      </c>
      <c r="I169" s="5"/>
      <c r="J169" s="674"/>
      <c r="K169" s="657"/>
      <c r="L169" s="657"/>
      <c r="M169" s="657"/>
      <c r="N169" s="657"/>
      <c r="O169" s="657"/>
      <c r="P169" s="658"/>
    </row>
    <row r="170" spans="2:16" x14ac:dyDescent="0.2">
      <c r="B170" s="8"/>
      <c r="C170" s="9"/>
      <c r="D170" s="9"/>
      <c r="E170" s="9"/>
      <c r="F170" s="10"/>
      <c r="G170" s="11"/>
      <c r="H170" s="7">
        <v>983520.19</v>
      </c>
      <c r="I170" s="5"/>
      <c r="J170" s="674"/>
      <c r="K170" s="657"/>
      <c r="L170" s="657"/>
      <c r="M170" s="657"/>
      <c r="N170" s="657"/>
      <c r="O170" s="657"/>
      <c r="P170" s="658"/>
    </row>
    <row r="171" spans="2:16" x14ac:dyDescent="0.2">
      <c r="B171" s="8"/>
      <c r="C171" s="9"/>
      <c r="D171" s="9"/>
      <c r="E171" s="9"/>
      <c r="F171" s="10"/>
      <c r="G171" s="12"/>
      <c r="H171" s="7">
        <v>91580</v>
      </c>
      <c r="I171" s="5"/>
      <c r="J171" s="674"/>
      <c r="K171" s="657"/>
      <c r="L171" s="657"/>
      <c r="M171" s="657"/>
      <c r="N171" s="657"/>
      <c r="O171" s="657"/>
      <c r="P171" s="658"/>
    </row>
    <row r="172" spans="2:16" x14ac:dyDescent="0.2">
      <c r="B172" s="668" t="s">
        <v>236</v>
      </c>
      <c r="C172" s="669"/>
      <c r="D172" s="669"/>
      <c r="E172" s="669"/>
      <c r="F172" s="669"/>
      <c r="G172" s="670"/>
      <c r="H172" s="13">
        <f>H169+H171-H170</f>
        <v>-5476644.3900000006</v>
      </c>
      <c r="I172" s="5"/>
      <c r="J172" s="674"/>
      <c r="K172" s="657"/>
      <c r="L172" s="657"/>
      <c r="M172" s="657"/>
      <c r="N172" s="657"/>
      <c r="O172" s="657"/>
      <c r="P172" s="658"/>
    </row>
    <row r="173" spans="2:16" x14ac:dyDescent="0.2">
      <c r="B173" s="668" t="s">
        <v>237</v>
      </c>
      <c r="C173" s="669"/>
      <c r="D173" s="669"/>
      <c r="E173" s="669"/>
      <c r="F173" s="669"/>
      <c r="G173" s="670"/>
      <c r="H173" s="14">
        <f>'I. Balanza'!Q251</f>
        <v>-5476644.3899999997</v>
      </c>
      <c r="I173" s="5"/>
      <c r="J173" s="654" t="s">
        <v>245</v>
      </c>
      <c r="K173" s="655"/>
      <c r="L173" s="655"/>
      <c r="M173" s="655"/>
      <c r="N173" s="655"/>
      <c r="O173" s="655"/>
      <c r="P173" s="656"/>
    </row>
    <row r="174" spans="2:16" x14ac:dyDescent="0.2">
      <c r="B174" s="668" t="s">
        <v>238</v>
      </c>
      <c r="C174" s="669"/>
      <c r="D174" s="669"/>
      <c r="E174" s="669"/>
      <c r="F174" s="669"/>
      <c r="G174" s="670"/>
      <c r="H174" s="13">
        <f>+H172-H173</f>
        <v>0</v>
      </c>
      <c r="I174" s="5"/>
      <c r="J174" s="692" t="s">
        <v>536</v>
      </c>
      <c r="K174" s="693"/>
      <c r="L174" s="693"/>
      <c r="M174" s="693"/>
      <c r="N174" s="693"/>
      <c r="O174" s="693"/>
      <c r="P174" s="694"/>
    </row>
    <row r="175" spans="2:16" x14ac:dyDescent="0.2">
      <c r="B175" s="701" t="s">
        <v>239</v>
      </c>
      <c r="C175" s="702"/>
      <c r="D175" s="702"/>
      <c r="E175" s="702"/>
      <c r="F175" s="702"/>
      <c r="G175" s="703"/>
      <c r="H175" s="15"/>
      <c r="I175" s="5"/>
      <c r="J175" s="695"/>
      <c r="K175" s="696"/>
      <c r="L175" s="696"/>
      <c r="M175" s="696"/>
      <c r="N175" s="696"/>
      <c r="O175" s="696"/>
      <c r="P175" s="697"/>
    </row>
    <row r="176" spans="2:16" x14ac:dyDescent="0.2">
      <c r="B176" s="16"/>
      <c r="C176" s="5"/>
      <c r="D176" s="5"/>
      <c r="E176" s="5"/>
      <c r="F176" s="5"/>
      <c r="G176" s="17" t="s">
        <v>240</v>
      </c>
      <c r="H176" s="7">
        <f>H174</f>
        <v>0</v>
      </c>
      <c r="I176" s="5"/>
      <c r="J176" s="695"/>
      <c r="K176" s="696"/>
      <c r="L176" s="696"/>
      <c r="M176" s="696"/>
      <c r="N176" s="696"/>
      <c r="O176" s="696"/>
      <c r="P176" s="697"/>
    </row>
    <row r="177" spans="2:18" x14ac:dyDescent="0.2">
      <c r="B177" s="8"/>
      <c r="C177" s="9"/>
      <c r="D177" s="9"/>
      <c r="E177" s="9"/>
      <c r="F177" s="9"/>
      <c r="G177" s="12"/>
      <c r="H177" s="7"/>
      <c r="I177" s="5"/>
      <c r="J177" s="695"/>
      <c r="K177" s="696"/>
      <c r="L177" s="696"/>
      <c r="M177" s="696"/>
      <c r="N177" s="696"/>
      <c r="O177" s="696"/>
      <c r="P177" s="697"/>
    </row>
    <row r="178" spans="2:18" x14ac:dyDescent="0.2">
      <c r="B178" s="18"/>
      <c r="C178" s="19"/>
      <c r="D178" s="19"/>
      <c r="E178" s="19"/>
      <c r="F178" s="19"/>
      <c r="G178" s="11"/>
      <c r="H178" s="20"/>
      <c r="I178" s="5"/>
      <c r="J178" s="695"/>
      <c r="K178" s="696"/>
      <c r="L178" s="696"/>
      <c r="M178" s="696"/>
      <c r="N178" s="696"/>
      <c r="O178" s="696"/>
      <c r="P178" s="697"/>
    </row>
    <row r="179" spans="2:18" ht="15.6" customHeight="1" x14ac:dyDescent="0.2">
      <c r="B179" s="704" t="s">
        <v>241</v>
      </c>
      <c r="C179" s="704"/>
      <c r="D179" s="704"/>
      <c r="E179" s="704"/>
      <c r="F179" s="704"/>
      <c r="G179" s="704"/>
      <c r="H179" s="21" t="str">
        <f>IF((+H176+H178)=0,"TRUE","FALSE")</f>
        <v>TRUE</v>
      </c>
      <c r="I179" s="5"/>
      <c r="J179" s="695"/>
      <c r="K179" s="696"/>
      <c r="L179" s="696"/>
      <c r="M179" s="696"/>
      <c r="N179" s="696"/>
      <c r="O179" s="696"/>
      <c r="P179" s="697"/>
    </row>
    <row r="180" spans="2:18" x14ac:dyDescent="0.2">
      <c r="B180" s="675" t="s">
        <v>242</v>
      </c>
      <c r="C180" s="705" t="s">
        <v>525</v>
      </c>
      <c r="D180" s="706"/>
      <c r="E180" s="675" t="s">
        <v>243</v>
      </c>
      <c r="F180" s="671" t="s">
        <v>477</v>
      </c>
      <c r="G180" s="672"/>
      <c r="H180" s="673"/>
      <c r="I180" s="5"/>
      <c r="J180" s="695"/>
      <c r="K180" s="696"/>
      <c r="L180" s="696"/>
      <c r="M180" s="696"/>
      <c r="N180" s="696"/>
      <c r="O180" s="696"/>
      <c r="P180" s="697"/>
    </row>
    <row r="181" spans="2:18" x14ac:dyDescent="0.2">
      <c r="B181" s="676"/>
      <c r="C181" s="707"/>
      <c r="D181" s="708"/>
      <c r="E181" s="676"/>
      <c r="F181" s="677"/>
      <c r="G181" s="678"/>
      <c r="H181" s="679"/>
      <c r="I181" s="5"/>
      <c r="J181" s="698"/>
      <c r="K181" s="699"/>
      <c r="L181" s="699"/>
      <c r="M181" s="699"/>
      <c r="N181" s="699"/>
      <c r="O181" s="699"/>
      <c r="P181" s="700"/>
    </row>
    <row r="182" spans="2:18" x14ac:dyDescent="0.2">
      <c r="B182" s="675" t="s">
        <v>519</v>
      </c>
      <c r="C182" s="709"/>
      <c r="D182" s="680"/>
      <c r="E182" s="675" t="s">
        <v>244</v>
      </c>
      <c r="F182" s="671" t="s">
        <v>494</v>
      </c>
      <c r="G182" s="672"/>
      <c r="H182" s="673"/>
      <c r="I182" s="5"/>
      <c r="J182" s="5"/>
      <c r="K182" s="5"/>
      <c r="L182" s="5"/>
      <c r="M182" s="5"/>
      <c r="N182" s="5"/>
      <c r="O182" s="5"/>
      <c r="P182" s="5"/>
    </row>
    <row r="183" spans="2:18" x14ac:dyDescent="0.2">
      <c r="B183" s="676"/>
      <c r="C183" s="710"/>
      <c r="D183" s="681"/>
      <c r="E183" s="676"/>
      <c r="F183" s="677"/>
      <c r="G183" s="678"/>
      <c r="H183" s="679"/>
      <c r="I183" s="5"/>
      <c r="J183" s="5"/>
      <c r="K183" s="5"/>
      <c r="L183" s="5"/>
      <c r="M183" s="5"/>
      <c r="N183" s="5"/>
      <c r="O183" s="5"/>
      <c r="P183" s="5"/>
    </row>
    <row r="185" spans="2:18" ht="15.75" x14ac:dyDescent="0.25">
      <c r="B185" s="112" t="str">
        <f>+C188</f>
        <v>BENEFICIOS A LOS EMPLEADOS AL RETIRO</v>
      </c>
      <c r="C185" s="110"/>
      <c r="D185" s="110"/>
      <c r="E185" s="110"/>
      <c r="F185" s="111"/>
      <c r="G185" s="110"/>
      <c r="H185" s="111"/>
      <c r="I185" s="110"/>
      <c r="J185" s="110"/>
      <c r="K185" s="110"/>
      <c r="L185" s="110"/>
      <c r="M185" s="110"/>
      <c r="N185" s="110"/>
      <c r="O185" s="110"/>
      <c r="P185" s="110"/>
      <c r="Q185" s="249"/>
    </row>
    <row r="186" spans="2:18" x14ac:dyDescent="0.2">
      <c r="B186" s="684" t="s">
        <v>233</v>
      </c>
      <c r="C186" s="685"/>
      <c r="D186" s="686"/>
      <c r="E186" s="687" t="s">
        <v>234</v>
      </c>
      <c r="F186" s="688"/>
      <c r="G186" s="689"/>
      <c r="H186" s="23" t="s">
        <v>235</v>
      </c>
      <c r="I186" s="5"/>
      <c r="J186" s="720" t="s">
        <v>246</v>
      </c>
      <c r="K186" s="721"/>
      <c r="L186" s="721"/>
      <c r="M186" s="721"/>
      <c r="N186" s="721"/>
      <c r="O186" s="721"/>
      <c r="P186" s="721"/>
      <c r="Q186" s="721"/>
    </row>
    <row r="187" spans="2:18" ht="15.6" customHeight="1" x14ac:dyDescent="0.2">
      <c r="B187" s="6" t="s">
        <v>230</v>
      </c>
      <c r="C187" s="657">
        <f>'I. Balanza'!B262</f>
        <v>2210</v>
      </c>
      <c r="D187" s="658"/>
      <c r="E187" s="659" t="str">
        <f>+E167</f>
        <v>A Diciembre 2024</v>
      </c>
      <c r="F187" s="660"/>
      <c r="G187" s="661"/>
      <c r="H187" s="663" t="s">
        <v>229</v>
      </c>
      <c r="I187" s="5"/>
      <c r="J187" s="718" t="s">
        <v>661</v>
      </c>
      <c r="K187" s="719"/>
      <c r="L187" s="719"/>
      <c r="M187" s="719"/>
      <c r="N187" s="719"/>
      <c r="O187" s="719"/>
      <c r="P187" s="719"/>
      <c r="Q187" s="719"/>
    </row>
    <row r="188" spans="2:18" x14ac:dyDescent="0.2">
      <c r="B188" s="6" t="s">
        <v>231</v>
      </c>
      <c r="C188" s="657" t="str">
        <f>'I. Balanza'!D262</f>
        <v>BENEFICIOS A LOS EMPLEADOS AL RETIRO</v>
      </c>
      <c r="D188" s="658"/>
      <c r="E188" s="662"/>
      <c r="F188" s="660"/>
      <c r="G188" s="661"/>
      <c r="H188" s="663"/>
      <c r="I188" s="5"/>
      <c r="J188" s="718"/>
      <c r="K188" s="719"/>
      <c r="L188" s="719"/>
      <c r="M188" s="719"/>
      <c r="N188" s="719"/>
      <c r="O188" s="719"/>
      <c r="P188" s="719"/>
      <c r="Q188" s="719"/>
      <c r="R188" s="248"/>
    </row>
    <row r="189" spans="2:18" x14ac:dyDescent="0.2">
      <c r="B189" s="667" t="s">
        <v>232</v>
      </c>
      <c r="C189" s="667"/>
      <c r="D189" s="667"/>
      <c r="E189" s="667"/>
      <c r="F189" s="667"/>
      <c r="G189" s="667"/>
      <c r="H189" s="7">
        <f>'I. Balanza'!P262</f>
        <v>-3523889.5700000003</v>
      </c>
      <c r="I189" s="5"/>
      <c r="J189" s="718"/>
      <c r="K189" s="719"/>
      <c r="L189" s="719"/>
      <c r="M189" s="719"/>
      <c r="N189" s="719"/>
      <c r="O189" s="719"/>
      <c r="P189" s="719"/>
      <c r="Q189" s="719"/>
    </row>
    <row r="190" spans="2:18" x14ac:dyDescent="0.2">
      <c r="B190" s="8"/>
      <c r="C190" s="9"/>
      <c r="D190" s="9"/>
      <c r="E190" s="9"/>
      <c r="F190" s="10"/>
      <c r="G190" s="11"/>
      <c r="H190" s="7">
        <v>800000</v>
      </c>
      <c r="I190" s="5"/>
      <c r="J190" s="718"/>
      <c r="K190" s="719"/>
      <c r="L190" s="719"/>
      <c r="M190" s="719"/>
      <c r="N190" s="719"/>
      <c r="O190" s="719"/>
      <c r="P190" s="719"/>
      <c r="Q190" s="719"/>
    </row>
    <row r="191" spans="2:18" x14ac:dyDescent="0.2">
      <c r="B191" s="8"/>
      <c r="C191" s="9"/>
      <c r="D191" s="9"/>
      <c r="E191" s="9"/>
      <c r="F191" s="10"/>
      <c r="G191" s="12"/>
      <c r="H191" s="7">
        <v>715677.57</v>
      </c>
      <c r="I191" s="5"/>
      <c r="J191" s="718"/>
      <c r="K191" s="719"/>
      <c r="L191" s="719"/>
      <c r="M191" s="719"/>
      <c r="N191" s="719"/>
      <c r="O191" s="719"/>
      <c r="P191" s="719"/>
      <c r="Q191" s="719"/>
    </row>
    <row r="192" spans="2:18" x14ac:dyDescent="0.2">
      <c r="B192" s="668" t="s">
        <v>236</v>
      </c>
      <c r="C192" s="669"/>
      <c r="D192" s="669"/>
      <c r="E192" s="669"/>
      <c r="F192" s="669"/>
      <c r="G192" s="670"/>
      <c r="H192" s="13">
        <f>H189+H191-H190</f>
        <v>-3608212.0000000005</v>
      </c>
      <c r="I192" s="5"/>
      <c r="J192" s="718"/>
      <c r="K192" s="719"/>
      <c r="L192" s="719"/>
      <c r="M192" s="719"/>
      <c r="N192" s="719"/>
      <c r="O192" s="719"/>
      <c r="P192" s="719"/>
      <c r="Q192" s="719"/>
    </row>
    <row r="193" spans="2:17" x14ac:dyDescent="0.2">
      <c r="B193" s="668" t="s">
        <v>237</v>
      </c>
      <c r="C193" s="669"/>
      <c r="D193" s="669"/>
      <c r="E193" s="669"/>
      <c r="F193" s="669"/>
      <c r="G193" s="670"/>
      <c r="H193" s="14">
        <f>'I. Balanza'!Q262</f>
        <v>-3608212</v>
      </c>
      <c r="I193" s="5"/>
      <c r="J193" s="718"/>
      <c r="K193" s="719"/>
      <c r="L193" s="719"/>
      <c r="M193" s="719"/>
      <c r="N193" s="719"/>
      <c r="O193" s="719"/>
      <c r="P193" s="719"/>
      <c r="Q193" s="719"/>
    </row>
    <row r="194" spans="2:17" ht="15.6" customHeight="1" x14ac:dyDescent="0.2">
      <c r="B194" s="668" t="s">
        <v>238</v>
      </c>
      <c r="C194" s="669"/>
      <c r="D194" s="669"/>
      <c r="E194" s="669"/>
      <c r="F194" s="669"/>
      <c r="G194" s="670"/>
      <c r="H194" s="13">
        <f>+H192-H193</f>
        <v>0</v>
      </c>
      <c r="I194" s="5"/>
      <c r="J194" s="718"/>
      <c r="K194" s="719"/>
      <c r="L194" s="719"/>
      <c r="M194" s="719"/>
      <c r="N194" s="719"/>
      <c r="O194" s="719"/>
      <c r="P194" s="719"/>
      <c r="Q194" s="719"/>
    </row>
    <row r="195" spans="2:17" x14ac:dyDescent="0.2">
      <c r="B195" s="701" t="s">
        <v>239</v>
      </c>
      <c r="C195" s="702"/>
      <c r="D195" s="702"/>
      <c r="E195" s="702"/>
      <c r="F195" s="702"/>
      <c r="G195" s="703"/>
      <c r="H195" s="15"/>
      <c r="I195" s="5"/>
      <c r="J195" s="718"/>
      <c r="K195" s="719"/>
      <c r="L195" s="719"/>
      <c r="M195" s="719"/>
      <c r="N195" s="719"/>
      <c r="O195" s="719"/>
      <c r="P195" s="719"/>
      <c r="Q195" s="719"/>
    </row>
    <row r="196" spans="2:17" x14ac:dyDescent="0.2">
      <c r="B196" s="16"/>
      <c r="C196" s="5"/>
      <c r="D196" s="5"/>
      <c r="E196" s="5"/>
      <c r="F196" s="5"/>
      <c r="G196" s="17" t="s">
        <v>240</v>
      </c>
      <c r="H196" s="7">
        <f>H194</f>
        <v>0</v>
      </c>
      <c r="I196" s="5"/>
      <c r="J196" s="718"/>
      <c r="K196" s="719"/>
      <c r="L196" s="719"/>
      <c r="M196" s="719"/>
      <c r="N196" s="719"/>
      <c r="O196" s="719"/>
      <c r="P196" s="719"/>
      <c r="Q196" s="719"/>
    </row>
    <row r="197" spans="2:17" x14ac:dyDescent="0.2">
      <c r="B197" s="8"/>
      <c r="C197" s="9"/>
      <c r="D197" s="9"/>
      <c r="E197" s="9"/>
      <c r="F197" s="9"/>
      <c r="G197" s="12"/>
      <c r="H197" s="7"/>
      <c r="I197" s="5"/>
      <c r="J197" s="718"/>
      <c r="K197" s="719"/>
      <c r="L197" s="719"/>
      <c r="M197" s="719"/>
      <c r="N197" s="719"/>
      <c r="O197" s="719"/>
      <c r="P197" s="719"/>
      <c r="Q197" s="719"/>
    </row>
    <row r="198" spans="2:17" x14ac:dyDescent="0.2">
      <c r="B198" s="18"/>
      <c r="C198" s="19"/>
      <c r="D198" s="19"/>
      <c r="E198" s="19"/>
      <c r="F198" s="19"/>
      <c r="G198" s="11"/>
      <c r="H198" s="20"/>
      <c r="I198" s="5"/>
      <c r="J198" s="718"/>
      <c r="K198" s="719"/>
      <c r="L198" s="719"/>
      <c r="M198" s="719"/>
      <c r="N198" s="719"/>
      <c r="O198" s="719"/>
      <c r="P198" s="719"/>
      <c r="Q198" s="719"/>
    </row>
    <row r="199" spans="2:17" x14ac:dyDescent="0.2">
      <c r="B199" s="704" t="s">
        <v>241</v>
      </c>
      <c r="C199" s="704"/>
      <c r="D199" s="704"/>
      <c r="E199" s="704"/>
      <c r="F199" s="704"/>
      <c r="G199" s="704"/>
      <c r="H199" s="21" t="str">
        <f>IF((+H196+H198)=0,"TRUE","FALSE")</f>
        <v>TRUE</v>
      </c>
      <c r="I199" s="5"/>
      <c r="J199" s="718"/>
      <c r="K199" s="719"/>
      <c r="L199" s="719"/>
      <c r="M199" s="719"/>
      <c r="N199" s="719"/>
      <c r="O199" s="719"/>
      <c r="P199" s="719"/>
      <c r="Q199" s="719"/>
    </row>
    <row r="200" spans="2:17" x14ac:dyDescent="0.2">
      <c r="B200" s="675" t="s">
        <v>242</v>
      </c>
      <c r="C200" s="705" t="s">
        <v>525</v>
      </c>
      <c r="D200" s="706"/>
      <c r="E200" s="675" t="s">
        <v>243</v>
      </c>
      <c r="F200" s="671" t="s">
        <v>477</v>
      </c>
      <c r="G200" s="672"/>
      <c r="H200" s="673"/>
      <c r="I200" s="5"/>
      <c r="J200" s="718"/>
      <c r="K200" s="719"/>
      <c r="L200" s="719"/>
      <c r="M200" s="719"/>
      <c r="N200" s="719"/>
      <c r="O200" s="719"/>
      <c r="P200" s="719"/>
      <c r="Q200" s="719"/>
    </row>
    <row r="201" spans="2:17" x14ac:dyDescent="0.2">
      <c r="B201" s="676"/>
      <c r="C201" s="707"/>
      <c r="D201" s="708"/>
      <c r="E201" s="676"/>
      <c r="F201" s="677"/>
      <c r="G201" s="678"/>
      <c r="H201" s="679"/>
      <c r="I201" s="5"/>
      <c r="J201" s="718"/>
      <c r="K201" s="719"/>
      <c r="L201" s="719"/>
      <c r="M201" s="719"/>
      <c r="N201" s="719"/>
      <c r="O201" s="719"/>
      <c r="P201" s="719"/>
      <c r="Q201" s="719"/>
    </row>
    <row r="202" spans="2:17" x14ac:dyDescent="0.2">
      <c r="B202" s="675" t="s">
        <v>519</v>
      </c>
      <c r="C202" s="709"/>
      <c r="D202" s="680"/>
      <c r="E202" s="675" t="s">
        <v>244</v>
      </c>
      <c r="F202" s="671" t="s">
        <v>494</v>
      </c>
      <c r="G202" s="672"/>
      <c r="H202" s="673"/>
      <c r="I202" s="5"/>
      <c r="J202" s="5"/>
      <c r="K202" s="5"/>
      <c r="L202" s="5"/>
      <c r="M202" s="5"/>
      <c r="N202" s="5"/>
      <c r="O202" s="5"/>
      <c r="P202" s="5"/>
    </row>
    <row r="203" spans="2:17" x14ac:dyDescent="0.2">
      <c r="B203" s="676"/>
      <c r="C203" s="710"/>
      <c r="D203" s="681"/>
      <c r="E203" s="676"/>
      <c r="F203" s="677"/>
      <c r="G203" s="678"/>
      <c r="H203" s="679"/>
      <c r="I203" s="5"/>
      <c r="J203" s="5"/>
      <c r="K203" s="5"/>
      <c r="L203" s="5"/>
      <c r="M203" s="5"/>
      <c r="N203" s="5"/>
      <c r="O203" s="5"/>
      <c r="P203" s="5"/>
    </row>
    <row r="205" spans="2:17" ht="15.75" x14ac:dyDescent="0.25">
      <c r="B205" s="112" t="str">
        <f>+C208</f>
        <v>ARRENDAMIENTO SUCURSAL</v>
      </c>
      <c r="C205" s="110"/>
      <c r="D205" s="110"/>
      <c r="E205" s="110"/>
      <c r="F205" s="111"/>
      <c r="G205" s="110"/>
      <c r="H205" s="111"/>
      <c r="I205" s="110"/>
      <c r="J205" s="110"/>
      <c r="K205" s="110"/>
      <c r="L205" s="110"/>
      <c r="M205" s="110"/>
      <c r="N205" s="110"/>
      <c r="O205" s="110"/>
      <c r="P205" s="110"/>
    </row>
    <row r="206" spans="2:17" x14ac:dyDescent="0.2">
      <c r="B206" s="684" t="s">
        <v>233</v>
      </c>
      <c r="C206" s="685"/>
      <c r="D206" s="686"/>
      <c r="E206" s="687" t="s">
        <v>234</v>
      </c>
      <c r="F206" s="688"/>
      <c r="G206" s="689"/>
      <c r="H206" s="23" t="s">
        <v>235</v>
      </c>
      <c r="I206" s="5"/>
      <c r="J206" s="654" t="s">
        <v>246</v>
      </c>
      <c r="K206" s="655"/>
      <c r="L206" s="655"/>
      <c r="M206" s="655"/>
      <c r="N206" s="655"/>
      <c r="O206" s="655"/>
      <c r="P206" s="656"/>
    </row>
    <row r="207" spans="2:17" x14ac:dyDescent="0.2">
      <c r="B207" s="6" t="s">
        <v>230</v>
      </c>
      <c r="C207" s="657">
        <f>'I. Balanza'!B267</f>
        <v>2220</v>
      </c>
      <c r="D207" s="658"/>
      <c r="E207" s="659" t="str">
        <f>+E187</f>
        <v>A Diciembre 2024</v>
      </c>
      <c r="F207" s="660"/>
      <c r="G207" s="661"/>
      <c r="H207" s="663" t="s">
        <v>229</v>
      </c>
      <c r="I207" s="5"/>
      <c r="J207" s="671"/>
      <c r="K207" s="672"/>
      <c r="L207" s="672"/>
      <c r="M207" s="672"/>
      <c r="N207" s="672"/>
      <c r="O207" s="672"/>
      <c r="P207" s="673"/>
    </row>
    <row r="208" spans="2:17" x14ac:dyDescent="0.2">
      <c r="B208" s="6" t="s">
        <v>231</v>
      </c>
      <c r="C208" s="657" t="str">
        <f>'I. Balanza'!D267</f>
        <v>ARRENDAMIENTO SUCURSAL</v>
      </c>
      <c r="D208" s="658"/>
      <c r="E208" s="662"/>
      <c r="F208" s="660"/>
      <c r="G208" s="661"/>
      <c r="H208" s="663"/>
      <c r="I208" s="5"/>
      <c r="J208" s="674"/>
      <c r="K208" s="657"/>
      <c r="L208" s="657"/>
      <c r="M208" s="657"/>
      <c r="N208" s="657"/>
      <c r="O208" s="657"/>
      <c r="P208" s="658"/>
    </row>
    <row r="209" spans="2:16" x14ac:dyDescent="0.2">
      <c r="B209" s="667" t="s">
        <v>232</v>
      </c>
      <c r="C209" s="667"/>
      <c r="D209" s="667"/>
      <c r="E209" s="667"/>
      <c r="F209" s="667"/>
      <c r="G209" s="667"/>
      <c r="H209" s="7">
        <f>'I. Balanza'!P267</f>
        <v>-649389.97501842002</v>
      </c>
      <c r="I209" s="5"/>
      <c r="J209" s="674"/>
      <c r="K209" s="657"/>
      <c r="L209" s="657"/>
      <c r="M209" s="657"/>
      <c r="N209" s="657"/>
      <c r="O209" s="657"/>
      <c r="P209" s="658"/>
    </row>
    <row r="210" spans="2:16" x14ac:dyDescent="0.2">
      <c r="B210" s="8"/>
      <c r="C210" s="9"/>
      <c r="D210" s="9"/>
      <c r="E210" s="9"/>
      <c r="F210" s="10"/>
      <c r="G210" s="11"/>
      <c r="H210" s="7">
        <v>10000</v>
      </c>
      <c r="I210" s="5"/>
      <c r="J210" s="674"/>
      <c r="K210" s="657"/>
      <c r="L210" s="657"/>
      <c r="M210" s="657"/>
      <c r="N210" s="657"/>
      <c r="O210" s="657"/>
      <c r="P210" s="658"/>
    </row>
    <row r="211" spans="2:16" x14ac:dyDescent="0.2">
      <c r="B211" s="8"/>
      <c r="C211" s="9"/>
      <c r="D211" s="9"/>
      <c r="E211" s="9"/>
      <c r="F211" s="10"/>
      <c r="G211" s="12"/>
      <c r="H211" s="7"/>
      <c r="I211" s="5"/>
      <c r="J211" s="674"/>
      <c r="K211" s="657"/>
      <c r="L211" s="657"/>
      <c r="M211" s="657"/>
      <c r="N211" s="657"/>
      <c r="O211" s="657"/>
      <c r="P211" s="658"/>
    </row>
    <row r="212" spans="2:16" x14ac:dyDescent="0.2">
      <c r="B212" s="668" t="s">
        <v>236</v>
      </c>
      <c r="C212" s="669"/>
      <c r="D212" s="669"/>
      <c r="E212" s="669"/>
      <c r="F212" s="669"/>
      <c r="G212" s="670"/>
      <c r="H212" s="13">
        <f>+H209+H210-H211</f>
        <v>-639389.97501842002</v>
      </c>
      <c r="I212" s="5"/>
      <c r="J212" s="674"/>
      <c r="K212" s="657"/>
      <c r="L212" s="657"/>
      <c r="M212" s="657"/>
      <c r="N212" s="657"/>
      <c r="O212" s="657"/>
      <c r="P212" s="658"/>
    </row>
    <row r="213" spans="2:16" x14ac:dyDescent="0.2">
      <c r="B213" s="668" t="s">
        <v>237</v>
      </c>
      <c r="C213" s="669"/>
      <c r="D213" s="669"/>
      <c r="E213" s="669"/>
      <c r="F213" s="669"/>
      <c r="G213" s="670"/>
      <c r="H213" s="14">
        <f>'I. Balanza'!Q267</f>
        <v>-639389.97501842002</v>
      </c>
      <c r="I213" s="5"/>
      <c r="J213" s="654" t="s">
        <v>245</v>
      </c>
      <c r="K213" s="655"/>
      <c r="L213" s="655"/>
      <c r="M213" s="655"/>
      <c r="N213" s="655"/>
      <c r="O213" s="655"/>
      <c r="P213" s="656"/>
    </row>
    <row r="214" spans="2:16" x14ac:dyDescent="0.2">
      <c r="B214" s="668" t="s">
        <v>238</v>
      </c>
      <c r="C214" s="669"/>
      <c r="D214" s="669"/>
      <c r="E214" s="669"/>
      <c r="F214" s="669"/>
      <c r="G214" s="670"/>
      <c r="H214" s="13">
        <f>+H212-H213</f>
        <v>0</v>
      </c>
      <c r="I214" s="5"/>
      <c r="J214" s="692" t="s">
        <v>537</v>
      </c>
      <c r="K214" s="693"/>
      <c r="L214" s="693"/>
      <c r="M214" s="693"/>
      <c r="N214" s="693"/>
      <c r="O214" s="693"/>
      <c r="P214" s="694"/>
    </row>
    <row r="215" spans="2:16" x14ac:dyDescent="0.2">
      <c r="B215" s="701" t="s">
        <v>239</v>
      </c>
      <c r="C215" s="702"/>
      <c r="D215" s="702"/>
      <c r="E215" s="702"/>
      <c r="F215" s="702"/>
      <c r="G215" s="703"/>
      <c r="H215" s="15"/>
      <c r="I215" s="5"/>
      <c r="J215" s="695"/>
      <c r="K215" s="696"/>
      <c r="L215" s="696"/>
      <c r="M215" s="696"/>
      <c r="N215" s="696"/>
      <c r="O215" s="696"/>
      <c r="P215" s="697"/>
    </row>
    <row r="216" spans="2:16" x14ac:dyDescent="0.2">
      <c r="B216" s="16"/>
      <c r="C216" s="5"/>
      <c r="D216" s="5"/>
      <c r="E216" s="5"/>
      <c r="F216" s="5"/>
      <c r="G216" s="17" t="s">
        <v>240</v>
      </c>
      <c r="H216" s="7">
        <f>H214</f>
        <v>0</v>
      </c>
      <c r="I216" s="5"/>
      <c r="J216" s="695"/>
      <c r="K216" s="696"/>
      <c r="L216" s="696"/>
      <c r="M216" s="696"/>
      <c r="N216" s="696"/>
      <c r="O216" s="696"/>
      <c r="P216" s="697"/>
    </row>
    <row r="217" spans="2:16" x14ac:dyDescent="0.2">
      <c r="B217" s="8"/>
      <c r="C217" s="9"/>
      <c r="D217" s="9"/>
      <c r="E217" s="9"/>
      <c r="F217" s="9"/>
      <c r="G217" s="12"/>
      <c r="H217" s="7"/>
      <c r="I217" s="5"/>
      <c r="J217" s="695"/>
      <c r="K217" s="696"/>
      <c r="L217" s="696"/>
      <c r="M217" s="696"/>
      <c r="N217" s="696"/>
      <c r="O217" s="696"/>
      <c r="P217" s="697"/>
    </row>
    <row r="218" spans="2:16" x14ac:dyDescent="0.2">
      <c r="B218" s="18"/>
      <c r="C218" s="19"/>
      <c r="D218" s="19"/>
      <c r="E218" s="19"/>
      <c r="F218" s="19"/>
      <c r="G218" s="11"/>
      <c r="H218" s="20"/>
      <c r="I218" s="5"/>
      <c r="J218" s="695"/>
      <c r="K218" s="696"/>
      <c r="L218" s="696"/>
      <c r="M218" s="696"/>
      <c r="N218" s="696"/>
      <c r="O218" s="696"/>
      <c r="P218" s="697"/>
    </row>
    <row r="219" spans="2:16" x14ac:dyDescent="0.2">
      <c r="B219" s="704" t="s">
        <v>241</v>
      </c>
      <c r="C219" s="704"/>
      <c r="D219" s="704"/>
      <c r="E219" s="704"/>
      <c r="F219" s="704"/>
      <c r="G219" s="704"/>
      <c r="H219" s="21" t="str">
        <f>IF((+H216+H218)=0,"TRUE","FALSE")</f>
        <v>TRUE</v>
      </c>
      <c r="I219" s="5"/>
      <c r="J219" s="695"/>
      <c r="K219" s="696"/>
      <c r="L219" s="696"/>
      <c r="M219" s="696"/>
      <c r="N219" s="696"/>
      <c r="O219" s="696"/>
      <c r="P219" s="697"/>
    </row>
    <row r="220" spans="2:16" x14ac:dyDescent="0.2">
      <c r="B220" s="675" t="s">
        <v>242</v>
      </c>
      <c r="C220" s="705" t="s">
        <v>525</v>
      </c>
      <c r="D220" s="706"/>
      <c r="E220" s="675" t="s">
        <v>243</v>
      </c>
      <c r="F220" s="671" t="s">
        <v>477</v>
      </c>
      <c r="G220" s="672"/>
      <c r="H220" s="673"/>
      <c r="I220" s="5"/>
      <c r="J220" s="695"/>
      <c r="K220" s="696"/>
      <c r="L220" s="696"/>
      <c r="M220" s="696"/>
      <c r="N220" s="696"/>
      <c r="O220" s="696"/>
      <c r="P220" s="697"/>
    </row>
    <row r="221" spans="2:16" x14ac:dyDescent="0.2">
      <c r="B221" s="676"/>
      <c r="C221" s="707"/>
      <c r="D221" s="708"/>
      <c r="E221" s="676"/>
      <c r="F221" s="677"/>
      <c r="G221" s="678"/>
      <c r="H221" s="679"/>
      <c r="I221" s="5"/>
      <c r="J221" s="698"/>
      <c r="K221" s="699"/>
      <c r="L221" s="699"/>
      <c r="M221" s="699"/>
      <c r="N221" s="699"/>
      <c r="O221" s="699"/>
      <c r="P221" s="700"/>
    </row>
    <row r="222" spans="2:16" x14ac:dyDescent="0.2">
      <c r="B222" s="675" t="s">
        <v>519</v>
      </c>
      <c r="C222" s="709"/>
      <c r="D222" s="680"/>
      <c r="E222" s="675" t="s">
        <v>244</v>
      </c>
      <c r="F222" s="671" t="s">
        <v>494</v>
      </c>
      <c r="G222" s="672"/>
      <c r="H222" s="673"/>
      <c r="I222" s="5"/>
      <c r="J222" s="5"/>
      <c r="K222" s="5"/>
      <c r="L222" s="5"/>
      <c r="M222" s="5"/>
      <c r="N222" s="5"/>
      <c r="O222" s="5"/>
      <c r="P222" s="5"/>
    </row>
    <row r="223" spans="2:16" x14ac:dyDescent="0.2">
      <c r="B223" s="676"/>
      <c r="C223" s="710"/>
      <c r="D223" s="681"/>
      <c r="E223" s="676"/>
      <c r="F223" s="677"/>
      <c r="G223" s="678"/>
      <c r="H223" s="679"/>
      <c r="I223" s="5"/>
      <c r="J223" s="5"/>
      <c r="K223" s="5"/>
      <c r="L223" s="5"/>
      <c r="M223" s="5"/>
      <c r="N223" s="5"/>
      <c r="O223" s="5"/>
      <c r="P223" s="5"/>
    </row>
  </sheetData>
  <mergeCells count="262">
    <mergeCell ref="B102:B103"/>
    <mergeCell ref="C102:D103"/>
    <mergeCell ref="E102:E103"/>
    <mergeCell ref="F102:H103"/>
    <mergeCell ref="B93:G93"/>
    <mergeCell ref="J93:P93"/>
    <mergeCell ref="B94:G94"/>
    <mergeCell ref="J94:P101"/>
    <mergeCell ref="B95:G95"/>
    <mergeCell ref="B99:G99"/>
    <mergeCell ref="B100:B101"/>
    <mergeCell ref="C100:D101"/>
    <mergeCell ref="E100:E101"/>
    <mergeCell ref="F100:H101"/>
    <mergeCell ref="B86:D86"/>
    <mergeCell ref="E86:G86"/>
    <mergeCell ref="J86:P86"/>
    <mergeCell ref="C87:D87"/>
    <mergeCell ref="E87:G88"/>
    <mergeCell ref="H87:H88"/>
    <mergeCell ref="J87:P92"/>
    <mergeCell ref="C88:D88"/>
    <mergeCell ref="B89:G89"/>
    <mergeCell ref="B92:G92"/>
    <mergeCell ref="C28:D28"/>
    <mergeCell ref="B29:G29"/>
    <mergeCell ref="B32:G32"/>
    <mergeCell ref="B42:B43"/>
    <mergeCell ref="C42:D43"/>
    <mergeCell ref="E42:E43"/>
    <mergeCell ref="F42:H43"/>
    <mergeCell ref="B33:G33"/>
    <mergeCell ref="J33:P33"/>
    <mergeCell ref="B34:G34"/>
    <mergeCell ref="J34:P41"/>
    <mergeCell ref="B35:G35"/>
    <mergeCell ref="B39:G39"/>
    <mergeCell ref="B40:B41"/>
    <mergeCell ref="C40:D41"/>
    <mergeCell ref="E40:E41"/>
    <mergeCell ref="F40:H41"/>
    <mergeCell ref="B6:D6"/>
    <mergeCell ref="E6:G6"/>
    <mergeCell ref="J6:P6"/>
    <mergeCell ref="C7:D7"/>
    <mergeCell ref="E7:G8"/>
    <mergeCell ref="H7:H8"/>
    <mergeCell ref="J7:P12"/>
    <mergeCell ref="C8:D8"/>
    <mergeCell ref="B9:G9"/>
    <mergeCell ref="B12:G12"/>
    <mergeCell ref="B13:G13"/>
    <mergeCell ref="J13:P13"/>
    <mergeCell ref="B14:G14"/>
    <mergeCell ref="J14:P21"/>
    <mergeCell ref="B15:G15"/>
    <mergeCell ref="B19:G19"/>
    <mergeCell ref="B20:B21"/>
    <mergeCell ref="C20:D21"/>
    <mergeCell ref="J46:P46"/>
    <mergeCell ref="E20:E21"/>
    <mergeCell ref="F20:H21"/>
    <mergeCell ref="E22:E23"/>
    <mergeCell ref="F22:H23"/>
    <mergeCell ref="B46:D46"/>
    <mergeCell ref="E46:G46"/>
    <mergeCell ref="B22:B23"/>
    <mergeCell ref="C22:D23"/>
    <mergeCell ref="B26:D26"/>
    <mergeCell ref="E26:G26"/>
    <mergeCell ref="J26:P26"/>
    <mergeCell ref="C27:D27"/>
    <mergeCell ref="E27:G28"/>
    <mergeCell ref="H27:H28"/>
    <mergeCell ref="J27:P32"/>
    <mergeCell ref="C47:D47"/>
    <mergeCell ref="E47:G48"/>
    <mergeCell ref="H47:H48"/>
    <mergeCell ref="J47:P52"/>
    <mergeCell ref="C48:D48"/>
    <mergeCell ref="B49:G49"/>
    <mergeCell ref="B52:G52"/>
    <mergeCell ref="E82:E83"/>
    <mergeCell ref="F82:H83"/>
    <mergeCell ref="B73:G73"/>
    <mergeCell ref="J73:P73"/>
    <mergeCell ref="B74:G74"/>
    <mergeCell ref="J74:P81"/>
    <mergeCell ref="B75:G75"/>
    <mergeCell ref="B79:G79"/>
    <mergeCell ref="B80:B81"/>
    <mergeCell ref="C80:D81"/>
    <mergeCell ref="E80:E81"/>
    <mergeCell ref="F80:H81"/>
    <mergeCell ref="B82:B83"/>
    <mergeCell ref="C82:D83"/>
    <mergeCell ref="C67:D67"/>
    <mergeCell ref="E67:G68"/>
    <mergeCell ref="H67:H68"/>
    <mergeCell ref="J67:P72"/>
    <mergeCell ref="C68:D68"/>
    <mergeCell ref="B69:G69"/>
    <mergeCell ref="B72:G72"/>
    <mergeCell ref="B53:G53"/>
    <mergeCell ref="J53:P53"/>
    <mergeCell ref="B54:G54"/>
    <mergeCell ref="J54:P61"/>
    <mergeCell ref="B55:G55"/>
    <mergeCell ref="B59:G59"/>
    <mergeCell ref="B60:B61"/>
    <mergeCell ref="C60:D61"/>
    <mergeCell ref="E60:E61"/>
    <mergeCell ref="F60:H61"/>
    <mergeCell ref="E62:E63"/>
    <mergeCell ref="F62:H63"/>
    <mergeCell ref="B62:B63"/>
    <mergeCell ref="C62:D63"/>
    <mergeCell ref="B66:D66"/>
    <mergeCell ref="E66:G66"/>
    <mergeCell ref="J66:P66"/>
    <mergeCell ref="B106:D106"/>
    <mergeCell ref="E106:G106"/>
    <mergeCell ref="J106:P106"/>
    <mergeCell ref="C107:D107"/>
    <mergeCell ref="E107:G108"/>
    <mergeCell ref="H107:H108"/>
    <mergeCell ref="J107:P112"/>
    <mergeCell ref="C108:D108"/>
    <mergeCell ref="B109:G109"/>
    <mergeCell ref="B112:G112"/>
    <mergeCell ref="B113:G113"/>
    <mergeCell ref="J113:P113"/>
    <mergeCell ref="B114:G114"/>
    <mergeCell ref="J114:P121"/>
    <mergeCell ref="B115:G115"/>
    <mergeCell ref="B119:G119"/>
    <mergeCell ref="B120:B121"/>
    <mergeCell ref="C120:D121"/>
    <mergeCell ref="J126:P126"/>
    <mergeCell ref="C127:D127"/>
    <mergeCell ref="E127:G128"/>
    <mergeCell ref="H127:H128"/>
    <mergeCell ref="J127:P132"/>
    <mergeCell ref="C128:D128"/>
    <mergeCell ref="B129:G129"/>
    <mergeCell ref="B132:G132"/>
    <mergeCell ref="E120:E121"/>
    <mergeCell ref="F120:H121"/>
    <mergeCell ref="E122:E123"/>
    <mergeCell ref="F122:H123"/>
    <mergeCell ref="B126:D126"/>
    <mergeCell ref="E126:G126"/>
    <mergeCell ref="B122:B123"/>
    <mergeCell ref="C122:D123"/>
    <mergeCell ref="B133:G133"/>
    <mergeCell ref="J133:P133"/>
    <mergeCell ref="B134:G134"/>
    <mergeCell ref="J134:P141"/>
    <mergeCell ref="B135:G135"/>
    <mergeCell ref="B139:G139"/>
    <mergeCell ref="B140:B141"/>
    <mergeCell ref="C140:D141"/>
    <mergeCell ref="E140:E141"/>
    <mergeCell ref="F140:H141"/>
    <mergeCell ref="B153:G153"/>
    <mergeCell ref="J153:P153"/>
    <mergeCell ref="B154:G154"/>
    <mergeCell ref="J154:P161"/>
    <mergeCell ref="B155:G155"/>
    <mergeCell ref="B159:G159"/>
    <mergeCell ref="B160:B161"/>
    <mergeCell ref="C160:D161"/>
    <mergeCell ref="E142:E143"/>
    <mergeCell ref="F142:H143"/>
    <mergeCell ref="B146:D146"/>
    <mergeCell ref="E146:G146"/>
    <mergeCell ref="J146:P146"/>
    <mergeCell ref="C147:D147"/>
    <mergeCell ref="E147:G148"/>
    <mergeCell ref="H147:H148"/>
    <mergeCell ref="J147:P152"/>
    <mergeCell ref="C148:D148"/>
    <mergeCell ref="B149:G149"/>
    <mergeCell ref="B152:G152"/>
    <mergeCell ref="B142:B143"/>
    <mergeCell ref="C142:D143"/>
    <mergeCell ref="B166:D166"/>
    <mergeCell ref="E166:G166"/>
    <mergeCell ref="J166:P166"/>
    <mergeCell ref="C167:D167"/>
    <mergeCell ref="E167:G168"/>
    <mergeCell ref="H167:H168"/>
    <mergeCell ref="J167:P172"/>
    <mergeCell ref="C168:D168"/>
    <mergeCell ref="E160:E161"/>
    <mergeCell ref="F160:H161"/>
    <mergeCell ref="E162:E163"/>
    <mergeCell ref="F162:H163"/>
    <mergeCell ref="B162:B163"/>
    <mergeCell ref="C162:D163"/>
    <mergeCell ref="E180:E181"/>
    <mergeCell ref="F180:H181"/>
    <mergeCell ref="E182:E183"/>
    <mergeCell ref="F182:H183"/>
    <mergeCell ref="B169:G169"/>
    <mergeCell ref="B172:G172"/>
    <mergeCell ref="B173:G173"/>
    <mergeCell ref="J173:P173"/>
    <mergeCell ref="B174:G174"/>
    <mergeCell ref="J174:P181"/>
    <mergeCell ref="B175:G175"/>
    <mergeCell ref="B179:G179"/>
    <mergeCell ref="B180:B181"/>
    <mergeCell ref="C180:D181"/>
    <mergeCell ref="B182:B183"/>
    <mergeCell ref="C182:D183"/>
    <mergeCell ref="E202:E203"/>
    <mergeCell ref="F202:H203"/>
    <mergeCell ref="B193:G193"/>
    <mergeCell ref="B194:G194"/>
    <mergeCell ref="B195:G195"/>
    <mergeCell ref="B199:G199"/>
    <mergeCell ref="B200:B201"/>
    <mergeCell ref="C200:D201"/>
    <mergeCell ref="E200:E201"/>
    <mergeCell ref="F200:H201"/>
    <mergeCell ref="B202:B203"/>
    <mergeCell ref="C202:D203"/>
    <mergeCell ref="B186:D186"/>
    <mergeCell ref="E186:G186"/>
    <mergeCell ref="C187:D187"/>
    <mergeCell ref="E187:G188"/>
    <mergeCell ref="H187:H188"/>
    <mergeCell ref="C188:D188"/>
    <mergeCell ref="B189:G189"/>
    <mergeCell ref="B192:G192"/>
    <mergeCell ref="J187:Q201"/>
    <mergeCell ref="J186:Q186"/>
    <mergeCell ref="B206:D206"/>
    <mergeCell ref="E206:G206"/>
    <mergeCell ref="J206:P206"/>
    <mergeCell ref="C207:D207"/>
    <mergeCell ref="E207:G208"/>
    <mergeCell ref="H207:H208"/>
    <mergeCell ref="J207:P212"/>
    <mergeCell ref="C208:D208"/>
    <mergeCell ref="B209:G209"/>
    <mergeCell ref="B212:G212"/>
    <mergeCell ref="B222:B223"/>
    <mergeCell ref="C222:D223"/>
    <mergeCell ref="E222:E223"/>
    <mergeCell ref="F222:H223"/>
    <mergeCell ref="B213:G213"/>
    <mergeCell ref="J213:P213"/>
    <mergeCell ref="B214:G214"/>
    <mergeCell ref="J214:P221"/>
    <mergeCell ref="B215:G215"/>
    <mergeCell ref="B219:G219"/>
    <mergeCell ref="B220:B221"/>
    <mergeCell ref="C220:D221"/>
    <mergeCell ref="E220:E221"/>
    <mergeCell ref="F220:H221"/>
  </mergeCells>
  <conditionalFormatting sqref="H19">
    <cfRule type="containsText" dxfId="62" priority="23" operator="containsText" text="TRUE">
      <formula>NOT(ISERROR(SEARCH("TRUE",H19)))</formula>
    </cfRule>
    <cfRule type="cellIs" dxfId="61" priority="24" operator="equal">
      <formula>"""TRUE"""</formula>
    </cfRule>
  </conditionalFormatting>
  <conditionalFormatting sqref="H39">
    <cfRule type="containsText" dxfId="60" priority="5" operator="containsText" text="TRUE">
      <formula>NOT(ISERROR(SEARCH("TRUE",H39)))</formula>
    </cfRule>
    <cfRule type="cellIs" dxfId="59" priority="6" operator="equal">
      <formula>"""TRUE"""</formula>
    </cfRule>
  </conditionalFormatting>
  <conditionalFormatting sqref="H59">
    <cfRule type="containsText" dxfId="58" priority="19" operator="containsText" text="TRUE">
      <formula>NOT(ISERROR(SEARCH("TRUE",H59)))</formula>
    </cfRule>
    <cfRule type="cellIs" dxfId="57" priority="20" operator="equal">
      <formula>"""TRUE"""</formula>
    </cfRule>
  </conditionalFormatting>
  <conditionalFormatting sqref="H79">
    <cfRule type="containsText" dxfId="56" priority="21" operator="containsText" text="TRUE">
      <formula>NOT(ISERROR(SEARCH("TRUE",H79)))</formula>
    </cfRule>
    <cfRule type="cellIs" dxfId="55" priority="22" operator="equal">
      <formula>"""TRUE"""</formula>
    </cfRule>
  </conditionalFormatting>
  <conditionalFormatting sqref="H99">
    <cfRule type="containsText" dxfId="54" priority="3" operator="containsText" text="TRUE">
      <formula>NOT(ISERROR(SEARCH("TRUE",H99)))</formula>
    </cfRule>
    <cfRule type="cellIs" dxfId="53" priority="4" operator="equal">
      <formula>"""TRUE"""</formula>
    </cfRule>
  </conditionalFormatting>
  <conditionalFormatting sqref="H119">
    <cfRule type="containsText" dxfId="52" priority="17" operator="containsText" text="TRUE">
      <formula>NOT(ISERROR(SEARCH("TRUE",H119)))</formula>
    </cfRule>
    <cfRule type="cellIs" dxfId="51" priority="18" operator="equal">
      <formula>"""TRUE"""</formula>
    </cfRule>
  </conditionalFormatting>
  <conditionalFormatting sqref="H139">
    <cfRule type="containsText" dxfId="50" priority="15" operator="containsText" text="TRUE">
      <formula>NOT(ISERROR(SEARCH("TRUE",H139)))</formula>
    </cfRule>
    <cfRule type="cellIs" dxfId="49" priority="16" operator="equal">
      <formula>"""TRUE"""</formula>
    </cfRule>
  </conditionalFormatting>
  <conditionalFormatting sqref="H159">
    <cfRule type="containsText" dxfId="48" priority="13" operator="containsText" text="TRUE">
      <formula>NOT(ISERROR(SEARCH("TRUE",H159)))</formula>
    </cfRule>
    <cfRule type="cellIs" dxfId="47" priority="14" operator="equal">
      <formula>"""TRUE"""</formula>
    </cfRule>
  </conditionalFormatting>
  <conditionalFormatting sqref="H179">
    <cfRule type="containsText" dxfId="46" priority="9" operator="containsText" text="TRUE">
      <formula>NOT(ISERROR(SEARCH("TRUE",H179)))</formula>
    </cfRule>
    <cfRule type="cellIs" dxfId="45" priority="10" operator="equal">
      <formula>"""TRUE"""</formula>
    </cfRule>
  </conditionalFormatting>
  <conditionalFormatting sqref="H199">
    <cfRule type="containsText" dxfId="44" priority="7" operator="containsText" text="TRUE">
      <formula>NOT(ISERROR(SEARCH("TRUE",H199)))</formula>
    </cfRule>
    <cfRule type="cellIs" dxfId="43" priority="8" operator="equal">
      <formula>"""TRUE"""</formula>
    </cfRule>
  </conditionalFormatting>
  <conditionalFormatting sqref="H219">
    <cfRule type="containsText" dxfId="42" priority="1" operator="containsText" text="TRUE">
      <formula>NOT(ISERROR(SEARCH("TRUE",H219)))</formula>
    </cfRule>
    <cfRule type="cellIs" dxfId="41" priority="2" operator="equal">
      <formula>"""TRUE"""</formula>
    </cfRule>
  </conditionalFormatting>
  <hyperlinks>
    <hyperlink ref="B69" location="Indice!A1" display="Indice" xr:uid="{64C83A2E-30A5-46D1-9CCB-FE33A36CF143}"/>
    <hyperlink ref="B9" location="Indice!A1" display="Indice" xr:uid="{6212CD3B-2BCF-42A6-9002-6B63E66CFF3F}"/>
    <hyperlink ref="B109" location="Indice!A1" display="Indice" xr:uid="{27F102A3-0B1B-480F-B42D-1E7BCA6AD5B4}"/>
    <hyperlink ref="B49" location="Indice!A1" display="Indice" xr:uid="{E26A1699-CFEE-4A03-A8A9-648C350A63DF}"/>
    <hyperlink ref="B129" location="Indice!A1" display="Indice" xr:uid="{CE86276F-2AB3-48B2-9079-411543C21B6F}"/>
    <hyperlink ref="B149" location="Indice!A1" display="Indice" xr:uid="{34FFBB9E-F600-4004-A8B0-2C91D627753C}"/>
    <hyperlink ref="B169" location="Indice!A1" display="Indice" xr:uid="{8DA8BFDA-1860-4223-8E2F-E622629DEC00}"/>
    <hyperlink ref="B189" location="Indice!A1" display="Indice" xr:uid="{B43DEDD7-8831-4663-86E4-5D155B22C537}"/>
    <hyperlink ref="B29" location="Indice!A1" display="Indice" xr:uid="{DDB6486B-1EC9-40DC-BFED-30984A4E2852}"/>
    <hyperlink ref="B89" location="Indice!A1" display="Indice" xr:uid="{F70A565C-2601-4D76-8332-45A35393B978}"/>
    <hyperlink ref="B209" location="Indice!A1" display="Indice" xr:uid="{E4ED966B-E747-4E74-AAFA-AA1B40A738BA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AA4AE-2943-41BE-84A6-650D1EC8BD69}">
  <sheetPr>
    <pageSetUpPr fitToPage="1"/>
  </sheetPr>
  <dimension ref="A1:R68"/>
  <sheetViews>
    <sheetView showGridLines="0" zoomScale="130" zoomScaleNormal="130" workbookViewId="0">
      <pane xSplit="2" ySplit="7" topLeftCell="D43" activePane="bottomRight" state="frozen"/>
      <selection activeCell="R32" sqref="R32"/>
      <selection pane="topRight" activeCell="R32" sqref="R32"/>
      <selection pane="bottomLeft" activeCell="R32" sqref="R32"/>
      <selection pane="bottomRight" activeCell="N59" sqref="N59"/>
    </sheetView>
  </sheetViews>
  <sheetFormatPr baseColWidth="10" defaultColWidth="10.88671875" defaultRowHeight="12.75" x14ac:dyDescent="0.2"/>
  <cols>
    <col min="1" max="1" width="11.5546875" style="319" customWidth="1"/>
    <col min="2" max="2" width="22.77734375" style="309" customWidth="1"/>
    <col min="3" max="3" width="10.77734375" style="310" bestFit="1" customWidth="1"/>
    <col min="4" max="7" width="10.77734375" style="311" bestFit="1" customWidth="1"/>
    <col min="8" max="10" width="9.88671875" style="311" customWidth="1"/>
    <col min="11" max="11" width="9.88671875" style="309" customWidth="1"/>
    <col min="12" max="12" width="9.88671875" style="311" customWidth="1"/>
    <col min="13" max="14" width="9.88671875" style="297" customWidth="1"/>
    <col min="15" max="15" width="2.5546875" style="297" customWidth="1"/>
    <col min="16" max="16" width="10.109375" style="297" bestFit="1" customWidth="1"/>
    <col min="17" max="17" width="9.88671875" style="297" customWidth="1"/>
    <col min="18" max="18" width="13.88671875" style="297" bestFit="1" customWidth="1"/>
    <col min="19" max="256" width="7.109375" style="297" customWidth="1"/>
    <col min="257" max="257" width="10.88671875" style="297"/>
    <col min="258" max="258" width="22.77734375" style="297" customWidth="1"/>
    <col min="259" max="263" width="10.77734375" style="297" bestFit="1" customWidth="1"/>
    <col min="264" max="270" width="9.88671875" style="297" customWidth="1"/>
    <col min="271" max="271" width="2.5546875" style="297" customWidth="1"/>
    <col min="272" max="272" width="10.109375" style="297" bestFit="1" customWidth="1"/>
    <col min="273" max="273" width="9.88671875" style="297" customWidth="1"/>
    <col min="274" max="274" width="13.88671875" style="297" bestFit="1" customWidth="1"/>
    <col min="275" max="512" width="7.109375" style="297" customWidth="1"/>
    <col min="513" max="513" width="10.88671875" style="297"/>
    <col min="514" max="514" width="22.77734375" style="297" customWidth="1"/>
    <col min="515" max="519" width="10.77734375" style="297" bestFit="1" customWidth="1"/>
    <col min="520" max="526" width="9.88671875" style="297" customWidth="1"/>
    <col min="527" max="527" width="2.5546875" style="297" customWidth="1"/>
    <col min="528" max="528" width="10.109375" style="297" bestFit="1" customWidth="1"/>
    <col min="529" max="529" width="9.88671875" style="297" customWidth="1"/>
    <col min="530" max="530" width="13.88671875" style="297" bestFit="1" customWidth="1"/>
    <col min="531" max="768" width="7.109375" style="297" customWidth="1"/>
    <col min="769" max="769" width="10.88671875" style="297"/>
    <col min="770" max="770" width="22.77734375" style="297" customWidth="1"/>
    <col min="771" max="775" width="10.77734375" style="297" bestFit="1" customWidth="1"/>
    <col min="776" max="782" width="9.88671875" style="297" customWidth="1"/>
    <col min="783" max="783" width="2.5546875" style="297" customWidth="1"/>
    <col min="784" max="784" width="10.109375" style="297" bestFit="1" customWidth="1"/>
    <col min="785" max="785" width="9.88671875" style="297" customWidth="1"/>
    <col min="786" max="786" width="13.88671875" style="297" bestFit="1" customWidth="1"/>
    <col min="787" max="1024" width="7.109375" style="297" customWidth="1"/>
    <col min="1025" max="1025" width="10.88671875" style="297"/>
    <col min="1026" max="1026" width="22.77734375" style="297" customWidth="1"/>
    <col min="1027" max="1031" width="10.77734375" style="297" bestFit="1" customWidth="1"/>
    <col min="1032" max="1038" width="9.88671875" style="297" customWidth="1"/>
    <col min="1039" max="1039" width="2.5546875" style="297" customWidth="1"/>
    <col min="1040" max="1040" width="10.109375" style="297" bestFit="1" customWidth="1"/>
    <col min="1041" max="1041" width="9.88671875" style="297" customWidth="1"/>
    <col min="1042" max="1042" width="13.88671875" style="297" bestFit="1" customWidth="1"/>
    <col min="1043" max="1280" width="7.109375" style="297" customWidth="1"/>
    <col min="1281" max="1281" width="10.88671875" style="297"/>
    <col min="1282" max="1282" width="22.77734375" style="297" customWidth="1"/>
    <col min="1283" max="1287" width="10.77734375" style="297" bestFit="1" customWidth="1"/>
    <col min="1288" max="1294" width="9.88671875" style="297" customWidth="1"/>
    <col min="1295" max="1295" width="2.5546875" style="297" customWidth="1"/>
    <col min="1296" max="1296" width="10.109375" style="297" bestFit="1" customWidth="1"/>
    <col min="1297" max="1297" width="9.88671875" style="297" customWidth="1"/>
    <col min="1298" max="1298" width="13.88671875" style="297" bestFit="1" customWidth="1"/>
    <col min="1299" max="1536" width="7.109375" style="297" customWidth="1"/>
    <col min="1537" max="1537" width="10.88671875" style="297"/>
    <col min="1538" max="1538" width="22.77734375" style="297" customWidth="1"/>
    <col min="1539" max="1543" width="10.77734375" style="297" bestFit="1" customWidth="1"/>
    <col min="1544" max="1550" width="9.88671875" style="297" customWidth="1"/>
    <col min="1551" max="1551" width="2.5546875" style="297" customWidth="1"/>
    <col min="1552" max="1552" width="10.109375" style="297" bestFit="1" customWidth="1"/>
    <col min="1553" max="1553" width="9.88671875" style="297" customWidth="1"/>
    <col min="1554" max="1554" width="13.88671875" style="297" bestFit="1" customWidth="1"/>
    <col min="1555" max="1792" width="7.109375" style="297" customWidth="1"/>
    <col min="1793" max="1793" width="10.88671875" style="297"/>
    <col min="1794" max="1794" width="22.77734375" style="297" customWidth="1"/>
    <col min="1795" max="1799" width="10.77734375" style="297" bestFit="1" customWidth="1"/>
    <col min="1800" max="1806" width="9.88671875" style="297" customWidth="1"/>
    <col min="1807" max="1807" width="2.5546875" style="297" customWidth="1"/>
    <col min="1808" max="1808" width="10.109375" style="297" bestFit="1" customWidth="1"/>
    <col min="1809" max="1809" width="9.88671875" style="297" customWidth="1"/>
    <col min="1810" max="1810" width="13.88671875" style="297" bestFit="1" customWidth="1"/>
    <col min="1811" max="2048" width="7.109375" style="297" customWidth="1"/>
    <col min="2049" max="2049" width="10.88671875" style="297"/>
    <col min="2050" max="2050" width="22.77734375" style="297" customWidth="1"/>
    <col min="2051" max="2055" width="10.77734375" style="297" bestFit="1" customWidth="1"/>
    <col min="2056" max="2062" width="9.88671875" style="297" customWidth="1"/>
    <col min="2063" max="2063" width="2.5546875" style="297" customWidth="1"/>
    <col min="2064" max="2064" width="10.109375" style="297" bestFit="1" customWidth="1"/>
    <col min="2065" max="2065" width="9.88671875" style="297" customWidth="1"/>
    <col min="2066" max="2066" width="13.88671875" style="297" bestFit="1" customWidth="1"/>
    <col min="2067" max="2304" width="7.109375" style="297" customWidth="1"/>
    <col min="2305" max="2305" width="10.88671875" style="297"/>
    <col min="2306" max="2306" width="22.77734375" style="297" customWidth="1"/>
    <col min="2307" max="2311" width="10.77734375" style="297" bestFit="1" customWidth="1"/>
    <col min="2312" max="2318" width="9.88671875" style="297" customWidth="1"/>
    <col min="2319" max="2319" width="2.5546875" style="297" customWidth="1"/>
    <col min="2320" max="2320" width="10.109375" style="297" bestFit="1" customWidth="1"/>
    <col min="2321" max="2321" width="9.88671875" style="297" customWidth="1"/>
    <col min="2322" max="2322" width="13.88671875" style="297" bestFit="1" customWidth="1"/>
    <col min="2323" max="2560" width="7.109375" style="297" customWidth="1"/>
    <col min="2561" max="2561" width="10.88671875" style="297"/>
    <col min="2562" max="2562" width="22.77734375" style="297" customWidth="1"/>
    <col min="2563" max="2567" width="10.77734375" style="297" bestFit="1" customWidth="1"/>
    <col min="2568" max="2574" width="9.88671875" style="297" customWidth="1"/>
    <col min="2575" max="2575" width="2.5546875" style="297" customWidth="1"/>
    <col min="2576" max="2576" width="10.109375" style="297" bestFit="1" customWidth="1"/>
    <col min="2577" max="2577" width="9.88671875" style="297" customWidth="1"/>
    <col min="2578" max="2578" width="13.88671875" style="297" bestFit="1" customWidth="1"/>
    <col min="2579" max="2816" width="7.109375" style="297" customWidth="1"/>
    <col min="2817" max="2817" width="10.88671875" style="297"/>
    <col min="2818" max="2818" width="22.77734375" style="297" customWidth="1"/>
    <col min="2819" max="2823" width="10.77734375" style="297" bestFit="1" customWidth="1"/>
    <col min="2824" max="2830" width="9.88671875" style="297" customWidth="1"/>
    <col min="2831" max="2831" width="2.5546875" style="297" customWidth="1"/>
    <col min="2832" max="2832" width="10.109375" style="297" bestFit="1" customWidth="1"/>
    <col min="2833" max="2833" width="9.88671875" style="297" customWidth="1"/>
    <col min="2834" max="2834" width="13.88671875" style="297" bestFit="1" customWidth="1"/>
    <col min="2835" max="3072" width="7.109375" style="297" customWidth="1"/>
    <col min="3073" max="3073" width="10.88671875" style="297"/>
    <col min="3074" max="3074" width="22.77734375" style="297" customWidth="1"/>
    <col min="3075" max="3079" width="10.77734375" style="297" bestFit="1" customWidth="1"/>
    <col min="3080" max="3086" width="9.88671875" style="297" customWidth="1"/>
    <col min="3087" max="3087" width="2.5546875" style="297" customWidth="1"/>
    <col min="3088" max="3088" width="10.109375" style="297" bestFit="1" customWidth="1"/>
    <col min="3089" max="3089" width="9.88671875" style="297" customWidth="1"/>
    <col min="3090" max="3090" width="13.88671875" style="297" bestFit="1" customWidth="1"/>
    <col min="3091" max="3328" width="7.109375" style="297" customWidth="1"/>
    <col min="3329" max="3329" width="10.88671875" style="297"/>
    <col min="3330" max="3330" width="22.77734375" style="297" customWidth="1"/>
    <col min="3331" max="3335" width="10.77734375" style="297" bestFit="1" customWidth="1"/>
    <col min="3336" max="3342" width="9.88671875" style="297" customWidth="1"/>
    <col min="3343" max="3343" width="2.5546875" style="297" customWidth="1"/>
    <col min="3344" max="3344" width="10.109375" style="297" bestFit="1" customWidth="1"/>
    <col min="3345" max="3345" width="9.88671875" style="297" customWidth="1"/>
    <col min="3346" max="3346" width="13.88671875" style="297" bestFit="1" customWidth="1"/>
    <col min="3347" max="3584" width="7.109375" style="297" customWidth="1"/>
    <col min="3585" max="3585" width="10.88671875" style="297"/>
    <col min="3586" max="3586" width="22.77734375" style="297" customWidth="1"/>
    <col min="3587" max="3591" width="10.77734375" style="297" bestFit="1" customWidth="1"/>
    <col min="3592" max="3598" width="9.88671875" style="297" customWidth="1"/>
    <col min="3599" max="3599" width="2.5546875" style="297" customWidth="1"/>
    <col min="3600" max="3600" width="10.109375" style="297" bestFit="1" customWidth="1"/>
    <col min="3601" max="3601" width="9.88671875" style="297" customWidth="1"/>
    <col min="3602" max="3602" width="13.88671875" style="297" bestFit="1" customWidth="1"/>
    <col min="3603" max="3840" width="7.109375" style="297" customWidth="1"/>
    <col min="3841" max="3841" width="10.88671875" style="297"/>
    <col min="3842" max="3842" width="22.77734375" style="297" customWidth="1"/>
    <col min="3843" max="3847" width="10.77734375" style="297" bestFit="1" customWidth="1"/>
    <col min="3848" max="3854" width="9.88671875" style="297" customWidth="1"/>
    <col min="3855" max="3855" width="2.5546875" style="297" customWidth="1"/>
    <col min="3856" max="3856" width="10.109375" style="297" bestFit="1" customWidth="1"/>
    <col min="3857" max="3857" width="9.88671875" style="297" customWidth="1"/>
    <col min="3858" max="3858" width="13.88671875" style="297" bestFit="1" customWidth="1"/>
    <col min="3859" max="4096" width="7.109375" style="297" customWidth="1"/>
    <col min="4097" max="4097" width="10.88671875" style="297"/>
    <col min="4098" max="4098" width="22.77734375" style="297" customWidth="1"/>
    <col min="4099" max="4103" width="10.77734375" style="297" bestFit="1" customWidth="1"/>
    <col min="4104" max="4110" width="9.88671875" style="297" customWidth="1"/>
    <col min="4111" max="4111" width="2.5546875" style="297" customWidth="1"/>
    <col min="4112" max="4112" width="10.109375" style="297" bestFit="1" customWidth="1"/>
    <col min="4113" max="4113" width="9.88671875" style="297" customWidth="1"/>
    <col min="4114" max="4114" width="13.88671875" style="297" bestFit="1" customWidth="1"/>
    <col min="4115" max="4352" width="7.109375" style="297" customWidth="1"/>
    <col min="4353" max="4353" width="10.88671875" style="297"/>
    <col min="4354" max="4354" width="22.77734375" style="297" customWidth="1"/>
    <col min="4355" max="4359" width="10.77734375" style="297" bestFit="1" customWidth="1"/>
    <col min="4360" max="4366" width="9.88671875" style="297" customWidth="1"/>
    <col min="4367" max="4367" width="2.5546875" style="297" customWidth="1"/>
    <col min="4368" max="4368" width="10.109375" style="297" bestFit="1" customWidth="1"/>
    <col min="4369" max="4369" width="9.88671875" style="297" customWidth="1"/>
    <col min="4370" max="4370" width="13.88671875" style="297" bestFit="1" customWidth="1"/>
    <col min="4371" max="4608" width="7.109375" style="297" customWidth="1"/>
    <col min="4609" max="4609" width="10.88671875" style="297"/>
    <col min="4610" max="4610" width="22.77734375" style="297" customWidth="1"/>
    <col min="4611" max="4615" width="10.77734375" style="297" bestFit="1" customWidth="1"/>
    <col min="4616" max="4622" width="9.88671875" style="297" customWidth="1"/>
    <col min="4623" max="4623" width="2.5546875" style="297" customWidth="1"/>
    <col min="4624" max="4624" width="10.109375" style="297" bestFit="1" customWidth="1"/>
    <col min="4625" max="4625" width="9.88671875" style="297" customWidth="1"/>
    <col min="4626" max="4626" width="13.88671875" style="297" bestFit="1" customWidth="1"/>
    <col min="4627" max="4864" width="7.109375" style="297" customWidth="1"/>
    <col min="4865" max="4865" width="10.88671875" style="297"/>
    <col min="4866" max="4866" width="22.77734375" style="297" customWidth="1"/>
    <col min="4867" max="4871" width="10.77734375" style="297" bestFit="1" customWidth="1"/>
    <col min="4872" max="4878" width="9.88671875" style="297" customWidth="1"/>
    <col min="4879" max="4879" width="2.5546875" style="297" customWidth="1"/>
    <col min="4880" max="4880" width="10.109375" style="297" bestFit="1" customWidth="1"/>
    <col min="4881" max="4881" width="9.88671875" style="297" customWidth="1"/>
    <col min="4882" max="4882" width="13.88671875" style="297" bestFit="1" customWidth="1"/>
    <col min="4883" max="5120" width="7.109375" style="297" customWidth="1"/>
    <col min="5121" max="5121" width="10.88671875" style="297"/>
    <col min="5122" max="5122" width="22.77734375" style="297" customWidth="1"/>
    <col min="5123" max="5127" width="10.77734375" style="297" bestFit="1" customWidth="1"/>
    <col min="5128" max="5134" width="9.88671875" style="297" customWidth="1"/>
    <col min="5135" max="5135" width="2.5546875" style="297" customWidth="1"/>
    <col min="5136" max="5136" width="10.109375" style="297" bestFit="1" customWidth="1"/>
    <col min="5137" max="5137" width="9.88671875" style="297" customWidth="1"/>
    <col min="5138" max="5138" width="13.88671875" style="297" bestFit="1" customWidth="1"/>
    <col min="5139" max="5376" width="7.109375" style="297" customWidth="1"/>
    <col min="5377" max="5377" width="10.88671875" style="297"/>
    <col min="5378" max="5378" width="22.77734375" style="297" customWidth="1"/>
    <col min="5379" max="5383" width="10.77734375" style="297" bestFit="1" customWidth="1"/>
    <col min="5384" max="5390" width="9.88671875" style="297" customWidth="1"/>
    <col min="5391" max="5391" width="2.5546875" style="297" customWidth="1"/>
    <col min="5392" max="5392" width="10.109375" style="297" bestFit="1" customWidth="1"/>
    <col min="5393" max="5393" width="9.88671875" style="297" customWidth="1"/>
    <col min="5394" max="5394" width="13.88671875" style="297" bestFit="1" customWidth="1"/>
    <col min="5395" max="5632" width="7.109375" style="297" customWidth="1"/>
    <col min="5633" max="5633" width="10.88671875" style="297"/>
    <col min="5634" max="5634" width="22.77734375" style="297" customWidth="1"/>
    <col min="5635" max="5639" width="10.77734375" style="297" bestFit="1" customWidth="1"/>
    <col min="5640" max="5646" width="9.88671875" style="297" customWidth="1"/>
    <col min="5647" max="5647" width="2.5546875" style="297" customWidth="1"/>
    <col min="5648" max="5648" width="10.109375" style="297" bestFit="1" customWidth="1"/>
    <col min="5649" max="5649" width="9.88671875" style="297" customWidth="1"/>
    <col min="5650" max="5650" width="13.88671875" style="297" bestFit="1" customWidth="1"/>
    <col min="5651" max="5888" width="7.109375" style="297" customWidth="1"/>
    <col min="5889" max="5889" width="10.88671875" style="297"/>
    <col min="5890" max="5890" width="22.77734375" style="297" customWidth="1"/>
    <col min="5891" max="5895" width="10.77734375" style="297" bestFit="1" customWidth="1"/>
    <col min="5896" max="5902" width="9.88671875" style="297" customWidth="1"/>
    <col min="5903" max="5903" width="2.5546875" style="297" customWidth="1"/>
    <col min="5904" max="5904" width="10.109375" style="297" bestFit="1" customWidth="1"/>
    <col min="5905" max="5905" width="9.88671875" style="297" customWidth="1"/>
    <col min="5906" max="5906" width="13.88671875" style="297" bestFit="1" customWidth="1"/>
    <col min="5907" max="6144" width="7.109375" style="297" customWidth="1"/>
    <col min="6145" max="6145" width="10.88671875" style="297"/>
    <col min="6146" max="6146" width="22.77734375" style="297" customWidth="1"/>
    <col min="6147" max="6151" width="10.77734375" style="297" bestFit="1" customWidth="1"/>
    <col min="6152" max="6158" width="9.88671875" style="297" customWidth="1"/>
    <col min="6159" max="6159" width="2.5546875" style="297" customWidth="1"/>
    <col min="6160" max="6160" width="10.109375" style="297" bestFit="1" customWidth="1"/>
    <col min="6161" max="6161" width="9.88671875" style="297" customWidth="1"/>
    <col min="6162" max="6162" width="13.88671875" style="297" bestFit="1" customWidth="1"/>
    <col min="6163" max="6400" width="7.109375" style="297" customWidth="1"/>
    <col min="6401" max="6401" width="10.88671875" style="297"/>
    <col min="6402" max="6402" width="22.77734375" style="297" customWidth="1"/>
    <col min="6403" max="6407" width="10.77734375" style="297" bestFit="1" customWidth="1"/>
    <col min="6408" max="6414" width="9.88671875" style="297" customWidth="1"/>
    <col min="6415" max="6415" width="2.5546875" style="297" customWidth="1"/>
    <col min="6416" max="6416" width="10.109375" style="297" bestFit="1" customWidth="1"/>
    <col min="6417" max="6417" width="9.88671875" style="297" customWidth="1"/>
    <col min="6418" max="6418" width="13.88671875" style="297" bestFit="1" customWidth="1"/>
    <col min="6419" max="6656" width="7.109375" style="297" customWidth="1"/>
    <col min="6657" max="6657" width="10.88671875" style="297"/>
    <col min="6658" max="6658" width="22.77734375" style="297" customWidth="1"/>
    <col min="6659" max="6663" width="10.77734375" style="297" bestFit="1" customWidth="1"/>
    <col min="6664" max="6670" width="9.88671875" style="297" customWidth="1"/>
    <col min="6671" max="6671" width="2.5546875" style="297" customWidth="1"/>
    <col min="6672" max="6672" width="10.109375" style="297" bestFit="1" customWidth="1"/>
    <col min="6673" max="6673" width="9.88671875" style="297" customWidth="1"/>
    <col min="6674" max="6674" width="13.88671875" style="297" bestFit="1" customWidth="1"/>
    <col min="6675" max="6912" width="7.109375" style="297" customWidth="1"/>
    <col min="6913" max="6913" width="10.88671875" style="297"/>
    <col min="6914" max="6914" width="22.77734375" style="297" customWidth="1"/>
    <col min="6915" max="6919" width="10.77734375" style="297" bestFit="1" customWidth="1"/>
    <col min="6920" max="6926" width="9.88671875" style="297" customWidth="1"/>
    <col min="6927" max="6927" width="2.5546875" style="297" customWidth="1"/>
    <col min="6928" max="6928" width="10.109375" style="297" bestFit="1" customWidth="1"/>
    <col min="6929" max="6929" width="9.88671875" style="297" customWidth="1"/>
    <col min="6930" max="6930" width="13.88671875" style="297" bestFit="1" customWidth="1"/>
    <col min="6931" max="7168" width="7.109375" style="297" customWidth="1"/>
    <col min="7169" max="7169" width="10.88671875" style="297"/>
    <col min="7170" max="7170" width="22.77734375" style="297" customWidth="1"/>
    <col min="7171" max="7175" width="10.77734375" style="297" bestFit="1" customWidth="1"/>
    <col min="7176" max="7182" width="9.88671875" style="297" customWidth="1"/>
    <col min="7183" max="7183" width="2.5546875" style="297" customWidth="1"/>
    <col min="7184" max="7184" width="10.109375" style="297" bestFit="1" customWidth="1"/>
    <col min="7185" max="7185" width="9.88671875" style="297" customWidth="1"/>
    <col min="7186" max="7186" width="13.88671875" style="297" bestFit="1" customWidth="1"/>
    <col min="7187" max="7424" width="7.109375" style="297" customWidth="1"/>
    <col min="7425" max="7425" width="10.88671875" style="297"/>
    <col min="7426" max="7426" width="22.77734375" style="297" customWidth="1"/>
    <col min="7427" max="7431" width="10.77734375" style="297" bestFit="1" customWidth="1"/>
    <col min="7432" max="7438" width="9.88671875" style="297" customWidth="1"/>
    <col min="7439" max="7439" width="2.5546875" style="297" customWidth="1"/>
    <col min="7440" max="7440" width="10.109375" style="297" bestFit="1" customWidth="1"/>
    <col min="7441" max="7441" width="9.88671875" style="297" customWidth="1"/>
    <col min="7442" max="7442" width="13.88671875" style="297" bestFit="1" customWidth="1"/>
    <col min="7443" max="7680" width="7.109375" style="297" customWidth="1"/>
    <col min="7681" max="7681" width="10.88671875" style="297"/>
    <col min="7682" max="7682" width="22.77734375" style="297" customWidth="1"/>
    <col min="7683" max="7687" width="10.77734375" style="297" bestFit="1" customWidth="1"/>
    <col min="7688" max="7694" width="9.88671875" style="297" customWidth="1"/>
    <col min="7695" max="7695" width="2.5546875" style="297" customWidth="1"/>
    <col min="7696" max="7696" width="10.109375" style="297" bestFit="1" customWidth="1"/>
    <col min="7697" max="7697" width="9.88671875" style="297" customWidth="1"/>
    <col min="7698" max="7698" width="13.88671875" style="297" bestFit="1" customWidth="1"/>
    <col min="7699" max="7936" width="7.109375" style="297" customWidth="1"/>
    <col min="7937" max="7937" width="10.88671875" style="297"/>
    <col min="7938" max="7938" width="22.77734375" style="297" customWidth="1"/>
    <col min="7939" max="7943" width="10.77734375" style="297" bestFit="1" customWidth="1"/>
    <col min="7944" max="7950" width="9.88671875" style="297" customWidth="1"/>
    <col min="7951" max="7951" width="2.5546875" style="297" customWidth="1"/>
    <col min="7952" max="7952" width="10.109375" style="297" bestFit="1" customWidth="1"/>
    <col min="7953" max="7953" width="9.88671875" style="297" customWidth="1"/>
    <col min="7954" max="7954" width="13.88671875" style="297" bestFit="1" customWidth="1"/>
    <col min="7955" max="8192" width="7.109375" style="297" customWidth="1"/>
    <col min="8193" max="8193" width="10.88671875" style="297"/>
    <col min="8194" max="8194" width="22.77734375" style="297" customWidth="1"/>
    <col min="8195" max="8199" width="10.77734375" style="297" bestFit="1" customWidth="1"/>
    <col min="8200" max="8206" width="9.88671875" style="297" customWidth="1"/>
    <col min="8207" max="8207" width="2.5546875" style="297" customWidth="1"/>
    <col min="8208" max="8208" width="10.109375" style="297" bestFit="1" customWidth="1"/>
    <col min="8209" max="8209" width="9.88671875" style="297" customWidth="1"/>
    <col min="8210" max="8210" width="13.88671875" style="297" bestFit="1" customWidth="1"/>
    <col min="8211" max="8448" width="7.109375" style="297" customWidth="1"/>
    <col min="8449" max="8449" width="10.88671875" style="297"/>
    <col min="8450" max="8450" width="22.77734375" style="297" customWidth="1"/>
    <col min="8451" max="8455" width="10.77734375" style="297" bestFit="1" customWidth="1"/>
    <col min="8456" max="8462" width="9.88671875" style="297" customWidth="1"/>
    <col min="8463" max="8463" width="2.5546875" style="297" customWidth="1"/>
    <col min="8464" max="8464" width="10.109375" style="297" bestFit="1" customWidth="1"/>
    <col min="8465" max="8465" width="9.88671875" style="297" customWidth="1"/>
    <col min="8466" max="8466" width="13.88671875" style="297" bestFit="1" customWidth="1"/>
    <col min="8467" max="8704" width="7.109375" style="297" customWidth="1"/>
    <col min="8705" max="8705" width="10.88671875" style="297"/>
    <col min="8706" max="8706" width="22.77734375" style="297" customWidth="1"/>
    <col min="8707" max="8711" width="10.77734375" style="297" bestFit="1" customWidth="1"/>
    <col min="8712" max="8718" width="9.88671875" style="297" customWidth="1"/>
    <col min="8719" max="8719" width="2.5546875" style="297" customWidth="1"/>
    <col min="8720" max="8720" width="10.109375" style="297" bestFit="1" customWidth="1"/>
    <col min="8721" max="8721" width="9.88671875" style="297" customWidth="1"/>
    <col min="8722" max="8722" width="13.88671875" style="297" bestFit="1" customWidth="1"/>
    <col min="8723" max="8960" width="7.109375" style="297" customWidth="1"/>
    <col min="8961" max="8961" width="10.88671875" style="297"/>
    <col min="8962" max="8962" width="22.77734375" style="297" customWidth="1"/>
    <col min="8963" max="8967" width="10.77734375" style="297" bestFit="1" customWidth="1"/>
    <col min="8968" max="8974" width="9.88671875" style="297" customWidth="1"/>
    <col min="8975" max="8975" width="2.5546875" style="297" customWidth="1"/>
    <col min="8976" max="8976" width="10.109375" style="297" bestFit="1" customWidth="1"/>
    <col min="8977" max="8977" width="9.88671875" style="297" customWidth="1"/>
    <col min="8978" max="8978" width="13.88671875" style="297" bestFit="1" customWidth="1"/>
    <col min="8979" max="9216" width="7.109375" style="297" customWidth="1"/>
    <col min="9217" max="9217" width="10.88671875" style="297"/>
    <col min="9218" max="9218" width="22.77734375" style="297" customWidth="1"/>
    <col min="9219" max="9223" width="10.77734375" style="297" bestFit="1" customWidth="1"/>
    <col min="9224" max="9230" width="9.88671875" style="297" customWidth="1"/>
    <col min="9231" max="9231" width="2.5546875" style="297" customWidth="1"/>
    <col min="9232" max="9232" width="10.109375" style="297" bestFit="1" customWidth="1"/>
    <col min="9233" max="9233" width="9.88671875" style="297" customWidth="1"/>
    <col min="9234" max="9234" width="13.88671875" style="297" bestFit="1" customWidth="1"/>
    <col min="9235" max="9472" width="7.109375" style="297" customWidth="1"/>
    <col min="9473" max="9473" width="10.88671875" style="297"/>
    <col min="9474" max="9474" width="22.77734375" style="297" customWidth="1"/>
    <col min="9475" max="9479" width="10.77734375" style="297" bestFit="1" customWidth="1"/>
    <col min="9480" max="9486" width="9.88671875" style="297" customWidth="1"/>
    <col min="9487" max="9487" width="2.5546875" style="297" customWidth="1"/>
    <col min="9488" max="9488" width="10.109375" style="297" bestFit="1" customWidth="1"/>
    <col min="9489" max="9489" width="9.88671875" style="297" customWidth="1"/>
    <col min="9490" max="9490" width="13.88671875" style="297" bestFit="1" customWidth="1"/>
    <col min="9491" max="9728" width="7.109375" style="297" customWidth="1"/>
    <col min="9729" max="9729" width="10.88671875" style="297"/>
    <col min="9730" max="9730" width="22.77734375" style="297" customWidth="1"/>
    <col min="9731" max="9735" width="10.77734375" style="297" bestFit="1" customWidth="1"/>
    <col min="9736" max="9742" width="9.88671875" style="297" customWidth="1"/>
    <col min="9743" max="9743" width="2.5546875" style="297" customWidth="1"/>
    <col min="9744" max="9744" width="10.109375" style="297" bestFit="1" customWidth="1"/>
    <col min="9745" max="9745" width="9.88671875" style="297" customWidth="1"/>
    <col min="9746" max="9746" width="13.88671875" style="297" bestFit="1" customWidth="1"/>
    <col min="9747" max="9984" width="7.109375" style="297" customWidth="1"/>
    <col min="9985" max="9985" width="10.88671875" style="297"/>
    <col min="9986" max="9986" width="22.77734375" style="297" customWidth="1"/>
    <col min="9987" max="9991" width="10.77734375" style="297" bestFit="1" customWidth="1"/>
    <col min="9992" max="9998" width="9.88671875" style="297" customWidth="1"/>
    <col min="9999" max="9999" width="2.5546875" style="297" customWidth="1"/>
    <col min="10000" max="10000" width="10.109375" style="297" bestFit="1" customWidth="1"/>
    <col min="10001" max="10001" width="9.88671875" style="297" customWidth="1"/>
    <col min="10002" max="10002" width="13.88671875" style="297" bestFit="1" customWidth="1"/>
    <col min="10003" max="10240" width="7.109375" style="297" customWidth="1"/>
    <col min="10241" max="10241" width="10.88671875" style="297"/>
    <col min="10242" max="10242" width="22.77734375" style="297" customWidth="1"/>
    <col min="10243" max="10247" width="10.77734375" style="297" bestFit="1" customWidth="1"/>
    <col min="10248" max="10254" width="9.88671875" style="297" customWidth="1"/>
    <col min="10255" max="10255" width="2.5546875" style="297" customWidth="1"/>
    <col min="10256" max="10256" width="10.109375" style="297" bestFit="1" customWidth="1"/>
    <col min="10257" max="10257" width="9.88671875" style="297" customWidth="1"/>
    <col min="10258" max="10258" width="13.88671875" style="297" bestFit="1" customWidth="1"/>
    <col min="10259" max="10496" width="7.109375" style="297" customWidth="1"/>
    <col min="10497" max="10497" width="10.88671875" style="297"/>
    <col min="10498" max="10498" width="22.77734375" style="297" customWidth="1"/>
    <col min="10499" max="10503" width="10.77734375" style="297" bestFit="1" customWidth="1"/>
    <col min="10504" max="10510" width="9.88671875" style="297" customWidth="1"/>
    <col min="10511" max="10511" width="2.5546875" style="297" customWidth="1"/>
    <col min="10512" max="10512" width="10.109375" style="297" bestFit="1" customWidth="1"/>
    <col min="10513" max="10513" width="9.88671875" style="297" customWidth="1"/>
    <col min="10514" max="10514" width="13.88671875" style="297" bestFit="1" customWidth="1"/>
    <col min="10515" max="10752" width="7.109375" style="297" customWidth="1"/>
    <col min="10753" max="10753" width="10.88671875" style="297"/>
    <col min="10754" max="10754" width="22.77734375" style="297" customWidth="1"/>
    <col min="10755" max="10759" width="10.77734375" style="297" bestFit="1" customWidth="1"/>
    <col min="10760" max="10766" width="9.88671875" style="297" customWidth="1"/>
    <col min="10767" max="10767" width="2.5546875" style="297" customWidth="1"/>
    <col min="10768" max="10768" width="10.109375" style="297" bestFit="1" customWidth="1"/>
    <col min="10769" max="10769" width="9.88671875" style="297" customWidth="1"/>
    <col min="10770" max="10770" width="13.88671875" style="297" bestFit="1" customWidth="1"/>
    <col min="10771" max="11008" width="7.109375" style="297" customWidth="1"/>
    <col min="11009" max="11009" width="10.88671875" style="297"/>
    <col min="11010" max="11010" width="22.77734375" style="297" customWidth="1"/>
    <col min="11011" max="11015" width="10.77734375" style="297" bestFit="1" customWidth="1"/>
    <col min="11016" max="11022" width="9.88671875" style="297" customWidth="1"/>
    <col min="11023" max="11023" width="2.5546875" style="297" customWidth="1"/>
    <col min="11024" max="11024" width="10.109375" style="297" bestFit="1" customWidth="1"/>
    <col min="11025" max="11025" width="9.88671875" style="297" customWidth="1"/>
    <col min="11026" max="11026" width="13.88671875" style="297" bestFit="1" customWidth="1"/>
    <col min="11027" max="11264" width="7.109375" style="297" customWidth="1"/>
    <col min="11265" max="11265" width="10.88671875" style="297"/>
    <col min="11266" max="11266" width="22.77734375" style="297" customWidth="1"/>
    <col min="11267" max="11271" width="10.77734375" style="297" bestFit="1" customWidth="1"/>
    <col min="11272" max="11278" width="9.88671875" style="297" customWidth="1"/>
    <col min="11279" max="11279" width="2.5546875" style="297" customWidth="1"/>
    <col min="11280" max="11280" width="10.109375" style="297" bestFit="1" customWidth="1"/>
    <col min="11281" max="11281" width="9.88671875" style="297" customWidth="1"/>
    <col min="11282" max="11282" width="13.88671875" style="297" bestFit="1" customWidth="1"/>
    <col min="11283" max="11520" width="7.109375" style="297" customWidth="1"/>
    <col min="11521" max="11521" width="10.88671875" style="297"/>
    <col min="11522" max="11522" width="22.77734375" style="297" customWidth="1"/>
    <col min="11523" max="11527" width="10.77734375" style="297" bestFit="1" customWidth="1"/>
    <col min="11528" max="11534" width="9.88671875" style="297" customWidth="1"/>
    <col min="11535" max="11535" width="2.5546875" style="297" customWidth="1"/>
    <col min="11536" max="11536" width="10.109375" style="297" bestFit="1" customWidth="1"/>
    <col min="11537" max="11537" width="9.88671875" style="297" customWidth="1"/>
    <col min="11538" max="11538" width="13.88671875" style="297" bestFit="1" customWidth="1"/>
    <col min="11539" max="11776" width="7.109375" style="297" customWidth="1"/>
    <col min="11777" max="11777" width="10.88671875" style="297"/>
    <col min="11778" max="11778" width="22.77734375" style="297" customWidth="1"/>
    <col min="11779" max="11783" width="10.77734375" style="297" bestFit="1" customWidth="1"/>
    <col min="11784" max="11790" width="9.88671875" style="297" customWidth="1"/>
    <col min="11791" max="11791" width="2.5546875" style="297" customWidth="1"/>
    <col min="11792" max="11792" width="10.109375" style="297" bestFit="1" customWidth="1"/>
    <col min="11793" max="11793" width="9.88671875" style="297" customWidth="1"/>
    <col min="11794" max="11794" width="13.88671875" style="297" bestFit="1" customWidth="1"/>
    <col min="11795" max="12032" width="7.109375" style="297" customWidth="1"/>
    <col min="12033" max="12033" width="10.88671875" style="297"/>
    <col min="12034" max="12034" width="22.77734375" style="297" customWidth="1"/>
    <col min="12035" max="12039" width="10.77734375" style="297" bestFit="1" customWidth="1"/>
    <col min="12040" max="12046" width="9.88671875" style="297" customWidth="1"/>
    <col min="12047" max="12047" width="2.5546875" style="297" customWidth="1"/>
    <col min="12048" max="12048" width="10.109375" style="297" bestFit="1" customWidth="1"/>
    <col min="12049" max="12049" width="9.88671875" style="297" customWidth="1"/>
    <col min="12050" max="12050" width="13.88671875" style="297" bestFit="1" customWidth="1"/>
    <col min="12051" max="12288" width="7.109375" style="297" customWidth="1"/>
    <col min="12289" max="12289" width="10.88671875" style="297"/>
    <col min="12290" max="12290" width="22.77734375" style="297" customWidth="1"/>
    <col min="12291" max="12295" width="10.77734375" style="297" bestFit="1" customWidth="1"/>
    <col min="12296" max="12302" width="9.88671875" style="297" customWidth="1"/>
    <col min="12303" max="12303" width="2.5546875" style="297" customWidth="1"/>
    <col min="12304" max="12304" width="10.109375" style="297" bestFit="1" customWidth="1"/>
    <col min="12305" max="12305" width="9.88671875" style="297" customWidth="1"/>
    <col min="12306" max="12306" width="13.88671875" style="297" bestFit="1" customWidth="1"/>
    <col min="12307" max="12544" width="7.109375" style="297" customWidth="1"/>
    <col min="12545" max="12545" width="10.88671875" style="297"/>
    <col min="12546" max="12546" width="22.77734375" style="297" customWidth="1"/>
    <col min="12547" max="12551" width="10.77734375" style="297" bestFit="1" customWidth="1"/>
    <col min="12552" max="12558" width="9.88671875" style="297" customWidth="1"/>
    <col min="12559" max="12559" width="2.5546875" style="297" customWidth="1"/>
    <col min="12560" max="12560" width="10.109375" style="297" bestFit="1" customWidth="1"/>
    <col min="12561" max="12561" width="9.88671875" style="297" customWidth="1"/>
    <col min="12562" max="12562" width="13.88671875" style="297" bestFit="1" customWidth="1"/>
    <col min="12563" max="12800" width="7.109375" style="297" customWidth="1"/>
    <col min="12801" max="12801" width="10.88671875" style="297"/>
    <col min="12802" max="12802" width="22.77734375" style="297" customWidth="1"/>
    <col min="12803" max="12807" width="10.77734375" style="297" bestFit="1" customWidth="1"/>
    <col min="12808" max="12814" width="9.88671875" style="297" customWidth="1"/>
    <col min="12815" max="12815" width="2.5546875" style="297" customWidth="1"/>
    <col min="12816" max="12816" width="10.109375" style="297" bestFit="1" customWidth="1"/>
    <col min="12817" max="12817" width="9.88671875" style="297" customWidth="1"/>
    <col min="12818" max="12818" width="13.88671875" style="297" bestFit="1" customWidth="1"/>
    <col min="12819" max="13056" width="7.109375" style="297" customWidth="1"/>
    <col min="13057" max="13057" width="10.88671875" style="297"/>
    <col min="13058" max="13058" width="22.77734375" style="297" customWidth="1"/>
    <col min="13059" max="13063" width="10.77734375" style="297" bestFit="1" customWidth="1"/>
    <col min="13064" max="13070" width="9.88671875" style="297" customWidth="1"/>
    <col min="13071" max="13071" width="2.5546875" style="297" customWidth="1"/>
    <col min="13072" max="13072" width="10.109375" style="297" bestFit="1" customWidth="1"/>
    <col min="13073" max="13073" width="9.88671875" style="297" customWidth="1"/>
    <col min="13074" max="13074" width="13.88671875" style="297" bestFit="1" customWidth="1"/>
    <col min="13075" max="13312" width="7.109375" style="297" customWidth="1"/>
    <col min="13313" max="13313" width="10.88671875" style="297"/>
    <col min="13314" max="13314" width="22.77734375" style="297" customWidth="1"/>
    <col min="13315" max="13319" width="10.77734375" style="297" bestFit="1" customWidth="1"/>
    <col min="13320" max="13326" width="9.88671875" style="297" customWidth="1"/>
    <col min="13327" max="13327" width="2.5546875" style="297" customWidth="1"/>
    <col min="13328" max="13328" width="10.109375" style="297" bestFit="1" customWidth="1"/>
    <col min="13329" max="13329" width="9.88671875" style="297" customWidth="1"/>
    <col min="13330" max="13330" width="13.88671875" style="297" bestFit="1" customWidth="1"/>
    <col min="13331" max="13568" width="7.109375" style="297" customWidth="1"/>
    <col min="13569" max="13569" width="10.88671875" style="297"/>
    <col min="13570" max="13570" width="22.77734375" style="297" customWidth="1"/>
    <col min="13571" max="13575" width="10.77734375" style="297" bestFit="1" customWidth="1"/>
    <col min="13576" max="13582" width="9.88671875" style="297" customWidth="1"/>
    <col min="13583" max="13583" width="2.5546875" style="297" customWidth="1"/>
    <col min="13584" max="13584" width="10.109375" style="297" bestFit="1" customWidth="1"/>
    <col min="13585" max="13585" width="9.88671875" style="297" customWidth="1"/>
    <col min="13586" max="13586" width="13.88671875" style="297" bestFit="1" customWidth="1"/>
    <col min="13587" max="13824" width="7.109375" style="297" customWidth="1"/>
    <col min="13825" max="13825" width="10.88671875" style="297"/>
    <col min="13826" max="13826" width="22.77734375" style="297" customWidth="1"/>
    <col min="13827" max="13831" width="10.77734375" style="297" bestFit="1" customWidth="1"/>
    <col min="13832" max="13838" width="9.88671875" style="297" customWidth="1"/>
    <col min="13839" max="13839" width="2.5546875" style="297" customWidth="1"/>
    <col min="13840" max="13840" width="10.109375" style="297" bestFit="1" customWidth="1"/>
    <col min="13841" max="13841" width="9.88671875" style="297" customWidth="1"/>
    <col min="13842" max="13842" width="13.88671875" style="297" bestFit="1" customWidth="1"/>
    <col min="13843" max="14080" width="7.109375" style="297" customWidth="1"/>
    <col min="14081" max="14081" width="10.88671875" style="297"/>
    <col min="14082" max="14082" width="22.77734375" style="297" customWidth="1"/>
    <col min="14083" max="14087" width="10.77734375" style="297" bestFit="1" customWidth="1"/>
    <col min="14088" max="14094" width="9.88671875" style="297" customWidth="1"/>
    <col min="14095" max="14095" width="2.5546875" style="297" customWidth="1"/>
    <col min="14096" max="14096" width="10.109375" style="297" bestFit="1" customWidth="1"/>
    <col min="14097" max="14097" width="9.88671875" style="297" customWidth="1"/>
    <col min="14098" max="14098" width="13.88671875" style="297" bestFit="1" customWidth="1"/>
    <col min="14099" max="14336" width="7.109375" style="297" customWidth="1"/>
    <col min="14337" max="14337" width="10.88671875" style="297"/>
    <col min="14338" max="14338" width="22.77734375" style="297" customWidth="1"/>
    <col min="14339" max="14343" width="10.77734375" style="297" bestFit="1" customWidth="1"/>
    <col min="14344" max="14350" width="9.88671875" style="297" customWidth="1"/>
    <col min="14351" max="14351" width="2.5546875" style="297" customWidth="1"/>
    <col min="14352" max="14352" width="10.109375" style="297" bestFit="1" customWidth="1"/>
    <col min="14353" max="14353" width="9.88671875" style="297" customWidth="1"/>
    <col min="14354" max="14354" width="13.88671875" style="297" bestFit="1" customWidth="1"/>
    <col min="14355" max="14592" width="7.109375" style="297" customWidth="1"/>
    <col min="14593" max="14593" width="10.88671875" style="297"/>
    <col min="14594" max="14594" width="22.77734375" style="297" customWidth="1"/>
    <col min="14595" max="14599" width="10.77734375" style="297" bestFit="1" customWidth="1"/>
    <col min="14600" max="14606" width="9.88671875" style="297" customWidth="1"/>
    <col min="14607" max="14607" width="2.5546875" style="297" customWidth="1"/>
    <col min="14608" max="14608" width="10.109375" style="297" bestFit="1" customWidth="1"/>
    <col min="14609" max="14609" width="9.88671875" style="297" customWidth="1"/>
    <col min="14610" max="14610" width="13.88671875" style="297" bestFit="1" customWidth="1"/>
    <col min="14611" max="14848" width="7.109375" style="297" customWidth="1"/>
    <col min="14849" max="14849" width="10.88671875" style="297"/>
    <col min="14850" max="14850" width="22.77734375" style="297" customWidth="1"/>
    <col min="14851" max="14855" width="10.77734375" style="297" bestFit="1" customWidth="1"/>
    <col min="14856" max="14862" width="9.88671875" style="297" customWidth="1"/>
    <col min="14863" max="14863" width="2.5546875" style="297" customWidth="1"/>
    <col min="14864" max="14864" width="10.109375" style="297" bestFit="1" customWidth="1"/>
    <col min="14865" max="14865" width="9.88671875" style="297" customWidth="1"/>
    <col min="14866" max="14866" width="13.88671875" style="297" bestFit="1" customWidth="1"/>
    <col min="14867" max="15104" width="7.109375" style="297" customWidth="1"/>
    <col min="15105" max="15105" width="10.88671875" style="297"/>
    <col min="15106" max="15106" width="22.77734375" style="297" customWidth="1"/>
    <col min="15107" max="15111" width="10.77734375" style="297" bestFit="1" customWidth="1"/>
    <col min="15112" max="15118" width="9.88671875" style="297" customWidth="1"/>
    <col min="15119" max="15119" width="2.5546875" style="297" customWidth="1"/>
    <col min="15120" max="15120" width="10.109375" style="297" bestFit="1" customWidth="1"/>
    <col min="15121" max="15121" width="9.88671875" style="297" customWidth="1"/>
    <col min="15122" max="15122" width="13.88671875" style="297" bestFit="1" customWidth="1"/>
    <col min="15123" max="15360" width="7.109375" style="297" customWidth="1"/>
    <col min="15361" max="15361" width="10.88671875" style="297"/>
    <col min="15362" max="15362" width="22.77734375" style="297" customWidth="1"/>
    <col min="15363" max="15367" width="10.77734375" style="297" bestFit="1" customWidth="1"/>
    <col min="15368" max="15374" width="9.88671875" style="297" customWidth="1"/>
    <col min="15375" max="15375" width="2.5546875" style="297" customWidth="1"/>
    <col min="15376" max="15376" width="10.109375" style="297" bestFit="1" customWidth="1"/>
    <col min="15377" max="15377" width="9.88671875" style="297" customWidth="1"/>
    <col min="15378" max="15378" width="13.88671875" style="297" bestFit="1" customWidth="1"/>
    <col min="15379" max="15616" width="7.109375" style="297" customWidth="1"/>
    <col min="15617" max="15617" width="10.88671875" style="297"/>
    <col min="15618" max="15618" width="22.77734375" style="297" customWidth="1"/>
    <col min="15619" max="15623" width="10.77734375" style="297" bestFit="1" customWidth="1"/>
    <col min="15624" max="15630" width="9.88671875" style="297" customWidth="1"/>
    <col min="15631" max="15631" width="2.5546875" style="297" customWidth="1"/>
    <col min="15632" max="15632" width="10.109375" style="297" bestFit="1" customWidth="1"/>
    <col min="15633" max="15633" width="9.88671875" style="297" customWidth="1"/>
    <col min="15634" max="15634" width="13.88671875" style="297" bestFit="1" customWidth="1"/>
    <col min="15635" max="15872" width="7.109375" style="297" customWidth="1"/>
    <col min="15873" max="15873" width="10.88671875" style="297"/>
    <col min="15874" max="15874" width="22.77734375" style="297" customWidth="1"/>
    <col min="15875" max="15879" width="10.77734375" style="297" bestFit="1" customWidth="1"/>
    <col min="15880" max="15886" width="9.88671875" style="297" customWidth="1"/>
    <col min="15887" max="15887" width="2.5546875" style="297" customWidth="1"/>
    <col min="15888" max="15888" width="10.109375" style="297" bestFit="1" customWidth="1"/>
    <col min="15889" max="15889" width="9.88671875" style="297" customWidth="1"/>
    <col min="15890" max="15890" width="13.88671875" style="297" bestFit="1" customWidth="1"/>
    <col min="15891" max="16128" width="7.109375" style="297" customWidth="1"/>
    <col min="16129" max="16129" width="10.88671875" style="297"/>
    <col min="16130" max="16130" width="22.77734375" style="297" customWidth="1"/>
    <col min="16131" max="16135" width="10.77734375" style="297" bestFit="1" customWidth="1"/>
    <col min="16136" max="16142" width="9.88671875" style="297" customWidth="1"/>
    <col min="16143" max="16143" width="2.5546875" style="297" customWidth="1"/>
    <col min="16144" max="16144" width="10.109375" style="297" bestFit="1" customWidth="1"/>
    <col min="16145" max="16145" width="9.88671875" style="297" customWidth="1"/>
    <col min="16146" max="16146" width="13.88671875" style="297" bestFit="1" customWidth="1"/>
    <col min="16147" max="16384" width="7.109375" style="297" customWidth="1"/>
  </cols>
  <sheetData>
    <row r="1" spans="1:18" x14ac:dyDescent="0.2">
      <c r="A1" s="309"/>
    </row>
    <row r="2" spans="1:18" x14ac:dyDescent="0.2">
      <c r="A2" s="309"/>
    </row>
    <row r="3" spans="1:18" x14ac:dyDescent="0.2">
      <c r="A3" s="309"/>
    </row>
    <row r="4" spans="1:18" x14ac:dyDescent="0.2">
      <c r="A4" s="299" t="s">
        <v>689</v>
      </c>
    </row>
    <row r="5" spans="1:18" x14ac:dyDescent="0.2">
      <c r="A5" s="312" t="s">
        <v>747</v>
      </c>
    </row>
    <row r="7" spans="1:18" x14ac:dyDescent="0.2">
      <c r="A7" s="313" t="s">
        <v>726</v>
      </c>
      <c r="B7" s="313" t="s">
        <v>748</v>
      </c>
      <c r="C7" s="314" t="s">
        <v>732</v>
      </c>
      <c r="D7" s="315" t="s">
        <v>733</v>
      </c>
      <c r="E7" s="315" t="s">
        <v>734</v>
      </c>
      <c r="F7" s="315" t="s">
        <v>735</v>
      </c>
      <c r="G7" s="315" t="s">
        <v>736</v>
      </c>
      <c r="H7" s="315" t="s">
        <v>737</v>
      </c>
      <c r="I7" s="315" t="s">
        <v>738</v>
      </c>
      <c r="J7" s="315" t="s">
        <v>739</v>
      </c>
      <c r="K7" s="316" t="s">
        <v>740</v>
      </c>
      <c r="L7" s="315" t="s">
        <v>741</v>
      </c>
      <c r="M7" s="313" t="s">
        <v>742</v>
      </c>
      <c r="N7" s="313" t="s">
        <v>743</v>
      </c>
      <c r="O7" s="317"/>
      <c r="P7" s="318" t="s">
        <v>228</v>
      </c>
      <c r="Q7" s="318" t="s">
        <v>749</v>
      </c>
    </row>
    <row r="9" spans="1:18" x14ac:dyDescent="0.2">
      <c r="B9" s="320" t="s">
        <v>7</v>
      </c>
    </row>
    <row r="10" spans="1:18" x14ac:dyDescent="0.2">
      <c r="A10" s="321">
        <v>11020001</v>
      </c>
      <c r="B10" s="322" t="s">
        <v>8</v>
      </c>
      <c r="C10" s="385">
        <f>VLOOKUP(A10,'I. Balanza'!$C$8:$F$620,4,0)</f>
        <v>989788.44</v>
      </c>
      <c r="D10" s="385">
        <f>VLOOKUP(A10,'I. Balanza'!$C$8:$G$620,5,0)</f>
        <v>1228818.24</v>
      </c>
      <c r="E10" s="385">
        <f>VLOOKUP(A10,'I. Balanza'!$C$8:$H$620,6,0)</f>
        <v>1046655.39</v>
      </c>
      <c r="F10" s="385">
        <f>VLOOKUP(A10,'I. Balanza'!$C$8:$I$620,7,0)</f>
        <v>329951.15999999997</v>
      </c>
      <c r="G10" s="385">
        <f>VLOOKUP(A10,'I. Balanza'!$C$8:$J$620,8,0)</f>
        <v>492247.99</v>
      </c>
      <c r="H10" s="385">
        <f>VLOOKUP(A10,'I. Balanza'!$C$8:$K$620,9,0)</f>
        <v>626273.24</v>
      </c>
      <c r="I10" s="385">
        <f>VLOOKUP(A10,'I. Balanza'!$C$8:$L$620,10,0)</f>
        <v>62412.06</v>
      </c>
      <c r="J10" s="385">
        <f>VLOOKUP(A10,'I. Balanza'!C8:N620,11,0)</f>
        <v>-2809.22</v>
      </c>
      <c r="K10" s="385">
        <f>VLOOKUP(A10,'I. Balanza'!$C$8:$N$620,12,0)</f>
        <v>923219.85</v>
      </c>
      <c r="L10" s="385">
        <f>VLOOKUP(A10,'I. Balanza'!$C$8:$O$620,13,0)</f>
        <v>696069.33</v>
      </c>
      <c r="M10" s="385">
        <f>VLOOKUP(A10,'I. Balanza'!$C$8:$P$620,14,0)</f>
        <v>961398.41</v>
      </c>
      <c r="N10" s="385">
        <f>VLOOKUP(A10,'I. Balanza'!C8:Q620,15,0)</f>
        <v>1243029.31</v>
      </c>
      <c r="O10" s="386"/>
      <c r="P10" s="384">
        <f>SUM(C10:N10)</f>
        <v>8597054.1999999993</v>
      </c>
      <c r="Q10" s="384">
        <f>+P10/12</f>
        <v>716421.18333333323</v>
      </c>
    </row>
    <row r="11" spans="1:18" x14ac:dyDescent="0.2">
      <c r="A11" s="321">
        <v>11020002</v>
      </c>
      <c r="B11" s="322" t="s">
        <v>9</v>
      </c>
      <c r="C11" s="385">
        <f>'IX. Ajuste Anual Ctas Dolares'!C13</f>
        <v>14955869.279999999</v>
      </c>
      <c r="D11" s="385">
        <f>'IX. Ajuste Anual Ctas Dolares'!D13</f>
        <v>14825667.869999999</v>
      </c>
      <c r="E11" s="385">
        <f>'IX. Ajuste Anual Ctas Dolares'!E13</f>
        <v>17991154.550000001</v>
      </c>
      <c r="F11" s="385">
        <f>'IX. Ajuste Anual Ctas Dolares'!F13</f>
        <v>19913601.539999999</v>
      </c>
      <c r="G11" s="385">
        <f>'IX. Ajuste Anual Ctas Dolares'!G13</f>
        <v>14870611.869999999</v>
      </c>
      <c r="H11" s="385">
        <f>'IX. Ajuste Anual Ctas Dolares'!H13</f>
        <v>30257881.02</v>
      </c>
      <c r="I11" s="385">
        <f>'IX. Ajuste Anual Ctas Dolares'!I13</f>
        <v>31508853.149999999</v>
      </c>
      <c r="J11" s="385">
        <f>'IX. Ajuste Anual Ctas Dolares'!J13</f>
        <v>30702179.109999999</v>
      </c>
      <c r="K11" s="385">
        <f>'IX. Ajuste Anual Ctas Dolares'!K13</f>
        <v>32612816.469999999</v>
      </c>
      <c r="L11" s="385">
        <f>'IX. Ajuste Anual Ctas Dolares'!L13</f>
        <v>33539726.969999999</v>
      </c>
      <c r="M11" s="385">
        <f>'IX. Ajuste Anual Ctas Dolares'!M13</f>
        <v>38256272.840000004</v>
      </c>
      <c r="N11" s="385">
        <f>'IX. Ajuste Anual Ctas Dolares'!N13</f>
        <v>53542699.079999998</v>
      </c>
      <c r="O11" s="386"/>
      <c r="P11" s="384">
        <f t="shared" ref="P11:P17" si="0">SUM(C11:N11)</f>
        <v>332977333.74999994</v>
      </c>
      <c r="Q11" s="384">
        <f t="shared" ref="Q11:Q51" si="1">+P11/12</f>
        <v>27748111.145833328</v>
      </c>
      <c r="R11" s="297" t="s">
        <v>876</v>
      </c>
    </row>
    <row r="12" spans="1:18" x14ac:dyDescent="0.2">
      <c r="A12" s="321">
        <v>11030001</v>
      </c>
      <c r="B12" s="322" t="s">
        <v>12</v>
      </c>
      <c r="C12" s="385">
        <f>VLOOKUP(A12,'I. Balanza'!$C$8:$F$620,4,0)</f>
        <v>9440628.8700000122</v>
      </c>
      <c r="D12" s="385">
        <f>VLOOKUP(A12,'I. Balanza'!$C$8:$G$620,5,0)</f>
        <v>9791153.5900000129</v>
      </c>
      <c r="E12" s="385">
        <f>VLOOKUP(A12,'I. Balanza'!$C$8:$H$620,6,0)</f>
        <v>6444531.7900000028</v>
      </c>
      <c r="F12" s="385">
        <f>VLOOKUP(A12,'I. Balanza'!$C$8:$I$620,7,0)</f>
        <v>3072845.9400000046</v>
      </c>
      <c r="G12" s="385">
        <f>VLOOKUP(A12,'I. Balanza'!$C$8:$J$620,8,0)</f>
        <v>3510826.0100000133</v>
      </c>
      <c r="H12" s="385">
        <f>VLOOKUP(A12,'I. Balanza'!$C$8:$K$620,9,0)</f>
        <v>7635293.9499999946</v>
      </c>
      <c r="I12" s="385">
        <f>VLOOKUP(A12,'I. Balanza'!$C$8:$L$620,10,0)</f>
        <v>3432940.9900000202</v>
      </c>
      <c r="J12" s="385">
        <f>VLOOKUP(A12,'I. Balanza'!C10:N622,11,0)</f>
        <v>6169685.439999979</v>
      </c>
      <c r="K12" s="385">
        <f>VLOOKUP(A12,'I. Balanza'!$C$8:$N$620,12,0)</f>
        <v>11047437.369999969</v>
      </c>
      <c r="L12" s="385">
        <f>VLOOKUP(A12,'I. Balanza'!$C$8:$O$620,13,0)</f>
        <v>8870573.5399999861</v>
      </c>
      <c r="M12" s="385">
        <f>VLOOKUP(A12,'I. Balanza'!$C$8:$P$620,14,0)</f>
        <v>8350224.5699999938</v>
      </c>
      <c r="N12" s="385">
        <f>VLOOKUP(A12,'I. Balanza'!C10:Q622,15,0)</f>
        <v>7119037.3399999999</v>
      </c>
      <c r="O12" s="386"/>
      <c r="P12" s="384">
        <f t="shared" si="0"/>
        <v>84885179.399999976</v>
      </c>
      <c r="Q12" s="384">
        <f t="shared" si="1"/>
        <v>7073764.9499999983</v>
      </c>
    </row>
    <row r="13" spans="1:18" x14ac:dyDescent="0.2">
      <c r="B13" s="320" t="s">
        <v>750</v>
      </c>
      <c r="C13" s="311"/>
      <c r="K13" s="311"/>
      <c r="M13" s="311"/>
      <c r="N13" s="311"/>
      <c r="P13" s="384">
        <f t="shared" si="0"/>
        <v>0</v>
      </c>
      <c r="Q13" s="384">
        <f t="shared" si="1"/>
        <v>0</v>
      </c>
    </row>
    <row r="14" spans="1:18" x14ac:dyDescent="0.2">
      <c r="A14" s="325">
        <v>11040001</v>
      </c>
      <c r="B14" s="322" t="s">
        <v>15</v>
      </c>
      <c r="C14" s="385">
        <f>VLOOKUP(A14,'I. Balanza'!$C$8:$F$620,4,0)</f>
        <v>24845216.16</v>
      </c>
      <c r="D14" s="385">
        <f>VLOOKUP(A14,'I. Balanza'!$C$8:$G$620,5,0)</f>
        <v>23332996.239999998</v>
      </c>
      <c r="E14" s="385">
        <f>VLOOKUP(A14,'I. Balanza'!$C$8:$H$620,6,0)</f>
        <v>23219006.420000002</v>
      </c>
      <c r="F14" s="385">
        <f>VLOOKUP(A14,'I. Balanza'!$C$8:$I$620,7,0)</f>
        <v>23841656.66</v>
      </c>
      <c r="G14" s="385">
        <f>VLOOKUP(A14,'I. Balanza'!$C$8:$J$620,8,0)</f>
        <v>21406067.289999999</v>
      </c>
      <c r="H14" s="385">
        <f>VLOOKUP(A14,'I. Balanza'!$C$8:$K$620,9,0)</f>
        <v>25644085.129999999</v>
      </c>
      <c r="I14" s="385">
        <f>VLOOKUP(A14,'I. Balanza'!$C$8:$L$620,10,0)</f>
        <v>28484302.190000001</v>
      </c>
      <c r="J14" s="385">
        <f>VLOOKUP(A14,'I. Balanza'!C12:N624,11,0)</f>
        <v>27003616.489999998</v>
      </c>
      <c r="K14" s="385">
        <f>VLOOKUP(A14,'I. Balanza'!$C$8:$N$620,12,0)</f>
        <v>22250061.140000001</v>
      </c>
      <c r="L14" s="385">
        <f>VLOOKUP(A14,'I. Balanza'!$C$8:$O$620,13,0)</f>
        <v>21423995.5</v>
      </c>
      <c r="M14" s="385">
        <f>VLOOKUP(A14,'I. Balanza'!$C$8:$P$620,14,0)</f>
        <v>22272356.460000001</v>
      </c>
      <c r="N14" s="385">
        <f>VLOOKUP(A14,'I. Balanza'!C12:Q624,15,0)</f>
        <v>22476482.829999998</v>
      </c>
      <c r="O14" s="387"/>
      <c r="P14" s="384">
        <f t="shared" si="0"/>
        <v>286199842.50999999</v>
      </c>
      <c r="Q14" s="384">
        <f t="shared" si="1"/>
        <v>23849986.875833333</v>
      </c>
    </row>
    <row r="15" spans="1:18" x14ac:dyDescent="0.2">
      <c r="A15" s="325">
        <v>11040002</v>
      </c>
      <c r="B15" s="322" t="s">
        <v>16</v>
      </c>
      <c r="C15" s="385">
        <f>'IX. Ajuste Anual Ctas Dolares'!C24</f>
        <v>3601449.46</v>
      </c>
      <c r="D15" s="385">
        <f>'IX. Ajuste Anual Ctas Dolares'!D24</f>
        <v>3918256.06</v>
      </c>
      <c r="E15" s="385">
        <f>'IX. Ajuste Anual Ctas Dolares'!E24</f>
        <v>5753091.0199999996</v>
      </c>
      <c r="F15" s="385">
        <f>'IX. Ajuste Anual Ctas Dolares'!F24</f>
        <v>5465633.8399999999</v>
      </c>
      <c r="G15" s="385">
        <f>'IX. Ajuste Anual Ctas Dolares'!G24</f>
        <v>7939095.6100000003</v>
      </c>
      <c r="H15" s="385">
        <f>'IX. Ajuste Anual Ctas Dolares'!H24</f>
        <v>7329623.1200000001</v>
      </c>
      <c r="I15" s="385">
        <f>'IX. Ajuste Anual Ctas Dolares'!I24</f>
        <v>6405998.6600000001</v>
      </c>
      <c r="J15" s="385">
        <f>'IX. Ajuste Anual Ctas Dolares'!J24</f>
        <v>5508798.4000000004</v>
      </c>
      <c r="K15" s="385">
        <f>'IX. Ajuste Anual Ctas Dolares'!K24</f>
        <v>6002363.4500000002</v>
      </c>
      <c r="L15" s="385">
        <f>'IX. Ajuste Anual Ctas Dolares'!L24</f>
        <v>3966903.21</v>
      </c>
      <c r="M15" s="385">
        <f>'IX. Ajuste Anual Ctas Dolares'!M24</f>
        <v>5066887.1500000004</v>
      </c>
      <c r="N15" s="385">
        <f>'IX. Ajuste Anual Ctas Dolares'!N24</f>
        <v>5199060.28</v>
      </c>
      <c r="O15" s="387"/>
      <c r="P15" s="384">
        <f>SUM(C15:N15)</f>
        <v>66157160.259999998</v>
      </c>
      <c r="Q15" s="384">
        <f>+P15/12</f>
        <v>5513096.6883333335</v>
      </c>
      <c r="R15" s="297" t="s">
        <v>876</v>
      </c>
    </row>
    <row r="16" spans="1:18" x14ac:dyDescent="0.2">
      <c r="A16" s="325">
        <v>11040003</v>
      </c>
      <c r="B16" s="322" t="s">
        <v>17</v>
      </c>
      <c r="C16" s="385">
        <f>'IX. Ajuste Anual Ctas Dolares'!C35</f>
        <v>5320486.76</v>
      </c>
      <c r="D16" s="385">
        <f>'IX. Ajuste Anual Ctas Dolares'!D35</f>
        <v>6345868.5700000003</v>
      </c>
      <c r="E16" s="385">
        <f>'IX. Ajuste Anual Ctas Dolares'!E35</f>
        <v>7613174.9299999997</v>
      </c>
      <c r="F16" s="385">
        <f>'IX. Ajuste Anual Ctas Dolares'!F35</f>
        <v>8977668.5299999993</v>
      </c>
      <c r="G16" s="385">
        <f>'IX. Ajuste Anual Ctas Dolares'!G35</f>
        <v>12010409.800000001</v>
      </c>
      <c r="H16" s="385">
        <f>'IX. Ajuste Anual Ctas Dolares'!H35</f>
        <v>4294290.07</v>
      </c>
      <c r="I16" s="385">
        <f>'IX. Ajuste Anual Ctas Dolares'!I35</f>
        <v>7476513.4800000004</v>
      </c>
      <c r="J16" s="385">
        <f>'IX. Ajuste Anual Ctas Dolares'!J35</f>
        <v>6851850.0300000003</v>
      </c>
      <c r="K16" s="385">
        <f>'IX. Ajuste Anual Ctas Dolares'!K35</f>
        <v>9883114.5399999991</v>
      </c>
      <c r="L16" s="385">
        <f>'IX. Ajuste Anual Ctas Dolares'!L35</f>
        <v>13342119.35</v>
      </c>
      <c r="M16" s="385">
        <f>'IX. Ajuste Anual Ctas Dolares'!M35</f>
        <v>15182222.98</v>
      </c>
      <c r="N16" s="385">
        <f>'IX. Ajuste Anual Ctas Dolares'!N35</f>
        <v>4571893.59</v>
      </c>
      <c r="O16" s="387"/>
      <c r="P16" s="384">
        <f t="shared" si="0"/>
        <v>101869612.63000001</v>
      </c>
      <c r="Q16" s="384">
        <f t="shared" si="1"/>
        <v>8489134.3858333342</v>
      </c>
      <c r="R16" s="297" t="s">
        <v>876</v>
      </c>
    </row>
    <row r="17" spans="1:18" x14ac:dyDescent="0.2">
      <c r="A17" s="325">
        <v>13040001</v>
      </c>
      <c r="B17" s="322" t="s">
        <v>76</v>
      </c>
      <c r="C17" s="385">
        <f>VLOOKUP(A17,'I. Balanza'!$C$8:$F$620,4,0)</f>
        <v>545615.00000000047</v>
      </c>
      <c r="D17" s="385">
        <f>VLOOKUP(A17,'I. Balanza'!$C$8:$G$620,5,0)</f>
        <v>566001.80000000028</v>
      </c>
      <c r="E17" s="385">
        <f>VLOOKUP(A17,'I. Balanza'!$C$8:$H$620,6,0)</f>
        <v>551918.78000000026</v>
      </c>
      <c r="F17" s="385">
        <f>VLOOKUP(A17,'I. Balanza'!$C$8:$I$620,7,0)</f>
        <v>571934.04</v>
      </c>
      <c r="G17" s="385">
        <f>VLOOKUP(A17,'I. Balanza'!$C$8:$J$620,8,0)</f>
        <v>618547.81999999983</v>
      </c>
      <c r="H17" s="385">
        <f>VLOOKUP(A17,'I. Balanza'!$C$8:$K$620,9,0)</f>
        <v>634357.72000000009</v>
      </c>
      <c r="I17" s="385">
        <f>VLOOKUP(A17,'I. Balanza'!$C$8:$L$620,10,0)</f>
        <v>577840.16</v>
      </c>
      <c r="J17" s="385">
        <f>VLOOKUP(A17,'I. Balanza'!C15:N627,11,0)</f>
        <v>595190.99000000011</v>
      </c>
      <c r="K17" s="385">
        <f>VLOOKUP(A17,'I. Balanza'!$C$8:$N$620,12,0)</f>
        <v>619320.86</v>
      </c>
      <c r="L17" s="385">
        <f>VLOOKUP(A17,'I. Balanza'!$C$8:$O$620,13,0)</f>
        <v>658415.83000000019</v>
      </c>
      <c r="M17" s="385">
        <f>VLOOKUP(A17,'I. Balanza'!$C$8:$P$620,14,0)</f>
        <v>627130.54000000015</v>
      </c>
      <c r="N17" s="385">
        <f>VLOOKUP(A17,'I. Balanza'!C15:Q627,15,0)</f>
        <v>574183.95999999985</v>
      </c>
      <c r="O17" s="387"/>
      <c r="P17" s="384">
        <f t="shared" si="0"/>
        <v>7140457.5000000019</v>
      </c>
      <c r="Q17" s="384">
        <f t="shared" si="1"/>
        <v>595038.12500000012</v>
      </c>
    </row>
    <row r="18" spans="1:18" x14ac:dyDescent="0.2">
      <c r="A18" s="325">
        <v>11200001</v>
      </c>
      <c r="B18" s="322" t="s">
        <v>45</v>
      </c>
      <c r="C18" s="385">
        <f>VLOOKUP(A18,'I. Balanza'!$C$8:$F$620,4,0)</f>
        <v>0</v>
      </c>
      <c r="D18" s="385">
        <f>VLOOKUP(A18,'I. Balanza'!$C$8:$G$620,5,0)</f>
        <v>0</v>
      </c>
      <c r="E18" s="385">
        <f>VLOOKUP(A18,'I. Balanza'!$C$8:$H$620,6,0)</f>
        <v>0</v>
      </c>
      <c r="F18" s="385">
        <f>VLOOKUP(A18,'I. Balanza'!$C$8:$I$620,7,0)</f>
        <v>0</v>
      </c>
      <c r="G18" s="385">
        <f>VLOOKUP(A18,'I. Balanza'!$C$8:$J$620,8,0)</f>
        <v>0</v>
      </c>
      <c r="H18" s="385">
        <f>VLOOKUP(A18,'I. Balanza'!$C$8:$K$620,9,0)</f>
        <v>0</v>
      </c>
      <c r="I18" s="385">
        <f>VLOOKUP(A18,'I. Balanza'!$C$8:$L$620,10,0)</f>
        <v>0</v>
      </c>
      <c r="J18" s="385">
        <f>VLOOKUP(A18,'I. Balanza'!C16:N628,11,0)</f>
        <v>0</v>
      </c>
      <c r="K18" s="385">
        <f>VLOOKUP(A18,'I. Balanza'!$C$8:$N$620,12,0)</f>
        <v>0</v>
      </c>
      <c r="L18" s="385">
        <f>VLOOKUP(A18,'I. Balanza'!$C$8:$O$620,13,0)</f>
        <v>0</v>
      </c>
      <c r="M18" s="385">
        <f>VLOOKUP(A18,'I. Balanza'!$C$8:$P$620,14,0)</f>
        <v>0</v>
      </c>
      <c r="N18" s="385">
        <f>VLOOKUP(A18,'I. Balanza'!C16:Q628,15,0)</f>
        <v>0</v>
      </c>
      <c r="O18" s="328"/>
      <c r="P18" s="384">
        <f t="shared" ref="P18:P19" si="2">SUM(C18:N18)</f>
        <v>0</v>
      </c>
      <c r="Q18" s="384">
        <f t="shared" ref="Q18:Q19" si="3">+P18/12</f>
        <v>0</v>
      </c>
    </row>
    <row r="19" spans="1:18" x14ac:dyDescent="0.2">
      <c r="A19" s="325">
        <v>11200002</v>
      </c>
      <c r="B19" s="322" t="s">
        <v>46</v>
      </c>
      <c r="C19" s="385">
        <f>VLOOKUP(A19,'I. Balanza'!$C$8:$F$620,4,0)</f>
        <v>0</v>
      </c>
      <c r="D19" s="385">
        <f>VLOOKUP(A19,'I. Balanza'!$C$8:$G$620,5,0)</f>
        <v>316863.14</v>
      </c>
      <c r="E19" s="385">
        <f>VLOOKUP(A19,'I. Balanza'!$C$8:$H$620,6,0)</f>
        <v>585338.66</v>
      </c>
      <c r="F19" s="385">
        <f>VLOOKUP(A19,'I. Balanza'!$C$8:$I$620,7,0)</f>
        <v>423899.15</v>
      </c>
      <c r="G19" s="385">
        <f>VLOOKUP(A19,'I. Balanza'!$C$8:$J$620,8,0)</f>
        <v>59063</v>
      </c>
      <c r="H19" s="385">
        <f>VLOOKUP(A19,'I. Balanza'!$C$8:$K$620,9,0)</f>
        <v>0</v>
      </c>
      <c r="I19" s="385">
        <f>VLOOKUP(A19,'I. Balanza'!$C$8:$L$620,10,0)</f>
        <v>482853.11</v>
      </c>
      <c r="J19" s="385">
        <f>VLOOKUP(A19,'I. Balanza'!C17:N629,11,0)</f>
        <v>854258.55</v>
      </c>
      <c r="K19" s="385">
        <f>VLOOKUP(A19,'I. Balanza'!$C$8:$N$620,12,0)</f>
        <v>208088.46</v>
      </c>
      <c r="L19" s="385">
        <f>VLOOKUP(A19,'I. Balanza'!$C$8:$O$620,13,0)</f>
        <v>0</v>
      </c>
      <c r="M19" s="385">
        <f>VLOOKUP(A19,'I. Balanza'!$C$8:$P$620,14,0)</f>
        <v>97599.33</v>
      </c>
      <c r="N19" s="385">
        <f>VLOOKUP(A19,'I. Balanza'!C17:Q629,15,0)</f>
        <v>0</v>
      </c>
      <c r="O19" s="328"/>
      <c r="P19" s="384">
        <f t="shared" si="2"/>
        <v>3027963.4000000004</v>
      </c>
      <c r="Q19" s="384">
        <f t="shared" si="3"/>
        <v>252330.28333333335</v>
      </c>
    </row>
    <row r="20" spans="1:18" x14ac:dyDescent="0.2">
      <c r="A20" s="326"/>
      <c r="B20" s="327"/>
      <c r="C20" s="382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28"/>
      <c r="P20" s="328"/>
      <c r="Q20" s="324"/>
    </row>
    <row r="21" spans="1:18" x14ac:dyDescent="0.2">
      <c r="B21" s="320" t="s">
        <v>751</v>
      </c>
      <c r="C21" s="329">
        <f>SUM(C10:C20)</f>
        <v>59699053.970000014</v>
      </c>
      <c r="D21" s="329">
        <f t="shared" ref="D21:M21" si="4">SUM(D10:D20)</f>
        <v>60325625.510000013</v>
      </c>
      <c r="E21" s="329">
        <f t="shared" si="4"/>
        <v>63204871.539999999</v>
      </c>
      <c r="F21" s="329">
        <f t="shared" si="4"/>
        <v>62597190.859999999</v>
      </c>
      <c r="G21" s="329">
        <f t="shared" si="4"/>
        <v>60906869.390000008</v>
      </c>
      <c r="H21" s="329">
        <f t="shared" si="4"/>
        <v>76421804.25</v>
      </c>
      <c r="I21" s="329">
        <f t="shared" si="4"/>
        <v>78431713.800000012</v>
      </c>
      <c r="J21" s="329">
        <f t="shared" si="4"/>
        <v>77682769.789999977</v>
      </c>
      <c r="K21" s="329">
        <f t="shared" si="4"/>
        <v>83546422.139999956</v>
      </c>
      <c r="L21" s="329">
        <f t="shared" si="4"/>
        <v>82497803.729999974</v>
      </c>
      <c r="M21" s="329">
        <f t="shared" si="4"/>
        <v>90814092.280000016</v>
      </c>
      <c r="N21" s="329">
        <f>SUM(N10:N20)</f>
        <v>94726386.390000001</v>
      </c>
      <c r="O21" s="330"/>
      <c r="P21" s="329">
        <f>SUM(P10:P19)</f>
        <v>890854603.64999986</v>
      </c>
      <c r="Q21" s="324">
        <f>+P21/12</f>
        <v>74237883.637499988</v>
      </c>
    </row>
    <row r="22" spans="1:18" x14ac:dyDescent="0.2">
      <c r="D22" s="310"/>
      <c r="E22" s="310"/>
      <c r="F22" s="310"/>
      <c r="G22" s="310"/>
      <c r="H22" s="310"/>
      <c r="I22" s="310"/>
      <c r="J22" s="310"/>
      <c r="K22" s="310"/>
      <c r="Q22" s="324"/>
    </row>
    <row r="23" spans="1:18" x14ac:dyDescent="0.2">
      <c r="D23" s="310"/>
      <c r="E23" s="310"/>
      <c r="Q23" s="324"/>
    </row>
    <row r="24" spans="1:18" x14ac:dyDescent="0.2">
      <c r="A24" s="313" t="s">
        <v>726</v>
      </c>
      <c r="B24" s="313" t="s">
        <v>748</v>
      </c>
      <c r="C24" s="314" t="str">
        <f t="shared" ref="C24:N24" si="5">+C7</f>
        <v>ENERO</v>
      </c>
      <c r="D24" s="314" t="str">
        <f t="shared" si="5"/>
        <v>FEBRERO</v>
      </c>
      <c r="E24" s="314" t="str">
        <f t="shared" si="5"/>
        <v>MARZO</v>
      </c>
      <c r="F24" s="314" t="str">
        <f t="shared" si="5"/>
        <v>ABRIL</v>
      </c>
      <c r="G24" s="314" t="str">
        <f t="shared" si="5"/>
        <v>MAYO</v>
      </c>
      <c r="H24" s="314" t="str">
        <f t="shared" si="5"/>
        <v>JUNIO</v>
      </c>
      <c r="I24" s="314" t="str">
        <f t="shared" si="5"/>
        <v>JULIO</v>
      </c>
      <c r="J24" s="314" t="str">
        <f t="shared" si="5"/>
        <v>AGOSTO</v>
      </c>
      <c r="K24" s="314" t="str">
        <f t="shared" si="5"/>
        <v>SEPTIEMBRE</v>
      </c>
      <c r="L24" s="314" t="str">
        <f t="shared" si="5"/>
        <v>OCTUBRE</v>
      </c>
      <c r="M24" s="314" t="str">
        <f t="shared" si="5"/>
        <v>NOVIEMBRE</v>
      </c>
      <c r="N24" s="314" t="str">
        <f t="shared" si="5"/>
        <v>DICIEMBRE</v>
      </c>
      <c r="O24" s="317"/>
      <c r="P24" s="318" t="s">
        <v>228</v>
      </c>
      <c r="Q24" s="318" t="s">
        <v>749</v>
      </c>
    </row>
    <row r="25" spans="1:18" x14ac:dyDescent="0.2">
      <c r="D25" s="310"/>
      <c r="E25" s="310"/>
      <c r="Q25" s="324"/>
    </row>
    <row r="26" spans="1:18" x14ac:dyDescent="0.2">
      <c r="B26" s="320" t="s">
        <v>752</v>
      </c>
      <c r="D26" s="310"/>
      <c r="E26" s="310"/>
      <c r="Q26" s="324"/>
    </row>
    <row r="27" spans="1:18" x14ac:dyDescent="0.2">
      <c r="A27" s="325">
        <v>21020001</v>
      </c>
      <c r="B27" s="322" t="s">
        <v>88</v>
      </c>
      <c r="C27" s="385">
        <f>-VLOOKUP(A27,'I. Balanza'!$C$8:$F$620,4,0)</f>
        <v>6575676.6200000001</v>
      </c>
      <c r="D27" s="385">
        <f>-VLOOKUP(A27,'I. Balanza'!$C$8:$G$620,5,0)</f>
        <v>4522810.8600000003</v>
      </c>
      <c r="E27" s="385">
        <f>-VLOOKUP(A27,'I. Balanza'!$C$8:$H$620,6,0)</f>
        <v>2835615.87</v>
      </c>
      <c r="F27" s="385">
        <f>-VLOOKUP(A27,'I. Balanza'!$C$8:$I$620,7,0)</f>
        <v>2106337.5699999998</v>
      </c>
      <c r="G27" s="385">
        <f>-VLOOKUP(A27,'I. Balanza'!$C$8:$J$620,8,0)</f>
        <v>1627737.58</v>
      </c>
      <c r="H27" s="385">
        <f>-VLOOKUP(A27,'I. Balanza'!$C$8:$K$620,9,0)</f>
        <v>3389442.53</v>
      </c>
      <c r="I27" s="385">
        <f>-VLOOKUP(A27,'I. Balanza'!$C$8:$L$620,10,0)</f>
        <v>4117808.56</v>
      </c>
      <c r="J27" s="385">
        <f>-VLOOKUP(A27,'I. Balanza'!C25:N637,11,0)</f>
        <v>4102532.68</v>
      </c>
      <c r="K27" s="385">
        <f>-VLOOKUP(A27,'I. Balanza'!$C$8:$N$620,12,0)</f>
        <v>2390297.56</v>
      </c>
      <c r="L27" s="385">
        <f>-VLOOKUP(A27,'I. Balanza'!$C$8:$O$620,13,0)</f>
        <v>3047764.02</v>
      </c>
      <c r="M27" s="385">
        <f>-VLOOKUP(A27,'I. Balanza'!$C$8:$P$620,14,0)</f>
        <v>3766616.61</v>
      </c>
      <c r="N27" s="385">
        <f>-VLOOKUP(A27,'I. Balanza'!C25:Q637,15,0)</f>
        <v>3589695.23</v>
      </c>
      <c r="O27" s="331"/>
      <c r="P27" s="332">
        <f>SUM(C27:N27)</f>
        <v>42072335.689999998</v>
      </c>
      <c r="Q27" s="324">
        <f t="shared" si="1"/>
        <v>3506027.9741666666</v>
      </c>
    </row>
    <row r="28" spans="1:18" x14ac:dyDescent="0.2">
      <c r="A28" s="325">
        <v>21020002</v>
      </c>
      <c r="B28" s="322" t="s">
        <v>89</v>
      </c>
      <c r="C28" s="385">
        <f>'IX. Ajuste Anual Ctas Dolares'!C49</f>
        <v>1981262.1</v>
      </c>
      <c r="D28" s="385">
        <f>'IX. Ajuste Anual Ctas Dolares'!D49</f>
        <v>2517419.81</v>
      </c>
      <c r="E28" s="385">
        <f>'IX. Ajuste Anual Ctas Dolares'!E49</f>
        <v>1397542.77</v>
      </c>
      <c r="F28" s="385">
        <f>'IX. Ajuste Anual Ctas Dolares'!F49</f>
        <v>1377776.55</v>
      </c>
      <c r="G28" s="385">
        <f>'IX. Ajuste Anual Ctas Dolares'!G49</f>
        <v>1541068.39</v>
      </c>
      <c r="H28" s="385">
        <f>'IX. Ajuste Anual Ctas Dolares'!H49</f>
        <v>2058270.79</v>
      </c>
      <c r="I28" s="385">
        <f>'IX. Ajuste Anual Ctas Dolares'!I49</f>
        <v>2137883.91</v>
      </c>
      <c r="J28" s="385">
        <f>'IX. Ajuste Anual Ctas Dolares'!J49</f>
        <v>1695807.41</v>
      </c>
      <c r="K28" s="385">
        <f>'IX. Ajuste Anual Ctas Dolares'!K49</f>
        <v>1424957.96</v>
      </c>
      <c r="L28" s="385">
        <f>'IX. Ajuste Anual Ctas Dolares'!L49</f>
        <v>1502015.51</v>
      </c>
      <c r="M28" s="385">
        <f>'IX. Ajuste Anual Ctas Dolares'!M49</f>
        <v>1842116.5</v>
      </c>
      <c r="N28" s="385">
        <f>'IX. Ajuste Anual Ctas Dolares'!N49</f>
        <v>2335555.7000000002</v>
      </c>
      <c r="O28" s="331"/>
      <c r="P28" s="332">
        <f t="shared" ref="P28:P43" si="6">SUM(C28:N28)</f>
        <v>21811677.400000002</v>
      </c>
      <c r="Q28" s="324">
        <f t="shared" si="1"/>
        <v>1817639.7833333334</v>
      </c>
      <c r="R28" s="297" t="s">
        <v>876</v>
      </c>
    </row>
    <row r="29" spans="1:18" x14ac:dyDescent="0.2">
      <c r="A29" s="325">
        <v>21020004</v>
      </c>
      <c r="B29" s="322" t="s">
        <v>90</v>
      </c>
      <c r="C29" s="385">
        <f>'IX. Ajuste Anual Ctas Dolares'!C60</f>
        <v>3027366.66</v>
      </c>
      <c r="D29" s="385">
        <f>'IX. Ajuste Anual Ctas Dolares'!D60</f>
        <v>3172733.63</v>
      </c>
      <c r="E29" s="385">
        <f>'IX. Ajuste Anual Ctas Dolares'!E60</f>
        <v>8647670</v>
      </c>
      <c r="F29" s="385">
        <f>'IX. Ajuste Anual Ctas Dolares'!F60</f>
        <v>4761956.91</v>
      </c>
      <c r="G29" s="385">
        <f>'IX. Ajuste Anual Ctas Dolares'!G60</f>
        <v>3949768.57</v>
      </c>
      <c r="H29" s="385">
        <f>'IX. Ajuste Anual Ctas Dolares'!H60</f>
        <v>7624963.2699999996</v>
      </c>
      <c r="I29" s="385">
        <f>'IX. Ajuste Anual Ctas Dolares'!I60</f>
        <v>5145233.1100000003</v>
      </c>
      <c r="J29" s="385">
        <f>'IX. Ajuste Anual Ctas Dolares'!J60</f>
        <v>5935491</v>
      </c>
      <c r="K29" s="385">
        <f>'IX. Ajuste Anual Ctas Dolares'!K60</f>
        <v>5352409.33</v>
      </c>
      <c r="L29" s="385">
        <f>'IX. Ajuste Anual Ctas Dolares'!L60</f>
        <v>3503297.17</v>
      </c>
      <c r="M29" s="385">
        <f>'IX. Ajuste Anual Ctas Dolares'!M60</f>
        <v>4034103.78</v>
      </c>
      <c r="N29" s="385">
        <f>'IX. Ajuste Anual Ctas Dolares'!N60</f>
        <v>6484252.75</v>
      </c>
      <c r="O29" s="331"/>
      <c r="P29" s="332">
        <f t="shared" si="6"/>
        <v>61639246.18</v>
      </c>
      <c r="Q29" s="324">
        <f t="shared" si="1"/>
        <v>5136603.8483333336</v>
      </c>
      <c r="R29" s="297" t="s">
        <v>876</v>
      </c>
    </row>
    <row r="30" spans="1:18" x14ac:dyDescent="0.2">
      <c r="A30" s="325">
        <v>21020005</v>
      </c>
      <c r="B30" s="322" t="s">
        <v>520</v>
      </c>
      <c r="C30" s="385">
        <f>-VLOOKUP(A30,'I. Balanza'!$C$8:$F$620,4,0)</f>
        <v>653044.93999999994</v>
      </c>
      <c r="D30" s="385">
        <f>-VLOOKUP(A30,'I. Balanza'!$C$8:$G$620,5,0)</f>
        <v>682070.56</v>
      </c>
      <c r="E30" s="385">
        <f>-VLOOKUP(A30,'I. Balanza'!$C$8:$H$620,6,0)</f>
        <v>550049.51</v>
      </c>
      <c r="F30" s="385">
        <f>-VLOOKUP(A30,'I. Balanza'!$C$8:$I$620,7,0)</f>
        <v>512194.51</v>
      </c>
      <c r="G30" s="385">
        <f>-VLOOKUP(A30,'I. Balanza'!$C$8:$J$620,8,0)</f>
        <v>763932.8</v>
      </c>
      <c r="H30" s="385">
        <f>-VLOOKUP(A30,'I. Balanza'!$C$8:$K$620,9,0)</f>
        <v>470950.86</v>
      </c>
      <c r="I30" s="385">
        <f>-VLOOKUP(A30,'I. Balanza'!$C$8:$L$620,10,0)</f>
        <v>343024.83</v>
      </c>
      <c r="J30" s="385">
        <f>-VLOOKUP(A30,'I. Balanza'!C28:N640,11,0)</f>
        <v>420787.7</v>
      </c>
      <c r="K30" s="385">
        <f>-VLOOKUP(A30,'I. Balanza'!$C$8:$N$620,12,0)</f>
        <v>768823.7</v>
      </c>
      <c r="L30" s="385">
        <f>-VLOOKUP(A30,'I. Balanza'!$C$8:$O$620,13,0)</f>
        <v>451929.68</v>
      </c>
      <c r="M30" s="385">
        <f>-VLOOKUP(A30,'I. Balanza'!$C$8:$P$620,14,0)</f>
        <v>410570.22</v>
      </c>
      <c r="N30" s="385">
        <f>-VLOOKUP(A30,'I. Balanza'!C28:Q640,15,0)</f>
        <v>3072.38</v>
      </c>
      <c r="O30" s="331"/>
      <c r="P30" s="332">
        <f t="shared" ref="P30:P31" si="7">SUM(C30:N30)</f>
        <v>6030451.6899999995</v>
      </c>
      <c r="Q30" s="324">
        <f t="shared" ref="Q30:Q31" si="8">+P30/12</f>
        <v>502537.64083333331</v>
      </c>
    </row>
    <row r="31" spans="1:18" x14ac:dyDescent="0.2">
      <c r="A31" s="325">
        <v>21120001</v>
      </c>
      <c r="B31" s="322" t="s">
        <v>304</v>
      </c>
      <c r="C31" s="385">
        <f>-VLOOKUP(A31,'I. Balanza'!$C$8:$F$620,4,0)</f>
        <v>0</v>
      </c>
      <c r="D31" s="385">
        <f>-VLOOKUP(A31,'I. Balanza'!$C$8:$G$620,5,0)</f>
        <v>0</v>
      </c>
      <c r="E31" s="385">
        <f>-VLOOKUP(A31,'I. Balanza'!$C$8:$H$620,6,0)</f>
        <v>0</v>
      </c>
      <c r="F31" s="385">
        <f>-VLOOKUP(A31,'I. Balanza'!$C$8:$I$620,7,0)</f>
        <v>0</v>
      </c>
      <c r="G31" s="385">
        <f>-VLOOKUP(A31,'I. Balanza'!$C$8:$J$620,8,0)</f>
        <v>0</v>
      </c>
      <c r="H31" s="385">
        <f>-VLOOKUP(A31,'I. Balanza'!$C$8:$K$620,9,0)</f>
        <v>0</v>
      </c>
      <c r="I31" s="385">
        <f>-VLOOKUP(A31,'I. Balanza'!$C$8:$L$620,10,0)</f>
        <v>0</v>
      </c>
      <c r="J31" s="385">
        <f>-VLOOKUP(A31,'I. Balanza'!C29:N641,11,0)</f>
        <v>0</v>
      </c>
      <c r="K31" s="385">
        <f>-VLOOKUP(A31,'I. Balanza'!$C$8:$N$620,12,0)</f>
        <v>0</v>
      </c>
      <c r="L31" s="385">
        <f>-VLOOKUP(A31,'I. Balanza'!$C$8:$O$620,13,0)</f>
        <v>0</v>
      </c>
      <c r="M31" s="385">
        <f>-VLOOKUP(A31,'I. Balanza'!$C$8:$P$620,14,0)</f>
        <v>0</v>
      </c>
      <c r="N31" s="385">
        <f>-VLOOKUP(A31,'I. Balanza'!C29:Q641,15,0)</f>
        <v>0</v>
      </c>
      <c r="O31" s="331"/>
      <c r="P31" s="332">
        <f t="shared" si="7"/>
        <v>0</v>
      </c>
      <c r="Q31" s="324">
        <f t="shared" si="8"/>
        <v>0</v>
      </c>
    </row>
    <row r="32" spans="1:18" x14ac:dyDescent="0.2"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</row>
    <row r="33" spans="1:18" x14ac:dyDescent="0.2">
      <c r="B33" s="320" t="s">
        <v>753</v>
      </c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</row>
    <row r="34" spans="1:18" ht="15" customHeight="1" x14ac:dyDescent="0.2">
      <c r="A34" s="325">
        <v>21050011</v>
      </c>
      <c r="B34" s="322" t="s">
        <v>105</v>
      </c>
      <c r="C34" s="385">
        <f>-VLOOKUP(A34,'I. Balanza'!$C$8:$F$620,4,0)</f>
        <v>44455</v>
      </c>
      <c r="D34" s="385">
        <f>-VLOOKUP(A34,'I. Balanza'!$C$8:$G$620,5,0)</f>
        <v>44455</v>
      </c>
      <c r="E34" s="385">
        <f>-VLOOKUP(A34,'I. Balanza'!$C$8:$H$620,6,0)</f>
        <v>144951</v>
      </c>
      <c r="F34" s="385">
        <f>-VLOOKUP(A34,'I. Balanza'!$C$8:$I$620,7,0)</f>
        <v>46087.13</v>
      </c>
      <c r="G34" s="385">
        <f>-VLOOKUP(A34,'I. Balanza'!$C$8:$J$620,8,0)</f>
        <v>50498</v>
      </c>
      <c r="H34" s="385">
        <f>-VLOOKUP(A34,'I. Balanza'!$C$8:$K$620,9,0)</f>
        <v>44271</v>
      </c>
      <c r="I34" s="385">
        <f>-VLOOKUP(A34,'I. Balanza'!$C$8:$L$620,10,0)</f>
        <v>45322</v>
      </c>
      <c r="J34" s="385">
        <f>-VLOOKUP(A34,'I. Balanza'!C33:N645,11,0)</f>
        <v>43321</v>
      </c>
      <c r="K34" s="385">
        <f>-VLOOKUP(A34,'I. Balanza'!$C$8:$N$620,12,0)</f>
        <v>49680</v>
      </c>
      <c r="L34" s="385">
        <f>-VLOOKUP(A34,'I. Balanza'!$C$8:$O$620,13,0)</f>
        <v>44662</v>
      </c>
      <c r="M34" s="385">
        <f>-VLOOKUP(A34,'I. Balanza'!$C$8:$P$620,14,0)</f>
        <v>42989</v>
      </c>
      <c r="N34" s="385">
        <f>-VLOOKUP(A34,'I. Balanza'!C33:Q645,15,0)</f>
        <v>78544</v>
      </c>
      <c r="O34" s="323"/>
      <c r="P34" s="332">
        <f t="shared" si="6"/>
        <v>679235.13</v>
      </c>
      <c r="Q34" s="324">
        <f t="shared" si="1"/>
        <v>56602.927499999998</v>
      </c>
    </row>
    <row r="35" spans="1:18" x14ac:dyDescent="0.2">
      <c r="A35" s="325">
        <v>21050005</v>
      </c>
      <c r="B35" s="322" t="s">
        <v>99</v>
      </c>
      <c r="C35" s="385">
        <f>-VLOOKUP(A35,'I. Balanza'!$C$8:$F$620,4,0)</f>
        <v>142394.82999999999</v>
      </c>
      <c r="D35" s="385">
        <f>-VLOOKUP(A35,'I. Balanza'!$C$8:$G$620,5,0)</f>
        <v>129645.13</v>
      </c>
      <c r="E35" s="385">
        <f>-VLOOKUP(A35,'I. Balanza'!$C$8:$H$620,6,0)</f>
        <v>143046.17000000001</v>
      </c>
      <c r="F35" s="385">
        <f>-VLOOKUP(A35,'I. Balanza'!$C$8:$I$620,7,0)</f>
        <v>139863.4</v>
      </c>
      <c r="G35" s="385">
        <f>-VLOOKUP(A35,'I. Balanza'!$C$8:$J$620,8,0)</f>
        <v>141681.42000000001</v>
      </c>
      <c r="H35" s="385">
        <f>-VLOOKUP(A35,'I. Balanza'!$C$8:$K$620,9,0)</f>
        <v>129962.54</v>
      </c>
      <c r="I35" s="385">
        <f>-VLOOKUP(A35,'I. Balanza'!$C$8:$L$620,10,0)</f>
        <v>134413</v>
      </c>
      <c r="J35" s="385">
        <f>-VLOOKUP(A35,'I. Balanza'!C34:N646,11,0)</f>
        <v>133427.5</v>
      </c>
      <c r="K35" s="385">
        <f>-VLOOKUP(A35,'I. Balanza'!$C$8:$N$620,12,0)</f>
        <v>131177.19</v>
      </c>
      <c r="L35" s="385">
        <f>-VLOOKUP(A35,'I. Balanza'!$C$8:$O$620,13,0)</f>
        <v>132944.99</v>
      </c>
      <c r="M35" s="385">
        <f>-VLOOKUP(A35,'I. Balanza'!$C$8:$P$620,14,0)</f>
        <v>130604.78</v>
      </c>
      <c r="N35" s="385">
        <f>-VLOOKUP(A35,'I. Balanza'!C34:Q646,15,0)</f>
        <v>134606.47</v>
      </c>
      <c r="O35" s="323"/>
      <c r="P35" s="332">
        <f t="shared" si="6"/>
        <v>1623767.4200000002</v>
      </c>
      <c r="Q35" s="324">
        <f t="shared" si="1"/>
        <v>135313.95166666669</v>
      </c>
    </row>
    <row r="36" spans="1:18" x14ac:dyDescent="0.2">
      <c r="A36" s="325">
        <v>21050006</v>
      </c>
      <c r="B36" s="322" t="s">
        <v>100</v>
      </c>
      <c r="C36" s="385">
        <v>0</v>
      </c>
      <c r="D36" s="385">
        <f>-VLOOKUP(A36,'I. Balanza'!$C$8:$G$620,5,0)</f>
        <v>164378.29999999999</v>
      </c>
      <c r="E36" s="385">
        <v>0</v>
      </c>
      <c r="F36" s="385">
        <f>-VLOOKUP(A36,'I. Balanza'!$C$8:$I$620,7,0)</f>
        <v>174836.82</v>
      </c>
      <c r="G36" s="385">
        <v>0</v>
      </c>
      <c r="H36" s="385">
        <f>-VLOOKUP(A36,'I. Balanza'!$C$8:$K$620,9,0)</f>
        <v>167580.31</v>
      </c>
      <c r="I36" s="385">
        <v>0</v>
      </c>
      <c r="J36" s="385">
        <f>-VLOOKUP(A36,'I. Balanza'!C35:N647,11,0)</f>
        <v>165567.35</v>
      </c>
      <c r="K36" s="385">
        <v>0</v>
      </c>
      <c r="L36" s="385">
        <f>-VLOOKUP(A36,'I. Balanza'!$C$8:$O$620,13,0)</f>
        <v>163997.66</v>
      </c>
      <c r="M36" s="385">
        <v>0</v>
      </c>
      <c r="N36" s="385">
        <f>-VLOOKUP(A36,'I. Balanza'!C35:Q647,15,0)</f>
        <v>165775.99</v>
      </c>
      <c r="O36" s="323"/>
      <c r="P36" s="332">
        <f t="shared" si="6"/>
        <v>1002136.43</v>
      </c>
      <c r="Q36" s="324">
        <f t="shared" si="1"/>
        <v>83511.369166666671</v>
      </c>
      <c r="R36" s="297" t="s">
        <v>877</v>
      </c>
    </row>
    <row r="37" spans="1:18" x14ac:dyDescent="0.2">
      <c r="A37" s="325">
        <v>21050007</v>
      </c>
      <c r="B37" s="322" t="s">
        <v>101</v>
      </c>
      <c r="C37" s="385">
        <v>0</v>
      </c>
      <c r="D37" s="385">
        <f>-VLOOKUP(A37,'I. Balanza'!$C$8:$G$620,5,0)</f>
        <v>161069.19</v>
      </c>
      <c r="E37" s="385">
        <v>0</v>
      </c>
      <c r="F37" s="385">
        <f>-VLOOKUP(A37,'I. Balanza'!$C$8:$I$620,7,0)</f>
        <v>170391.54</v>
      </c>
      <c r="G37" s="385">
        <v>0</v>
      </c>
      <c r="H37" s="385">
        <f>-VLOOKUP(A37,'I. Balanza'!$C$8:$K$620,9,0)</f>
        <v>163250.23999999999</v>
      </c>
      <c r="I37" s="385">
        <v>0</v>
      </c>
      <c r="J37" s="385">
        <f>-VLOOKUP(A37,'I. Balanza'!C36:N648,11,0)</f>
        <v>160925.57999999999</v>
      </c>
      <c r="K37" s="385">
        <v>0</v>
      </c>
      <c r="L37" s="385">
        <f>-VLOOKUP(A37,'I. Balanza'!$C$8:$O$620,13,0)</f>
        <v>159776.99</v>
      </c>
      <c r="M37" s="385">
        <v>0</v>
      </c>
      <c r="N37" s="385">
        <f>-VLOOKUP(A37,'I. Balanza'!C36:Q648,15,0)</f>
        <v>161037.12</v>
      </c>
      <c r="O37" s="323"/>
      <c r="P37" s="332">
        <f t="shared" si="6"/>
        <v>976450.65999999992</v>
      </c>
      <c r="Q37" s="324">
        <f t="shared" si="1"/>
        <v>81370.888333333321</v>
      </c>
      <c r="R37" s="297" t="s">
        <v>877</v>
      </c>
    </row>
    <row r="38" spans="1:18" x14ac:dyDescent="0.2">
      <c r="A38" s="325">
        <v>21050009</v>
      </c>
      <c r="B38" s="322" t="s">
        <v>103</v>
      </c>
      <c r="C38" s="385">
        <f>-VLOOKUP(A38,'I. Balanza'!$C$8:$F$620,4,0)</f>
        <v>3187.11</v>
      </c>
      <c r="D38" s="385">
        <f>-VLOOKUP(A38,'I. Balanza'!$C$8:$G$620,5,0)</f>
        <v>7230.58</v>
      </c>
      <c r="E38" s="385">
        <f>-VLOOKUP(A38,'I. Balanza'!$C$8:$H$620,6,0)</f>
        <v>3853.7</v>
      </c>
      <c r="F38" s="385">
        <f>-VLOOKUP(A38,'I. Balanza'!$C$8:$I$620,7,0)</f>
        <v>3853.82</v>
      </c>
      <c r="G38" s="385">
        <f>-VLOOKUP(A38,'I. Balanza'!$C$8:$J$620,8,0)</f>
        <v>10740.39</v>
      </c>
      <c r="H38" s="385">
        <f>-VLOOKUP(A38,'I. Balanza'!$C$8:$K$620,9,0)</f>
        <v>5681.06</v>
      </c>
      <c r="I38" s="385">
        <f>-VLOOKUP(A38,'I. Balanza'!$C$8:$L$620,10,0)</f>
        <v>1312.44</v>
      </c>
      <c r="J38" s="385">
        <f>-VLOOKUP(A38,'I. Balanza'!C37:N649,11,0)</f>
        <v>3497.5</v>
      </c>
      <c r="K38" s="385">
        <f>-VLOOKUP(A38,'I. Balanza'!$C$8:$N$620,12,0)</f>
        <v>5611.74</v>
      </c>
      <c r="L38" s="385">
        <f>-VLOOKUP(A38,'I. Balanza'!$C$8:$O$620,13,0)</f>
        <v>666.62</v>
      </c>
      <c r="M38" s="385">
        <f>-VLOOKUP(A38,'I. Balanza'!$C$8:$P$620,14,0)</f>
        <v>2947.18</v>
      </c>
      <c r="N38" s="385">
        <f>-VLOOKUP(A38,'I. Balanza'!C37:Q649,15,0)</f>
        <v>2851.74</v>
      </c>
      <c r="O38" s="323"/>
      <c r="P38" s="332">
        <f t="shared" si="6"/>
        <v>51433.88</v>
      </c>
      <c r="Q38" s="324">
        <f t="shared" si="1"/>
        <v>4286.1566666666668</v>
      </c>
    </row>
    <row r="39" spans="1:18" x14ac:dyDescent="0.2">
      <c r="A39" s="325">
        <v>21050010</v>
      </c>
      <c r="B39" s="322" t="s">
        <v>104</v>
      </c>
      <c r="C39" s="385">
        <f>-VLOOKUP(A39,'I. Balanza'!$C$8:$F$620,4,0)</f>
        <v>13146.89</v>
      </c>
      <c r="D39" s="385">
        <f>-VLOOKUP(A39,'I. Balanza'!$C$8:$G$620,5,0)</f>
        <v>3870.33</v>
      </c>
      <c r="E39" s="385">
        <f>-VLOOKUP(A39,'I. Balanza'!$C$8:$H$620,6,0)</f>
        <v>5274.56</v>
      </c>
      <c r="F39" s="385">
        <f>-VLOOKUP(A39,'I. Balanza'!$C$8:$I$620,7,0)</f>
        <v>5276.72</v>
      </c>
      <c r="G39" s="385">
        <f>-VLOOKUP(A39,'I. Balanza'!$C$8:$J$620,8,0)</f>
        <v>5672.09</v>
      </c>
      <c r="H39" s="385">
        <f>-VLOOKUP(A39,'I. Balanza'!$C$8:$K$620,9,0)</f>
        <v>8972.64</v>
      </c>
      <c r="I39" s="385">
        <f>-VLOOKUP(A39,'I. Balanza'!$C$8:$L$620,10,0)</f>
        <v>7422.84</v>
      </c>
      <c r="J39" s="385">
        <f>-VLOOKUP(A39,'I. Balanza'!C38:N650,11,0)</f>
        <v>7852.37</v>
      </c>
      <c r="K39" s="385">
        <f>-VLOOKUP(A39,'I. Balanza'!$C$8:$N$620,12,0)</f>
        <v>8184.45</v>
      </c>
      <c r="L39" s="385">
        <f>-VLOOKUP(A39,'I. Balanza'!$C$8:$O$620,13,0)</f>
        <v>4623.2299999999996</v>
      </c>
      <c r="M39" s="385">
        <f>-VLOOKUP(A39,'I. Balanza'!$C$8:$P$620,14,0)</f>
        <v>4327.7</v>
      </c>
      <c r="N39" s="385">
        <f>-VLOOKUP(A39,'I. Balanza'!C38:Q650,15,0)</f>
        <v>5890.48</v>
      </c>
      <c r="O39" s="323"/>
      <c r="P39" s="332">
        <f t="shared" si="6"/>
        <v>80514.3</v>
      </c>
      <c r="Q39" s="324">
        <f t="shared" si="1"/>
        <v>6709.5250000000005</v>
      </c>
    </row>
    <row r="40" spans="1:18" x14ac:dyDescent="0.2">
      <c r="A40" s="325">
        <v>21010001</v>
      </c>
      <c r="B40" s="322" t="s">
        <v>83</v>
      </c>
      <c r="C40" s="385">
        <f>-VLOOKUP(A40,'I. Balanza'!$C$8:$F$620,4,0)</f>
        <v>81104</v>
      </c>
      <c r="D40" s="385">
        <f>-VLOOKUP(A40,'I. Balanza'!$C$8:$G$620,5,0)</f>
        <v>72711</v>
      </c>
      <c r="E40" s="385">
        <f>-VLOOKUP(A40,'I. Balanza'!$C$8:$H$620,6,0)</f>
        <v>64679</v>
      </c>
      <c r="F40" s="385">
        <f>-VLOOKUP(A40,'I. Balanza'!$C$8:$I$620,7,0)</f>
        <v>64644</v>
      </c>
      <c r="G40" s="385">
        <f>-VLOOKUP(A40,'I. Balanza'!$C$8:$J$620,8,0)</f>
        <v>64235</v>
      </c>
      <c r="H40" s="385">
        <f>-VLOOKUP(A40,'I. Balanza'!$C$8:$K$620,9,0)</f>
        <v>59903</v>
      </c>
      <c r="I40" s="385">
        <f>-VLOOKUP(A40,'I. Balanza'!$C$8:$L$620,10,0)</f>
        <v>66873</v>
      </c>
      <c r="J40" s="385">
        <f>-VLOOKUP(A40,'I. Balanza'!C39:N651,11,0)</f>
        <v>61742</v>
      </c>
      <c r="K40" s="385">
        <f>-VLOOKUP(A40,'I. Balanza'!$C$8:$N$620,12,0)</f>
        <v>69684</v>
      </c>
      <c r="L40" s="385">
        <f>-VLOOKUP(A40,'I. Balanza'!$C$8:$O$620,13,0)</f>
        <v>58553</v>
      </c>
      <c r="M40" s="385">
        <f>-VLOOKUP(A40,'I. Balanza'!$C$8:$P$620,14,0)</f>
        <v>60111</v>
      </c>
      <c r="N40" s="385">
        <f>-VLOOKUP(A40,'I. Balanza'!C39:Q651,15,0)</f>
        <v>0</v>
      </c>
      <c r="O40" s="323"/>
      <c r="P40" s="332">
        <f t="shared" si="6"/>
        <v>724239</v>
      </c>
      <c r="Q40" s="324">
        <f t="shared" si="1"/>
        <v>60353.25</v>
      </c>
    </row>
    <row r="41" spans="1:18" x14ac:dyDescent="0.2">
      <c r="A41" s="325">
        <v>21010002</v>
      </c>
      <c r="B41" s="322" t="s">
        <v>84</v>
      </c>
      <c r="C41" s="385">
        <f>-VLOOKUP(A41,'I. Balanza'!$C$8:$F$620,4,0)</f>
        <v>120378.12</v>
      </c>
      <c r="D41" s="385">
        <f>-VLOOKUP(A41,'I. Balanza'!$C$8:$G$620,5,0)</f>
        <v>247053.09</v>
      </c>
      <c r="E41" s="385">
        <f>-VLOOKUP(A41,'I. Balanza'!$C$8:$H$620,6,0)</f>
        <v>0</v>
      </c>
      <c r="F41" s="385">
        <f>-VLOOKUP(A41,'I. Balanza'!$C$8:$I$620,7,0)</f>
        <v>0</v>
      </c>
      <c r="G41" s="385">
        <f>-VLOOKUP(A41,'I. Balanza'!$C$8:$J$620,8,0)</f>
        <v>38465.769999999997</v>
      </c>
      <c r="H41" s="385">
        <f>-VLOOKUP(A41,'I. Balanza'!$C$8:$K$620,9,0)</f>
        <v>121499.93</v>
      </c>
      <c r="I41" s="385">
        <f>-VLOOKUP(A41,'I. Balanza'!$C$8:$L$620,10,0)</f>
        <v>0</v>
      </c>
      <c r="J41" s="385">
        <f>-VLOOKUP(A41,'I. Balanza'!C40:N652,11,0)</f>
        <v>121990.47</v>
      </c>
      <c r="K41" s="385">
        <f>-VLOOKUP(A41,'I. Balanza'!$C$8:$N$620,12,0)</f>
        <v>235100.6</v>
      </c>
      <c r="L41" s="385">
        <f>-VLOOKUP(A41,'I. Balanza'!$C$8:$O$620,13,0)</f>
        <v>352206.88</v>
      </c>
      <c r="M41" s="385">
        <f>-VLOOKUP(A41,'I. Balanza'!$C$8:$P$620,14,0)</f>
        <v>468403.45</v>
      </c>
      <c r="N41" s="385">
        <f>-VLOOKUP(A41,'I. Balanza'!C40:Q652,15,0)</f>
        <v>0</v>
      </c>
      <c r="O41" s="323"/>
      <c r="P41" s="332">
        <f t="shared" si="6"/>
        <v>1705098.3099999998</v>
      </c>
      <c r="Q41" s="324">
        <f t="shared" si="1"/>
        <v>142091.52583333332</v>
      </c>
    </row>
    <row r="42" spans="1:18" x14ac:dyDescent="0.2">
      <c r="A42" s="325">
        <v>21010003</v>
      </c>
      <c r="B42" s="322" t="s">
        <v>85</v>
      </c>
      <c r="C42" s="385">
        <f>-VLOOKUP(A42,'I. Balanza'!$C$8:$F$620,4,0)</f>
        <v>2499475.6800000002</v>
      </c>
      <c r="D42" s="385">
        <f>-VLOOKUP(A42,'I. Balanza'!$C$8:$G$620,5,0)</f>
        <v>2793028.86</v>
      </c>
      <c r="E42" s="385">
        <f>-VLOOKUP(A42,'I. Balanza'!$C$8:$H$620,6,0)</f>
        <v>901178.95</v>
      </c>
      <c r="F42" s="385">
        <f>-VLOOKUP(A42,'I. Balanza'!$C$8:$I$620,7,0)</f>
        <v>1144278.8899999999</v>
      </c>
      <c r="G42" s="385">
        <f>-VLOOKUP(A42,'I. Balanza'!$C$8:$J$620,8,0)</f>
        <v>1206855.6599999999</v>
      </c>
      <c r="H42" s="385">
        <f>-VLOOKUP(A42,'I. Balanza'!$C$8:$K$620,9,0)</f>
        <v>1469553.38</v>
      </c>
      <c r="I42" s="385">
        <f>-VLOOKUP(A42,'I. Balanza'!$C$8:$L$620,10,0)</f>
        <v>2073977.08</v>
      </c>
      <c r="J42" s="385">
        <f>-VLOOKUP(A42,'I. Balanza'!C41:N653,11,0)</f>
        <v>2661991.7400000002</v>
      </c>
      <c r="K42" s="385">
        <f>-VLOOKUP(A42,'I. Balanza'!$C$8:$N$620,12,0)</f>
        <v>3952778.36</v>
      </c>
      <c r="L42" s="385">
        <f>-VLOOKUP(A42,'I. Balanza'!$C$8:$O$620,13,0)</f>
        <v>4379694.75</v>
      </c>
      <c r="M42" s="385">
        <f>-VLOOKUP(A42,'I. Balanza'!$C$8:$P$620,14,0)</f>
        <v>4798621.07</v>
      </c>
      <c r="N42" s="385">
        <f>-VLOOKUP(A42,'I. Balanza'!C41:Q653,15,0)</f>
        <v>0</v>
      </c>
      <c r="O42" s="323"/>
      <c r="P42" s="332">
        <f t="shared" si="6"/>
        <v>27881434.419999998</v>
      </c>
      <c r="Q42" s="324">
        <f t="shared" si="1"/>
        <v>2323452.8683333332</v>
      </c>
    </row>
    <row r="43" spans="1:18" x14ac:dyDescent="0.2">
      <c r="A43" s="325">
        <v>21060005</v>
      </c>
      <c r="B43" s="322" t="s">
        <v>107</v>
      </c>
      <c r="C43" s="385">
        <f>-VLOOKUP(A43,'I. Balanza'!$C$8:$F$620,4,0)</f>
        <v>14046.6</v>
      </c>
      <c r="D43" s="385">
        <f>-VLOOKUP(A43,'I. Balanza'!$C$8:$G$620,5,0)</f>
        <v>0</v>
      </c>
      <c r="E43" s="385">
        <f>-VLOOKUP(A43,'I. Balanza'!$C$8:$H$620,6,0)</f>
        <v>0</v>
      </c>
      <c r="F43" s="385">
        <f>-VLOOKUP(A43,'I. Balanza'!$C$8:$I$620,7,0)</f>
        <v>0</v>
      </c>
      <c r="G43" s="385">
        <f>-VLOOKUP(A43,'I. Balanza'!$C$8:$J$620,8,0)</f>
        <v>0</v>
      </c>
      <c r="H43" s="385">
        <f>-VLOOKUP(A43,'I. Balanza'!$C$8:$K$620,9,0)</f>
        <v>590721.01</v>
      </c>
      <c r="I43" s="385">
        <f>-VLOOKUP(A43,'I. Balanza'!$C$8:$L$620,10,0)</f>
        <v>0</v>
      </c>
      <c r="J43" s="385">
        <f>-VLOOKUP(A43,'I. Balanza'!C42:N654,11,0)</f>
        <v>0</v>
      </c>
      <c r="K43" s="385">
        <f>-VLOOKUP(A43,'I. Balanza'!$C$8:$N$620,12,0)</f>
        <v>0</v>
      </c>
      <c r="L43" s="385">
        <f>-VLOOKUP(A43,'I. Balanza'!$C$8:$O$620,13,0)</f>
        <v>59188.14</v>
      </c>
      <c r="M43" s="385">
        <f>-VLOOKUP(A43,'I. Balanza'!$C$8:$P$620,14,0)</f>
        <v>0</v>
      </c>
      <c r="N43" s="385">
        <f>-VLOOKUP(A43,'I. Balanza'!C42:Q654,15,0)</f>
        <v>17366.150000000001</v>
      </c>
      <c r="O43" s="323"/>
      <c r="P43" s="332">
        <f t="shared" si="6"/>
        <v>681321.9</v>
      </c>
      <c r="Q43" s="324">
        <f t="shared" si="1"/>
        <v>56776.825000000004</v>
      </c>
    </row>
    <row r="44" spans="1:18" x14ac:dyDescent="0.2">
      <c r="A44" s="325">
        <v>21110002</v>
      </c>
      <c r="B44" s="322" t="s">
        <v>122</v>
      </c>
      <c r="C44" s="385">
        <f>-VLOOKUP(A44,'I. Balanza'!$C$8:$F$620,4,0)</f>
        <v>107332</v>
      </c>
      <c r="D44" s="385">
        <f>-VLOOKUP(A44,'I. Balanza'!$C$8:$G$620,5,0)</f>
        <v>107332</v>
      </c>
      <c r="E44" s="385">
        <f>-VLOOKUP(A44,'I. Balanza'!$C$8:$H$620,6,0)</f>
        <v>899988</v>
      </c>
      <c r="F44" s="385">
        <f>-VLOOKUP(A44,'I. Balanza'!$C$8:$I$620,7,0)</f>
        <v>1212947</v>
      </c>
      <c r="G44" s="385">
        <f>-VLOOKUP(A44,'I. Balanza'!$C$8:$J$620,8,0)</f>
        <v>1540187</v>
      </c>
      <c r="H44" s="385">
        <f>-VLOOKUP(A44,'I. Balanza'!$C$8:$K$620,9,0)</f>
        <v>2506533</v>
      </c>
      <c r="I44" s="385">
        <f>-VLOOKUP(A44,'I. Balanza'!$C$8:$L$620,10,0)</f>
        <v>3123299</v>
      </c>
      <c r="J44" s="385">
        <f>-VLOOKUP(A44,'I. Balanza'!C42:N654,11,0)</f>
        <v>3454328</v>
      </c>
      <c r="K44" s="385">
        <f>-VLOOKUP(A44,'I. Balanza'!$C$8:$N$620,12,0)</f>
        <v>4107194</v>
      </c>
      <c r="L44" s="385">
        <f>-VLOOKUP(A44,'I. Balanza'!$C$8:$O$620,13,0)</f>
        <v>4296002.2</v>
      </c>
      <c r="M44" s="385">
        <f>-VLOOKUP(A44,'I. Balanza'!$C$8:$P$620,14,0)</f>
        <v>4584704.2</v>
      </c>
      <c r="N44" s="385">
        <f>-VLOOKUP(A44,'I. Balanza'!C42:Q654,15,0)</f>
        <v>5476644.3899999997</v>
      </c>
      <c r="O44" s="333"/>
      <c r="P44" s="383">
        <f t="shared" ref="P44:P45" si="9">SUM(C44:N44)</f>
        <v>31416490.789999999</v>
      </c>
      <c r="Q44" s="384">
        <f t="shared" ref="Q44:Q45" si="10">+P44/12</f>
        <v>2618040.8991666664</v>
      </c>
    </row>
    <row r="45" spans="1:18" x14ac:dyDescent="0.2">
      <c r="A45" s="325">
        <v>21110001</v>
      </c>
      <c r="B45" s="322" t="s">
        <v>121</v>
      </c>
      <c r="C45" s="385">
        <f>-VLOOKUP(A45,'I. Balanza'!$C$8:$F$620,4,0)</f>
        <v>4607589</v>
      </c>
      <c r="D45" s="385">
        <f>-VLOOKUP(A45,'I. Balanza'!$C$8:$G$620,5,0)</f>
        <v>5006137</v>
      </c>
      <c r="E45" s="385">
        <f>-VLOOKUP(A45,'I. Balanza'!$C$8:$H$620,6,0)</f>
        <v>4607589</v>
      </c>
      <c r="F45" s="385">
        <f>-VLOOKUP(A45,'I. Balanza'!$C$8:$I$620,7,0)</f>
        <v>4607589</v>
      </c>
      <c r="G45" s="385">
        <f>-VLOOKUP(A45,'I. Balanza'!$C$8:$J$620,8,0)</f>
        <v>0</v>
      </c>
      <c r="H45" s="385">
        <f>-VLOOKUP(A45,'I. Balanza'!$C$8:$K$620,9,0)</f>
        <v>0</v>
      </c>
      <c r="I45" s="385">
        <f>-VLOOKUP(A45,'I. Balanza'!$C$8:$L$620,10,0)</f>
        <v>0</v>
      </c>
      <c r="J45" s="385">
        <f>-VLOOKUP(A45,'I. Balanza'!C43:N655,11,0)</f>
        <v>0</v>
      </c>
      <c r="K45" s="385">
        <f>-VLOOKUP(A45,'I. Balanza'!$C$8:$N$620,12,0)</f>
        <v>0</v>
      </c>
      <c r="L45" s="385">
        <f>-VLOOKUP(A45,'I. Balanza'!$C$8:$O$620,13,0)</f>
        <v>0</v>
      </c>
      <c r="M45" s="385">
        <f>-VLOOKUP(A45,'I. Balanza'!$C$8:$P$620,14,0)</f>
        <v>0</v>
      </c>
      <c r="N45" s="385">
        <f>-VLOOKUP(A45,'I. Balanza'!C43:Q655,15,0)</f>
        <v>0</v>
      </c>
      <c r="O45" s="333"/>
      <c r="P45" s="383">
        <f t="shared" si="9"/>
        <v>18828904</v>
      </c>
      <c r="Q45" s="384">
        <f t="shared" si="10"/>
        <v>1569075.3333333333</v>
      </c>
    </row>
    <row r="46" spans="1:18" x14ac:dyDescent="0.2">
      <c r="A46" s="325">
        <v>22300001</v>
      </c>
      <c r="B46" s="322" t="s">
        <v>305</v>
      </c>
      <c r="C46" s="385">
        <f>-VLOOKUP(A46,'I. Balanza'!$C$8:$F$620,4,0)</f>
        <v>0</v>
      </c>
      <c r="D46" s="385">
        <f>-VLOOKUP(A46,'I. Balanza'!$C$8:$G$620,5,0)</f>
        <v>0</v>
      </c>
      <c r="E46" s="385">
        <f>-VLOOKUP(A46,'I. Balanza'!$C$8:$H$620,6,0)</f>
        <v>0</v>
      </c>
      <c r="F46" s="385">
        <f>-VLOOKUP(A46,'I. Balanza'!$C$8:$I$620,7,0)</f>
        <v>0</v>
      </c>
      <c r="G46" s="385">
        <f>-VLOOKUP(A46,'I. Balanza'!$C$8:$J$620,8,0)</f>
        <v>0</v>
      </c>
      <c r="H46" s="385">
        <f>-VLOOKUP(A46,'I. Balanza'!$C$8:$K$620,9,0)</f>
        <v>0</v>
      </c>
      <c r="I46" s="385">
        <f>-VLOOKUP(A46,'I. Balanza'!$C$8:$L$620,10,0)</f>
        <v>0</v>
      </c>
      <c r="J46" s="385">
        <f>-VLOOKUP(A46,'I. Balanza'!C44:N656,11,0)</f>
        <v>0</v>
      </c>
      <c r="K46" s="385">
        <f>-VLOOKUP(A46,'I. Balanza'!$C$8:$N$620,12,0)</f>
        <v>0</v>
      </c>
      <c r="L46" s="385">
        <f>-VLOOKUP(A46,'I. Balanza'!$C$8:$O$620,13,0)</f>
        <v>0</v>
      </c>
      <c r="M46" s="385">
        <f>-VLOOKUP(A46,'I. Balanza'!$C$8:$P$620,14,0)</f>
        <v>0</v>
      </c>
      <c r="N46" s="385">
        <f>-VLOOKUP(A46,'I. Balanza'!C44:Q656,15,0)</f>
        <v>0</v>
      </c>
      <c r="O46" s="333"/>
      <c r="P46" s="383">
        <f t="shared" ref="P46" si="11">SUM(C46:N46)</f>
        <v>0</v>
      </c>
      <c r="Q46" s="384">
        <f t="shared" ref="Q46" si="12">+P46/12</f>
        <v>0</v>
      </c>
    </row>
    <row r="47" spans="1:18" x14ac:dyDescent="0.2">
      <c r="B47" s="320" t="s">
        <v>754</v>
      </c>
      <c r="C47" s="334">
        <f t="shared" ref="C47:N47" si="13">SUM(C27:C46)</f>
        <v>19870459.549999997</v>
      </c>
      <c r="D47" s="334">
        <f t="shared" si="13"/>
        <v>19631945.340000004</v>
      </c>
      <c r="E47" s="334">
        <f t="shared" si="13"/>
        <v>20201438.530000001</v>
      </c>
      <c r="F47" s="334">
        <f t="shared" si="13"/>
        <v>16328033.860000003</v>
      </c>
      <c r="G47" s="334">
        <f t="shared" si="13"/>
        <v>10940842.669999998</v>
      </c>
      <c r="H47" s="334">
        <f t="shared" si="13"/>
        <v>18811555.560000002</v>
      </c>
      <c r="I47" s="334">
        <f t="shared" si="13"/>
        <v>17196569.770000003</v>
      </c>
      <c r="J47" s="334">
        <f t="shared" si="13"/>
        <v>18969262.299999997</v>
      </c>
      <c r="K47" s="334">
        <f t="shared" si="13"/>
        <v>18495898.889999997</v>
      </c>
      <c r="L47" s="334">
        <f t="shared" si="13"/>
        <v>18157322.840000004</v>
      </c>
      <c r="M47" s="334">
        <f t="shared" si="13"/>
        <v>20146115.489999998</v>
      </c>
      <c r="N47" s="334">
        <f t="shared" si="13"/>
        <v>18455292.400000002</v>
      </c>
      <c r="O47" s="334"/>
      <c r="P47" s="334">
        <f>SUM(P27:P46)</f>
        <v>217204737.19999999</v>
      </c>
      <c r="Q47" s="334">
        <f>P47/12</f>
        <v>18100394.766666666</v>
      </c>
    </row>
    <row r="48" spans="1:18" x14ac:dyDescent="0.2">
      <c r="A48" s="326"/>
      <c r="B48" s="327"/>
      <c r="Q48" s="324">
        <f t="shared" si="1"/>
        <v>0</v>
      </c>
    </row>
    <row r="49" spans="1:18" ht="15" x14ac:dyDescent="0.2">
      <c r="A49" s="326"/>
      <c r="B49" s="335" t="s">
        <v>755</v>
      </c>
      <c r="C49" s="311">
        <f>+C21-C47</f>
        <v>39828594.420000017</v>
      </c>
      <c r="D49" s="311">
        <f>+D21-D47</f>
        <v>40693680.170000009</v>
      </c>
      <c r="E49" s="311">
        <f>+E21-E47</f>
        <v>43003433.009999998</v>
      </c>
      <c r="F49" s="311">
        <f t="shared" ref="F49:N49" si="14">F21-F47</f>
        <v>46269157</v>
      </c>
      <c r="G49" s="311">
        <f t="shared" si="14"/>
        <v>49966026.720000014</v>
      </c>
      <c r="H49" s="311">
        <f t="shared" si="14"/>
        <v>57610248.689999998</v>
      </c>
      <c r="I49" s="311">
        <f t="shared" si="14"/>
        <v>61235144.030000009</v>
      </c>
      <c r="J49" s="311">
        <f t="shared" si="14"/>
        <v>58713507.48999998</v>
      </c>
      <c r="K49" s="311">
        <f t="shared" si="14"/>
        <v>65050523.249999955</v>
      </c>
      <c r="L49" s="311">
        <f t="shared" si="14"/>
        <v>64340480.889999971</v>
      </c>
      <c r="M49" s="311">
        <f t="shared" si="14"/>
        <v>70667976.790000021</v>
      </c>
      <c r="N49" s="311">
        <f t="shared" si="14"/>
        <v>76271093.989999995</v>
      </c>
      <c r="O49" s="311"/>
      <c r="P49" s="311">
        <f>P21-P47</f>
        <v>673649866.44999981</v>
      </c>
      <c r="Q49" s="324">
        <f>+P49/12</f>
        <v>56137488.870833315</v>
      </c>
      <c r="R49" s="336"/>
    </row>
    <row r="50" spans="1:18" x14ac:dyDescent="0.2">
      <c r="A50" s="326"/>
      <c r="B50" s="327"/>
      <c r="D50" s="310"/>
      <c r="E50" s="310"/>
      <c r="F50" s="310"/>
      <c r="G50" s="310"/>
      <c r="H50" s="310"/>
      <c r="I50" s="310"/>
      <c r="J50" s="310"/>
      <c r="Q50" s="324">
        <f t="shared" si="1"/>
        <v>0</v>
      </c>
    </row>
    <row r="51" spans="1:18" x14ac:dyDescent="0.2">
      <c r="Q51" s="324">
        <f t="shared" si="1"/>
        <v>0</v>
      </c>
    </row>
    <row r="52" spans="1:18" x14ac:dyDescent="0.2">
      <c r="B52" s="309" t="s">
        <v>756</v>
      </c>
      <c r="C52" s="311">
        <f>C49</f>
        <v>39828594.420000017</v>
      </c>
      <c r="D52" s="311">
        <f>SUM(C49:D49)/2</f>
        <v>40261137.295000017</v>
      </c>
      <c r="E52" s="311">
        <f>SUM($C$49:E49)/3</f>
        <v>41175235.866666675</v>
      </c>
      <c r="F52" s="311">
        <f>SUM($C$49:F49)/4</f>
        <v>42448716.150000006</v>
      </c>
      <c r="G52" s="311">
        <f>SUM($C$49:G49)/5</f>
        <v>43952178.264000013</v>
      </c>
      <c r="H52" s="311">
        <f>SUM($C$49:H49)/6</f>
        <v>46228523.335000008</v>
      </c>
      <c r="I52" s="311">
        <f>SUM($C$49:I49)/7</f>
        <v>48372326.291428581</v>
      </c>
      <c r="J52" s="311">
        <f>SUM($C$49:J49)/8</f>
        <v>49664973.941250011</v>
      </c>
      <c r="K52" s="311">
        <f>SUM($C$49:K49)/9</f>
        <v>51374479.420000002</v>
      </c>
      <c r="L52" s="311">
        <f>SUM($C$49:L49)/10</f>
        <v>52671079.567000002</v>
      </c>
      <c r="M52" s="311">
        <f>SUM($C$49:M49)/11</f>
        <v>54307161.132727273</v>
      </c>
      <c r="N52" s="311">
        <f>SUM($C$49:N49)/12</f>
        <v>56137488.870833337</v>
      </c>
      <c r="O52" s="311"/>
      <c r="P52" s="311">
        <f>+P49/12</f>
        <v>56137488.870833315</v>
      </c>
      <c r="Q52" s="324">
        <f>P52</f>
        <v>56137488.870833315</v>
      </c>
    </row>
    <row r="54" spans="1:18" x14ac:dyDescent="0.2">
      <c r="A54" s="326"/>
      <c r="B54" s="335" t="s">
        <v>757</v>
      </c>
      <c r="C54" s="337">
        <f t="shared" ref="C54:M54" si="15">+C62</f>
        <v>8.8999999999999999E-3</v>
      </c>
      <c r="D54" s="337">
        <f t="shared" si="15"/>
        <v>9.7999999999999997E-3</v>
      </c>
      <c r="E54" s="337">
        <f t="shared" si="15"/>
        <v>1.2699999999999999E-2</v>
      </c>
      <c r="F54" s="337">
        <f t="shared" si="15"/>
        <v>1.4800000000000001E-2</v>
      </c>
      <c r="G54" s="337">
        <f t="shared" si="15"/>
        <v>1.29E-2</v>
      </c>
      <c r="H54" s="337">
        <f t="shared" si="15"/>
        <v>1.67E-2</v>
      </c>
      <c r="I54" s="337">
        <f t="shared" si="15"/>
        <v>2.7400000000000001E-2</v>
      </c>
      <c r="J54" s="337">
        <f t="shared" si="15"/>
        <v>2.7400000000000001E-2</v>
      </c>
      <c r="K54" s="337">
        <f t="shared" si="15"/>
        <v>2.8000000000000001E-2</v>
      </c>
      <c r="L54" s="337">
        <f t="shared" si="15"/>
        <v>3.3599999999999998E-2</v>
      </c>
      <c r="M54" s="337">
        <f t="shared" si="15"/>
        <v>3.8100000000000002E-2</v>
      </c>
      <c r="N54" s="337">
        <f>+N62</f>
        <v>4.2099999999999999E-2</v>
      </c>
      <c r="O54" s="338"/>
      <c r="P54" s="337">
        <f>+N54</f>
        <v>4.2099999999999999E-2</v>
      </c>
      <c r="Q54" s="337">
        <f>+P54</f>
        <v>4.2099999999999999E-2</v>
      </c>
    </row>
    <row r="55" spans="1:18" ht="13.5" thickBot="1" x14ac:dyDescent="0.25">
      <c r="A55" s="326"/>
      <c r="B55" s="327" t="s">
        <v>758</v>
      </c>
      <c r="C55" s="339">
        <f>C52*C54</f>
        <v>354474.49033800012</v>
      </c>
      <c r="D55" s="339">
        <f t="shared" ref="D55:N55" si="16">D52*D54</f>
        <v>394559.14549100015</v>
      </c>
      <c r="E55" s="339">
        <f t="shared" si="16"/>
        <v>522925.49550666678</v>
      </c>
      <c r="F55" s="339">
        <f t="shared" si="16"/>
        <v>628240.9990200001</v>
      </c>
      <c r="G55" s="339">
        <f t="shared" si="16"/>
        <v>566983.09960560012</v>
      </c>
      <c r="H55" s="339">
        <f t="shared" si="16"/>
        <v>772016.33969450009</v>
      </c>
      <c r="I55" s="339">
        <f t="shared" si="16"/>
        <v>1325401.7403851431</v>
      </c>
      <c r="J55" s="339">
        <f t="shared" si="16"/>
        <v>1360820.2859902503</v>
      </c>
      <c r="K55" s="339">
        <f t="shared" si="16"/>
        <v>1438485.4237600002</v>
      </c>
      <c r="L55" s="339">
        <f t="shared" si="16"/>
        <v>1769748.2734512</v>
      </c>
      <c r="M55" s="339">
        <f t="shared" si="16"/>
        <v>2069102.8391569091</v>
      </c>
      <c r="N55" s="339">
        <f t="shared" si="16"/>
        <v>2363388.2814620836</v>
      </c>
      <c r="O55" s="334"/>
      <c r="P55" s="339">
        <f>P52*P54</f>
        <v>2363388.2814620826</v>
      </c>
      <c r="Q55" s="339">
        <f>+Q52*Q54</f>
        <v>2363388.2814620826</v>
      </c>
    </row>
    <row r="56" spans="1:18" ht="13.5" thickTop="1" x14ac:dyDescent="0.2">
      <c r="A56" s="326"/>
      <c r="B56" s="327"/>
    </row>
    <row r="57" spans="1:18" x14ac:dyDescent="0.2">
      <c r="A57" s="326"/>
      <c r="B57" s="327"/>
    </row>
    <row r="58" spans="1:18" x14ac:dyDescent="0.2">
      <c r="A58" s="326"/>
      <c r="B58" s="327" t="s">
        <v>759</v>
      </c>
    </row>
    <row r="59" spans="1:18" x14ac:dyDescent="0.2">
      <c r="A59" s="326"/>
      <c r="B59" s="309" t="s">
        <v>871</v>
      </c>
      <c r="C59" s="503">
        <f>'XX. INPC'!B3</f>
        <v>133.55500000000001</v>
      </c>
      <c r="D59" s="503">
        <f>'XX. INPC'!C3</f>
        <v>133.68100000000001</v>
      </c>
      <c r="E59" s="503">
        <f>'XX. INPC'!D3</f>
        <v>134.065</v>
      </c>
      <c r="F59" s="503">
        <f>'XX. INPC'!E3</f>
        <v>134.33600000000001</v>
      </c>
      <c r="G59" s="503">
        <f>'XX. INPC'!F3</f>
        <v>134.08699999999999</v>
      </c>
      <c r="H59" s="503">
        <f>'XX. INPC'!G3</f>
        <v>134.59399999999999</v>
      </c>
      <c r="I59" s="503">
        <f>'XX. INPC'!H3</f>
        <v>136.00299999999999</v>
      </c>
      <c r="J59" s="503">
        <f>'XX. INPC'!I3</f>
        <v>136.01300000000001</v>
      </c>
      <c r="K59" s="503">
        <f>'XX. INPC'!J3</f>
        <v>136.08000000000001</v>
      </c>
      <c r="L59" s="503">
        <f>'XX. INPC'!K3</f>
        <v>136.828</v>
      </c>
      <c r="M59" s="503">
        <f>'XX. INPC'!L3</f>
        <v>137.42400000000001</v>
      </c>
      <c r="N59" s="503">
        <f>'XX. INPC'!M3</f>
        <v>137.94900000000001</v>
      </c>
      <c r="O59" s="340"/>
    </row>
    <row r="60" spans="1:18" ht="22.5" x14ac:dyDescent="0.2">
      <c r="A60" s="341"/>
      <c r="B60" s="378" t="s">
        <v>870</v>
      </c>
      <c r="C60" s="504">
        <f>'XX. INPC'!$M$4</f>
        <v>132.37299999999999</v>
      </c>
      <c r="D60" s="504">
        <f>'XX. INPC'!$M$4</f>
        <v>132.37299999999999</v>
      </c>
      <c r="E60" s="504">
        <f>'XX. INPC'!$M$4</f>
        <v>132.37299999999999</v>
      </c>
      <c r="F60" s="504">
        <f>'XX. INPC'!$M$4</f>
        <v>132.37299999999999</v>
      </c>
      <c r="G60" s="504">
        <f>'XX. INPC'!$M$4</f>
        <v>132.37299999999999</v>
      </c>
      <c r="H60" s="504">
        <f>'XX. INPC'!$M$4</f>
        <v>132.37299999999999</v>
      </c>
      <c r="I60" s="504">
        <f>'XX. INPC'!$M$4</f>
        <v>132.37299999999999</v>
      </c>
      <c r="J60" s="504">
        <f>'XX. INPC'!$M$4</f>
        <v>132.37299999999999</v>
      </c>
      <c r="K60" s="504">
        <f>'XX. INPC'!$M$4</f>
        <v>132.37299999999999</v>
      </c>
      <c r="L60" s="504">
        <f>'XX. INPC'!$M$4</f>
        <v>132.37299999999999</v>
      </c>
      <c r="M60" s="504">
        <f>'XX. INPC'!$M$4</f>
        <v>132.37299999999999</v>
      </c>
      <c r="N60" s="504">
        <f>'XX. INPC'!$M$4</f>
        <v>132.37299999999999</v>
      </c>
      <c r="O60" s="340"/>
    </row>
    <row r="62" spans="1:18" x14ac:dyDescent="0.2">
      <c r="C62" s="338">
        <f>TRUNC(C59/C60-1,4)</f>
        <v>8.8999999999999999E-3</v>
      </c>
      <c r="D62" s="338">
        <f>TRUNC(D59/D60-1,4)</f>
        <v>9.7999999999999997E-3</v>
      </c>
      <c r="E62" s="338">
        <f t="shared" ref="E62:N62" si="17">TRUNC(E59/E60-1,4)</f>
        <v>1.2699999999999999E-2</v>
      </c>
      <c r="F62" s="338">
        <f t="shared" si="17"/>
        <v>1.4800000000000001E-2</v>
      </c>
      <c r="G62" s="338">
        <f t="shared" si="17"/>
        <v>1.29E-2</v>
      </c>
      <c r="H62" s="338">
        <f t="shared" si="17"/>
        <v>1.67E-2</v>
      </c>
      <c r="I62" s="338">
        <f t="shared" si="17"/>
        <v>2.7400000000000001E-2</v>
      </c>
      <c r="J62" s="338">
        <f t="shared" si="17"/>
        <v>2.7400000000000001E-2</v>
      </c>
      <c r="K62" s="338">
        <f t="shared" si="17"/>
        <v>2.8000000000000001E-2</v>
      </c>
      <c r="L62" s="338">
        <f t="shared" si="17"/>
        <v>3.3599999999999998E-2</v>
      </c>
      <c r="M62" s="338">
        <f t="shared" si="17"/>
        <v>3.8100000000000002E-2</v>
      </c>
      <c r="N62" s="338">
        <f t="shared" si="17"/>
        <v>4.2099999999999999E-2</v>
      </c>
      <c r="O62" s="338"/>
    </row>
    <row r="67" spans="2:14" x14ac:dyDescent="0.2">
      <c r="B67" s="376"/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376"/>
      <c r="N67" s="376"/>
    </row>
    <row r="68" spans="2:14" x14ac:dyDescent="0.2">
      <c r="B68" s="376"/>
      <c r="C68" s="376"/>
      <c r="D68" s="376"/>
      <c r="E68" s="376"/>
      <c r="F68" s="376"/>
      <c r="G68" s="376"/>
      <c r="H68" s="376"/>
      <c r="I68" s="376"/>
      <c r="J68" s="376"/>
      <c r="K68" s="376"/>
      <c r="L68" s="377"/>
      <c r="M68" s="376"/>
      <c r="N68" s="376"/>
    </row>
  </sheetData>
  <printOptions horizontalCentered="1" verticalCentered="1"/>
  <pageMargins left="0.78740157480314965" right="0.78740157480314965" top="0.98425196850393704" bottom="0.98425196850393704" header="0.53" footer="0.56000000000000005"/>
  <pageSetup scale="49" orientation="landscape" r:id="rId1"/>
  <headerFooter alignWithMargins="0">
    <oddHeader>&amp;F</oddHeader>
    <oddFooter>&amp;L&amp;P&amp;C&amp;F&amp;R&amp;A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445F-F1E4-402E-AD46-1B9759F8749B}">
  <dimension ref="A3:N60"/>
  <sheetViews>
    <sheetView showGridLines="0" workbookViewId="0">
      <pane ySplit="5" topLeftCell="A6" activePane="bottomLeft" state="frozen"/>
      <selection activeCell="R32" sqref="R32"/>
      <selection pane="bottomLeft" activeCell="C8" sqref="C8"/>
    </sheetView>
  </sheetViews>
  <sheetFormatPr baseColWidth="10" defaultColWidth="10.88671875" defaultRowHeight="15" x14ac:dyDescent="0.2"/>
  <cols>
    <col min="2" max="2" width="18.5546875" customWidth="1"/>
  </cols>
  <sheetData>
    <row r="3" spans="1:14" x14ac:dyDescent="0.2">
      <c r="A3" t="s">
        <v>872</v>
      </c>
    </row>
    <row r="5" spans="1:14" x14ac:dyDescent="0.2">
      <c r="A5" s="313" t="s">
        <v>726</v>
      </c>
      <c r="B5" s="313" t="s">
        <v>748</v>
      </c>
      <c r="C5" s="314" t="s">
        <v>732</v>
      </c>
      <c r="D5" s="315" t="s">
        <v>733</v>
      </c>
      <c r="E5" s="315" t="s">
        <v>734</v>
      </c>
      <c r="F5" s="315" t="s">
        <v>735</v>
      </c>
      <c r="G5" s="315" t="s">
        <v>736</v>
      </c>
      <c r="H5" s="315" t="s">
        <v>737</v>
      </c>
      <c r="I5" s="315" t="s">
        <v>738</v>
      </c>
      <c r="J5" s="315" t="s">
        <v>739</v>
      </c>
      <c r="K5" s="316" t="s">
        <v>740</v>
      </c>
      <c r="L5" s="315" t="s">
        <v>741</v>
      </c>
      <c r="M5" s="313" t="s">
        <v>742</v>
      </c>
      <c r="N5" s="313" t="s">
        <v>743</v>
      </c>
    </row>
    <row r="6" spans="1:14" x14ac:dyDescent="0.2">
      <c r="A6" s="321"/>
      <c r="B6" t="s">
        <v>875</v>
      </c>
      <c r="C6" s="379"/>
      <c r="D6" s="380"/>
      <c r="E6" s="380"/>
      <c r="F6" s="380"/>
      <c r="G6" s="380"/>
      <c r="H6" s="380"/>
      <c r="I6" s="380"/>
      <c r="J6" s="380"/>
      <c r="K6" s="381"/>
      <c r="L6" s="380"/>
      <c r="M6" s="321"/>
      <c r="N6" s="321"/>
    </row>
    <row r="7" spans="1:14" ht="23.25" customHeight="1" x14ac:dyDescent="0.2">
      <c r="A7" s="321">
        <v>11020002</v>
      </c>
      <c r="B7" s="322" t="s">
        <v>9</v>
      </c>
      <c r="C7" s="385">
        <v>14512249</v>
      </c>
      <c r="D7" s="385">
        <v>14528038.250499651</v>
      </c>
      <c r="E7" s="385">
        <v>17695499.800749447</v>
      </c>
      <c r="F7" s="385">
        <v>19890598.790999234</v>
      </c>
      <c r="G7" s="385">
        <v>14449482.291249089</v>
      </c>
      <c r="H7" s="385">
        <v>29261694.401498914</v>
      </c>
      <c r="I7" s="385">
        <v>30800402.341748711</v>
      </c>
      <c r="J7" s="385">
        <v>30979408.391998578</v>
      </c>
      <c r="K7" s="385">
        <v>34310473.652248412</v>
      </c>
      <c r="L7" s="385">
        <v>34407177.922498152</v>
      </c>
      <c r="M7" s="385">
        <v>36290301.972747967</v>
      </c>
      <c r="N7" s="385">
        <v>52878516.602997735</v>
      </c>
    </row>
    <row r="8" spans="1:14" x14ac:dyDescent="0.2">
      <c r="B8" t="s">
        <v>873</v>
      </c>
      <c r="C8">
        <f>'XXI. T. Cambio'!D37</f>
        <v>18.787199999999999</v>
      </c>
      <c r="D8">
        <f>'XXI. T. Cambio'!D65</f>
        <v>18.4023</v>
      </c>
      <c r="E8">
        <f>'XXI. T. Cambio'!D96</f>
        <v>18.1052</v>
      </c>
      <c r="F8">
        <f>'XXI. T. Cambio'!D126</f>
        <v>18.072299999999998</v>
      </c>
      <c r="G8">
        <f>'XXI. T. Cambio'!D157</f>
        <v>17.560500000000001</v>
      </c>
      <c r="H8">
        <f>'XXI. T. Cambio'!D187</f>
        <v>17.071999999999999</v>
      </c>
      <c r="I8">
        <f>'XXI. T. Cambio'!D218</f>
        <v>16.733799999999999</v>
      </c>
      <c r="J8">
        <f>'XXI. T. Cambio'!D249</f>
        <v>16.840199999999999</v>
      </c>
      <c r="K8">
        <f>'XXI. T. Cambio'!D279</f>
        <v>17.619499999999999</v>
      </c>
      <c r="L8">
        <f>'XXI. T. Cambio'!D310</f>
        <v>18.075199999999999</v>
      </c>
      <c r="M8">
        <f>'XXI. T. Cambio'!D340</f>
        <v>17.1357</v>
      </c>
      <c r="N8">
        <f>'XXI. T. Cambio'!D367</f>
        <v>16.973800000000001</v>
      </c>
    </row>
    <row r="9" spans="1:14" x14ac:dyDescent="0.2">
      <c r="B9" t="s">
        <v>874</v>
      </c>
    </row>
    <row r="10" spans="1:14" x14ac:dyDescent="0.2">
      <c r="A10" s="321">
        <v>11020002</v>
      </c>
      <c r="B10" s="322" t="s">
        <v>9</v>
      </c>
      <c r="C10" s="385">
        <f>ROUND(C7/C8,2)</f>
        <v>772454.06</v>
      </c>
      <c r="D10" s="385">
        <f t="shared" ref="D10:N10" si="0">ROUND(D7/D8,2)</f>
        <v>789468.61</v>
      </c>
      <c r="E10" s="385">
        <f t="shared" si="0"/>
        <v>977371.13</v>
      </c>
      <c r="F10" s="385">
        <f t="shared" si="0"/>
        <v>1100612.47</v>
      </c>
      <c r="G10" s="385">
        <f t="shared" si="0"/>
        <v>822840.03</v>
      </c>
      <c r="H10" s="385">
        <f t="shared" si="0"/>
        <v>1714016.78</v>
      </c>
      <c r="I10" s="385">
        <f t="shared" si="0"/>
        <v>1840610.16</v>
      </c>
      <c r="J10" s="385">
        <f t="shared" si="0"/>
        <v>1839610.48</v>
      </c>
      <c r="K10" s="385">
        <f t="shared" si="0"/>
        <v>1947301.21</v>
      </c>
      <c r="L10" s="385">
        <f t="shared" si="0"/>
        <v>1903557.25</v>
      </c>
      <c r="M10" s="385">
        <f t="shared" si="0"/>
        <v>2117818.4700000002</v>
      </c>
      <c r="N10" s="385">
        <f t="shared" si="0"/>
        <v>3115302.21</v>
      </c>
    </row>
    <row r="11" spans="1:14" x14ac:dyDescent="0.2">
      <c r="B11" t="s">
        <v>884</v>
      </c>
      <c r="C11">
        <f>'XXI. T. Cambio'!D7</f>
        <v>19.361499999999999</v>
      </c>
      <c r="D11">
        <f>'XXI. T. Cambio'!D38</f>
        <v>18.779299999999999</v>
      </c>
      <c r="E11">
        <f>'XXI. T. Cambio'!D66</f>
        <v>18.407699999999998</v>
      </c>
      <c r="F11">
        <f>'XXI. T. Cambio'!D97</f>
        <v>18.0932</v>
      </c>
      <c r="G11">
        <f>'XXI. T. Cambio'!D127</f>
        <v>18.072299999999998</v>
      </c>
      <c r="H11">
        <f>'XXI. T. Cambio'!D158</f>
        <v>17.653199999999998</v>
      </c>
      <c r="I11">
        <f>'XXI. T. Cambio'!D188</f>
        <v>17.1187</v>
      </c>
      <c r="J11">
        <f>'XXI. T. Cambio'!D219</f>
        <v>16.689499999999999</v>
      </c>
      <c r="K11">
        <f>'XXI. T. Cambio'!D250</f>
        <v>16.747699999999998</v>
      </c>
      <c r="L11">
        <f>'XXI. T. Cambio'!D280</f>
        <v>17.619499999999999</v>
      </c>
      <c r="M11">
        <f>'XXI. T. Cambio'!D311</f>
        <v>18.064</v>
      </c>
      <c r="N11">
        <f>'XXI. T. Cambio'!D341</f>
        <v>17.187000000000001</v>
      </c>
    </row>
    <row r="12" spans="1:14" x14ac:dyDescent="0.2">
      <c r="B12" t="s">
        <v>885</v>
      </c>
    </row>
    <row r="13" spans="1:14" x14ac:dyDescent="0.2">
      <c r="A13" s="321">
        <v>11020002</v>
      </c>
      <c r="B13" s="322" t="s">
        <v>9</v>
      </c>
      <c r="C13" s="385">
        <f>ROUND(C10*C11,2)</f>
        <v>14955869.279999999</v>
      </c>
      <c r="D13" s="385">
        <f t="shared" ref="D13:N13" si="1">ROUND(D10*D11,2)</f>
        <v>14825667.869999999</v>
      </c>
      <c r="E13" s="385">
        <f t="shared" si="1"/>
        <v>17991154.550000001</v>
      </c>
      <c r="F13" s="385">
        <f t="shared" si="1"/>
        <v>19913601.539999999</v>
      </c>
      <c r="G13" s="385">
        <f t="shared" si="1"/>
        <v>14870611.869999999</v>
      </c>
      <c r="H13" s="385">
        <f t="shared" si="1"/>
        <v>30257881.02</v>
      </c>
      <c r="I13" s="385">
        <f t="shared" si="1"/>
        <v>31508853.149999999</v>
      </c>
      <c r="J13" s="385">
        <f t="shared" si="1"/>
        <v>30702179.109999999</v>
      </c>
      <c r="K13" s="385">
        <f t="shared" si="1"/>
        <v>32612816.469999999</v>
      </c>
      <c r="L13" s="385">
        <f t="shared" si="1"/>
        <v>33539726.969999999</v>
      </c>
      <c r="M13" s="385">
        <f t="shared" si="1"/>
        <v>38256272.840000004</v>
      </c>
      <c r="N13" s="385">
        <f t="shared" si="1"/>
        <v>53542699.079999998</v>
      </c>
    </row>
    <row r="17" spans="1:14" x14ac:dyDescent="0.2">
      <c r="B17" t="s">
        <v>875</v>
      </c>
    </row>
    <row r="18" spans="1:14" x14ac:dyDescent="0.2">
      <c r="A18" s="325">
        <v>11040002</v>
      </c>
      <c r="B18" s="322" t="s">
        <v>16</v>
      </c>
      <c r="C18" s="385">
        <f>VLOOKUP(A18,'I. Balanza'!$C$8:$F$620,4,0)</f>
        <v>3494623.44</v>
      </c>
      <c r="D18" s="385">
        <f>VLOOKUP(A18,'I. Balanza'!$C$8:$G$620,5,0)</f>
        <v>3839595.88</v>
      </c>
      <c r="E18" s="385">
        <f>VLOOKUP(A18,'I. Balanza'!$C$8:$H$620,6,0)</f>
        <v>5658548.5300000003</v>
      </c>
      <c r="F18" s="385">
        <f>VLOOKUP(A18,'I. Balanza'!$C$8:$I$620,7,0)</f>
        <v>5459320.2599999998</v>
      </c>
      <c r="G18" s="385">
        <f>VLOOKUP(A18,'I. Balanza'!$C$8:$J$620,8,0)</f>
        <v>7714263.7800000003</v>
      </c>
      <c r="H18" s="385">
        <f>VLOOKUP(A18,'I. Balanza'!$C$8:$K$620,9,0)</f>
        <v>7088308.3300000001</v>
      </c>
      <c r="I18" s="385">
        <f>VLOOKUP(A18,'I. Balanza'!$C$8:$L$620,10,0)</f>
        <v>6261965.0300000003</v>
      </c>
      <c r="J18" s="385">
        <f>VLOOKUP(A18,'I. Balanza'!C13:N625,11,0)</f>
        <v>5558540.8600000003</v>
      </c>
      <c r="K18" s="385">
        <f>VLOOKUP(A18,'I. Balanza'!$C$8:$N$620,12,0)</f>
        <v>6314815.9699999997</v>
      </c>
      <c r="L18" s="385">
        <f>VLOOKUP(A18,'I. Balanza'!$C$8:$O$620,13,0)</f>
        <v>4069500.7</v>
      </c>
      <c r="M18" s="385">
        <f>VLOOKUP(A18,'I. Balanza'!$C$8:$P$620,14,0)</f>
        <v>4806502.33</v>
      </c>
      <c r="N18" s="385">
        <f>VLOOKUP(A18,'I. Balanza'!C13:Q625,15,0)</f>
        <v>5134567.3</v>
      </c>
    </row>
    <row r="19" spans="1:14" x14ac:dyDescent="0.2">
      <c r="B19" t="s">
        <v>873</v>
      </c>
      <c r="C19">
        <f>C8</f>
        <v>18.787199999999999</v>
      </c>
      <c r="D19">
        <f t="shared" ref="D19:N19" si="2">D8</f>
        <v>18.4023</v>
      </c>
      <c r="E19">
        <f t="shared" si="2"/>
        <v>18.1052</v>
      </c>
      <c r="F19">
        <f t="shared" si="2"/>
        <v>18.072299999999998</v>
      </c>
      <c r="G19">
        <f t="shared" si="2"/>
        <v>17.560500000000001</v>
      </c>
      <c r="H19">
        <f t="shared" si="2"/>
        <v>17.071999999999999</v>
      </c>
      <c r="I19">
        <f t="shared" si="2"/>
        <v>16.733799999999999</v>
      </c>
      <c r="J19">
        <f t="shared" si="2"/>
        <v>16.840199999999999</v>
      </c>
      <c r="K19">
        <f t="shared" si="2"/>
        <v>17.619499999999999</v>
      </c>
      <c r="L19">
        <f t="shared" si="2"/>
        <v>18.075199999999999</v>
      </c>
      <c r="M19">
        <f t="shared" si="2"/>
        <v>17.1357</v>
      </c>
      <c r="N19">
        <f t="shared" si="2"/>
        <v>16.973800000000001</v>
      </c>
    </row>
    <row r="20" spans="1:14" x14ac:dyDescent="0.2">
      <c r="B20" t="s">
        <v>874</v>
      </c>
    </row>
    <row r="21" spans="1:14" x14ac:dyDescent="0.2">
      <c r="A21" s="325">
        <v>11040002</v>
      </c>
      <c r="B21" s="322" t="s">
        <v>16</v>
      </c>
      <c r="C21" s="385">
        <f>ROUND(C18/C19,2)</f>
        <v>186010.87</v>
      </c>
      <c r="D21" s="385">
        <f t="shared" ref="D21:N21" si="3">ROUND(D18/D19,2)</f>
        <v>208647.61</v>
      </c>
      <c r="E21" s="385">
        <f t="shared" si="3"/>
        <v>312537.2</v>
      </c>
      <c r="F21" s="385">
        <f t="shared" si="3"/>
        <v>302082.21000000002</v>
      </c>
      <c r="G21" s="385">
        <f t="shared" si="3"/>
        <v>439296.36</v>
      </c>
      <c r="H21" s="385">
        <f t="shared" si="3"/>
        <v>415200.82</v>
      </c>
      <c r="I21" s="385">
        <f t="shared" si="3"/>
        <v>374210.58</v>
      </c>
      <c r="J21" s="385">
        <f t="shared" si="3"/>
        <v>330075.7</v>
      </c>
      <c r="K21" s="385">
        <f t="shared" si="3"/>
        <v>358399.27</v>
      </c>
      <c r="L21" s="385">
        <f t="shared" si="3"/>
        <v>225142.78</v>
      </c>
      <c r="M21" s="385">
        <f t="shared" si="3"/>
        <v>280496.40999999997</v>
      </c>
      <c r="N21" s="385">
        <f t="shared" si="3"/>
        <v>302499.58</v>
      </c>
    </row>
    <row r="22" spans="1:14" x14ac:dyDescent="0.2">
      <c r="B22" t="s">
        <v>884</v>
      </c>
      <c r="C22">
        <f>C11</f>
        <v>19.361499999999999</v>
      </c>
      <c r="D22">
        <f t="shared" ref="D22:N22" si="4">D11</f>
        <v>18.779299999999999</v>
      </c>
      <c r="E22">
        <f t="shared" si="4"/>
        <v>18.407699999999998</v>
      </c>
      <c r="F22">
        <f t="shared" si="4"/>
        <v>18.0932</v>
      </c>
      <c r="G22">
        <f t="shared" si="4"/>
        <v>18.072299999999998</v>
      </c>
      <c r="H22">
        <f t="shared" si="4"/>
        <v>17.653199999999998</v>
      </c>
      <c r="I22">
        <f t="shared" si="4"/>
        <v>17.1187</v>
      </c>
      <c r="J22">
        <f t="shared" si="4"/>
        <v>16.689499999999999</v>
      </c>
      <c r="K22">
        <f t="shared" si="4"/>
        <v>16.747699999999998</v>
      </c>
      <c r="L22">
        <f t="shared" si="4"/>
        <v>17.619499999999999</v>
      </c>
      <c r="M22">
        <f t="shared" si="4"/>
        <v>18.064</v>
      </c>
      <c r="N22">
        <f t="shared" si="4"/>
        <v>17.187000000000001</v>
      </c>
    </row>
    <row r="23" spans="1:14" x14ac:dyDescent="0.2">
      <c r="B23" t="s">
        <v>885</v>
      </c>
    </row>
    <row r="24" spans="1:14" x14ac:dyDescent="0.2">
      <c r="A24" s="325">
        <v>11040002</v>
      </c>
      <c r="B24" s="322" t="s">
        <v>16</v>
      </c>
      <c r="C24" s="385">
        <f>ROUND(C21*C22,2)</f>
        <v>3601449.46</v>
      </c>
      <c r="D24" s="385">
        <f t="shared" ref="D24:N24" si="5">ROUND(D21*D22,2)</f>
        <v>3918256.06</v>
      </c>
      <c r="E24" s="385">
        <f t="shared" si="5"/>
        <v>5753091.0199999996</v>
      </c>
      <c r="F24" s="385">
        <f t="shared" si="5"/>
        <v>5465633.8399999999</v>
      </c>
      <c r="G24" s="385">
        <f t="shared" si="5"/>
        <v>7939095.6100000003</v>
      </c>
      <c r="H24" s="385">
        <f t="shared" si="5"/>
        <v>7329623.1200000001</v>
      </c>
      <c r="I24" s="385">
        <f t="shared" si="5"/>
        <v>6405998.6600000001</v>
      </c>
      <c r="J24" s="385">
        <f t="shared" si="5"/>
        <v>5508798.4000000004</v>
      </c>
      <c r="K24" s="385">
        <f t="shared" si="5"/>
        <v>6002363.4500000002</v>
      </c>
      <c r="L24" s="385">
        <f t="shared" si="5"/>
        <v>3966903.21</v>
      </c>
      <c r="M24" s="385">
        <f t="shared" si="5"/>
        <v>5066887.1500000004</v>
      </c>
      <c r="N24" s="385">
        <f t="shared" si="5"/>
        <v>5199060.28</v>
      </c>
    </row>
    <row r="28" spans="1:14" x14ac:dyDescent="0.2">
      <c r="B28" t="s">
        <v>875</v>
      </c>
    </row>
    <row r="29" spans="1:14" x14ac:dyDescent="0.2">
      <c r="A29" s="325">
        <v>11040003</v>
      </c>
      <c r="B29" s="322" t="s">
        <v>17</v>
      </c>
      <c r="C29" s="385">
        <f>VLOOKUP(A29,'I. Balanza'!$C$8:$F$620,4,0)</f>
        <v>5162670.7300000004</v>
      </c>
      <c r="D29" s="385">
        <f>VLOOKUP(A29,'I. Balanza'!$C$8:$G$620,5,0)</f>
        <v>6218473.29</v>
      </c>
      <c r="E29" s="385">
        <f>VLOOKUP(A29,'I. Balanza'!$C$8:$H$620,6,0)</f>
        <v>7488065.0899999999</v>
      </c>
      <c r="F29" s="385">
        <f>VLOOKUP(A29,'I. Balanza'!$C$8:$I$620,7,0)</f>
        <v>8967298.1300000008</v>
      </c>
      <c r="G29" s="385">
        <f>VLOOKUP(A29,'I. Balanza'!$C$8:$J$620,8,0)</f>
        <v>11670280.01</v>
      </c>
      <c r="H29" s="385">
        <f>VLOOKUP(A29,'I. Balanza'!$C$8:$K$620,9,0)</f>
        <v>4152908.29</v>
      </c>
      <c r="I29" s="385">
        <f>VLOOKUP(A29,'I. Balanza'!$C$8:$L$620,10,0)</f>
        <v>7308410.2000000002</v>
      </c>
      <c r="J29" s="385">
        <f>VLOOKUP(A29,'I. Balanza'!C14:N626,11,0)</f>
        <v>6913719.7400000002</v>
      </c>
      <c r="K29" s="385">
        <f>VLOOKUP(A29,'I. Balanza'!$C$8:$N$620,12,0)</f>
        <v>10397579.220000001</v>
      </c>
      <c r="L29" s="385">
        <f>VLOOKUP(A29,'I. Balanza'!$C$8:$O$620,13,0)</f>
        <v>13687191.83</v>
      </c>
      <c r="M29" s="385">
        <f>VLOOKUP(A29,'I. Balanza'!$C$8:$P$620,14,0)</f>
        <v>14402016.029999999</v>
      </c>
      <c r="N29" s="385">
        <f>VLOOKUP(A29,'I. Balanza'!C14:Q626,15,0)</f>
        <v>4515180.57</v>
      </c>
    </row>
    <row r="30" spans="1:14" x14ac:dyDescent="0.2">
      <c r="B30" t="s">
        <v>873</v>
      </c>
      <c r="C30">
        <f>C19</f>
        <v>18.787199999999999</v>
      </c>
      <c r="D30">
        <f t="shared" ref="D30:N30" si="6">D19</f>
        <v>18.4023</v>
      </c>
      <c r="E30">
        <f t="shared" si="6"/>
        <v>18.1052</v>
      </c>
      <c r="F30">
        <f t="shared" si="6"/>
        <v>18.072299999999998</v>
      </c>
      <c r="G30">
        <f t="shared" si="6"/>
        <v>17.560500000000001</v>
      </c>
      <c r="H30">
        <f t="shared" si="6"/>
        <v>17.071999999999999</v>
      </c>
      <c r="I30">
        <f t="shared" si="6"/>
        <v>16.733799999999999</v>
      </c>
      <c r="J30">
        <f t="shared" si="6"/>
        <v>16.840199999999999</v>
      </c>
      <c r="K30">
        <f t="shared" si="6"/>
        <v>17.619499999999999</v>
      </c>
      <c r="L30">
        <f t="shared" si="6"/>
        <v>18.075199999999999</v>
      </c>
      <c r="M30">
        <f t="shared" si="6"/>
        <v>17.1357</v>
      </c>
      <c r="N30">
        <f t="shared" si="6"/>
        <v>16.973800000000001</v>
      </c>
    </row>
    <row r="31" spans="1:14" x14ac:dyDescent="0.2">
      <c r="B31" t="s">
        <v>874</v>
      </c>
    </row>
    <row r="32" spans="1:14" x14ac:dyDescent="0.2">
      <c r="A32" s="325">
        <v>11040003</v>
      </c>
      <c r="B32" s="322" t="s">
        <v>17</v>
      </c>
      <c r="C32" s="385">
        <f>ROUND(C29/C30,2)</f>
        <v>274797.24</v>
      </c>
      <c r="D32" s="385">
        <f t="shared" ref="D32:N32" si="7">ROUND(D29/D30,2)</f>
        <v>337918.27</v>
      </c>
      <c r="E32" s="385">
        <f t="shared" si="7"/>
        <v>413586.43</v>
      </c>
      <c r="F32" s="385">
        <f t="shared" si="7"/>
        <v>496190.2</v>
      </c>
      <c r="G32" s="385">
        <f t="shared" si="7"/>
        <v>664575.61</v>
      </c>
      <c r="H32" s="385">
        <f t="shared" si="7"/>
        <v>243258.45</v>
      </c>
      <c r="I32" s="385">
        <f t="shared" si="7"/>
        <v>436745.4</v>
      </c>
      <c r="J32" s="385">
        <f t="shared" si="7"/>
        <v>410548.55</v>
      </c>
      <c r="K32" s="385">
        <f t="shared" si="7"/>
        <v>590117.72</v>
      </c>
      <c r="L32" s="385">
        <f t="shared" si="7"/>
        <v>757235.98</v>
      </c>
      <c r="M32" s="385">
        <f t="shared" si="7"/>
        <v>840468.5</v>
      </c>
      <c r="N32" s="385">
        <f t="shared" si="7"/>
        <v>266008.82</v>
      </c>
    </row>
    <row r="33" spans="1:14" x14ac:dyDescent="0.2">
      <c r="B33" t="s">
        <v>884</v>
      </c>
      <c r="C33">
        <f>C22</f>
        <v>19.361499999999999</v>
      </c>
      <c r="D33">
        <f t="shared" ref="D33:N33" si="8">D22</f>
        <v>18.779299999999999</v>
      </c>
      <c r="E33">
        <f t="shared" si="8"/>
        <v>18.407699999999998</v>
      </c>
      <c r="F33">
        <f t="shared" si="8"/>
        <v>18.0932</v>
      </c>
      <c r="G33">
        <f t="shared" si="8"/>
        <v>18.072299999999998</v>
      </c>
      <c r="H33">
        <f t="shared" si="8"/>
        <v>17.653199999999998</v>
      </c>
      <c r="I33">
        <f t="shared" si="8"/>
        <v>17.1187</v>
      </c>
      <c r="J33">
        <f t="shared" si="8"/>
        <v>16.689499999999999</v>
      </c>
      <c r="K33">
        <f t="shared" si="8"/>
        <v>16.747699999999998</v>
      </c>
      <c r="L33">
        <f t="shared" si="8"/>
        <v>17.619499999999999</v>
      </c>
      <c r="M33">
        <f t="shared" si="8"/>
        <v>18.064</v>
      </c>
      <c r="N33">
        <f t="shared" si="8"/>
        <v>17.187000000000001</v>
      </c>
    </row>
    <row r="34" spans="1:14" x14ac:dyDescent="0.2">
      <c r="B34" t="s">
        <v>885</v>
      </c>
    </row>
    <row r="35" spans="1:14" x14ac:dyDescent="0.2">
      <c r="A35" s="325">
        <v>11040003</v>
      </c>
      <c r="B35" s="322" t="s">
        <v>17</v>
      </c>
      <c r="C35" s="385">
        <f>ROUND(C32*C33,2)</f>
        <v>5320486.76</v>
      </c>
      <c r="D35" s="385">
        <f t="shared" ref="D35:N35" si="9">ROUND(D32*D33,2)</f>
        <v>6345868.5700000003</v>
      </c>
      <c r="E35" s="385">
        <f t="shared" si="9"/>
        <v>7613174.9299999997</v>
      </c>
      <c r="F35" s="385">
        <f t="shared" si="9"/>
        <v>8977668.5299999993</v>
      </c>
      <c r="G35" s="385">
        <f t="shared" si="9"/>
        <v>12010409.800000001</v>
      </c>
      <c r="H35" s="385">
        <f t="shared" si="9"/>
        <v>4294290.07</v>
      </c>
      <c r="I35" s="385">
        <f t="shared" si="9"/>
        <v>7476513.4800000004</v>
      </c>
      <c r="J35" s="385">
        <f t="shared" si="9"/>
        <v>6851850.0300000003</v>
      </c>
      <c r="K35" s="385">
        <f t="shared" si="9"/>
        <v>9883114.5399999991</v>
      </c>
      <c r="L35" s="385">
        <f t="shared" si="9"/>
        <v>13342119.35</v>
      </c>
      <c r="M35" s="385">
        <f t="shared" si="9"/>
        <v>15182222.98</v>
      </c>
      <c r="N35" s="385">
        <f t="shared" si="9"/>
        <v>4571893.59</v>
      </c>
    </row>
    <row r="36" spans="1:14" x14ac:dyDescent="0.2">
      <c r="A36" s="326"/>
      <c r="B36" s="327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</row>
    <row r="37" spans="1:14" x14ac:dyDescent="0.2">
      <c r="A37" s="326"/>
      <c r="B37" s="327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</row>
    <row r="42" spans="1:14" x14ac:dyDescent="0.2">
      <c r="B42" t="s">
        <v>875</v>
      </c>
    </row>
    <row r="43" spans="1:14" x14ac:dyDescent="0.2">
      <c r="A43" s="325">
        <v>21020002</v>
      </c>
      <c r="B43" s="322" t="s">
        <v>89</v>
      </c>
      <c r="C43" s="385">
        <f>-VLOOKUP(A43,'I. Balanza'!$C$8:$F$620,4,0)</f>
        <v>1922493.94</v>
      </c>
      <c r="D43" s="385">
        <f>-VLOOKUP(A43,'I. Balanza'!$C$8:$G$620,5,0)</f>
        <v>2466881.9</v>
      </c>
      <c r="E43" s="385">
        <f>-VLOOKUP(A43,'I. Balanza'!$C$8:$H$620,6,0)</f>
        <v>1374576.5</v>
      </c>
      <c r="F43" s="385">
        <f>-VLOOKUP(A43,'I. Balanza'!$C$8:$I$620,7,0)</f>
        <v>1376184.96</v>
      </c>
      <c r="G43" s="385">
        <f>-VLOOKUP(A43,'I. Balanza'!$C$8:$J$620,8,0)</f>
        <v>1497425.96</v>
      </c>
      <c r="H43" s="385">
        <f>-VLOOKUP(A43,'I. Balanza'!$C$8:$K$620,9,0)</f>
        <v>1990505.89</v>
      </c>
      <c r="I43" s="385">
        <f>-VLOOKUP(A43,'I. Balanza'!$C$8:$L$620,10,0)</f>
        <v>2089815.28</v>
      </c>
      <c r="J43" s="385">
        <f>-VLOOKUP(A43,'I. Balanza'!C25:N637,11,0)</f>
        <v>1711119.84</v>
      </c>
      <c r="K43" s="385">
        <f>-VLOOKUP(A43,'I. Balanza'!$C$8:$N$620,12,0)</f>
        <v>1499134.08</v>
      </c>
      <c r="L43" s="385">
        <f>-VLOOKUP(A43,'I. Balanza'!$C$8:$O$620,13,0)</f>
        <v>1540862.74</v>
      </c>
      <c r="M43" s="385">
        <f>-VLOOKUP(A43,'I. Balanza'!$C$8:$P$620,14,0)</f>
        <v>1747451.09</v>
      </c>
      <c r="N43" s="385">
        <f>-VLOOKUP(A43,'I. Balanza'!C25:Q637,15,0)</f>
        <v>2306583.79</v>
      </c>
    </row>
    <row r="44" spans="1:14" x14ac:dyDescent="0.2">
      <c r="B44" t="s">
        <v>873</v>
      </c>
      <c r="C44">
        <f>C30</f>
        <v>18.787199999999999</v>
      </c>
      <c r="D44">
        <f t="shared" ref="D44:L44" si="10">D30</f>
        <v>18.4023</v>
      </c>
      <c r="E44">
        <f t="shared" si="10"/>
        <v>18.1052</v>
      </c>
      <c r="F44">
        <f t="shared" si="10"/>
        <v>18.072299999999998</v>
      </c>
      <c r="G44">
        <f t="shared" si="10"/>
        <v>17.560500000000001</v>
      </c>
      <c r="H44">
        <f t="shared" si="10"/>
        <v>17.071999999999999</v>
      </c>
      <c r="I44">
        <f t="shared" si="10"/>
        <v>16.733799999999999</v>
      </c>
      <c r="J44">
        <f t="shared" si="10"/>
        <v>16.840199999999999</v>
      </c>
      <c r="K44">
        <f t="shared" si="10"/>
        <v>17.619499999999999</v>
      </c>
      <c r="L44">
        <f t="shared" si="10"/>
        <v>18.075199999999999</v>
      </c>
      <c r="M44">
        <f>M30</f>
        <v>17.1357</v>
      </c>
      <c r="N44">
        <f>N30</f>
        <v>16.973800000000001</v>
      </c>
    </row>
    <row r="45" spans="1:14" x14ac:dyDescent="0.2">
      <c r="B45" t="s">
        <v>874</v>
      </c>
    </row>
    <row r="46" spans="1:14" x14ac:dyDescent="0.2">
      <c r="A46" s="325">
        <v>21020002</v>
      </c>
      <c r="B46" s="322" t="s">
        <v>89</v>
      </c>
      <c r="C46" s="385">
        <f>ROUND(C43/C44,2)</f>
        <v>102329.99</v>
      </c>
      <c r="D46" s="385">
        <f t="shared" ref="D46:N46" si="11">ROUND(D43/D44,2)</f>
        <v>134052.91</v>
      </c>
      <c r="E46" s="385">
        <f t="shared" si="11"/>
        <v>75921.64</v>
      </c>
      <c r="F46" s="385">
        <f t="shared" si="11"/>
        <v>76148.86</v>
      </c>
      <c r="G46" s="385">
        <f t="shared" si="11"/>
        <v>85272.4</v>
      </c>
      <c r="H46" s="385">
        <f t="shared" si="11"/>
        <v>116594.77</v>
      </c>
      <c r="I46" s="385">
        <f t="shared" si="11"/>
        <v>124885.88</v>
      </c>
      <c r="J46" s="385">
        <f t="shared" si="11"/>
        <v>101609.24</v>
      </c>
      <c r="K46" s="385">
        <f t="shared" si="11"/>
        <v>85083.8</v>
      </c>
      <c r="L46" s="385">
        <f t="shared" si="11"/>
        <v>85247.34</v>
      </c>
      <c r="M46" s="385">
        <f t="shared" si="11"/>
        <v>101977.22</v>
      </c>
      <c r="N46" s="385">
        <f t="shared" si="11"/>
        <v>135890.82999999999</v>
      </c>
    </row>
    <row r="47" spans="1:14" x14ac:dyDescent="0.2">
      <c r="B47" t="s">
        <v>884</v>
      </c>
      <c r="C47">
        <f>C33</f>
        <v>19.361499999999999</v>
      </c>
      <c r="D47">
        <f t="shared" ref="D47:N47" si="12">D33</f>
        <v>18.779299999999999</v>
      </c>
      <c r="E47">
        <f t="shared" si="12"/>
        <v>18.407699999999998</v>
      </c>
      <c r="F47">
        <f t="shared" si="12"/>
        <v>18.0932</v>
      </c>
      <c r="G47">
        <f t="shared" si="12"/>
        <v>18.072299999999998</v>
      </c>
      <c r="H47">
        <f t="shared" si="12"/>
        <v>17.653199999999998</v>
      </c>
      <c r="I47">
        <f t="shared" si="12"/>
        <v>17.1187</v>
      </c>
      <c r="J47">
        <f t="shared" si="12"/>
        <v>16.689499999999999</v>
      </c>
      <c r="K47">
        <f t="shared" si="12"/>
        <v>16.747699999999998</v>
      </c>
      <c r="L47">
        <f t="shared" si="12"/>
        <v>17.619499999999999</v>
      </c>
      <c r="M47">
        <f t="shared" si="12"/>
        <v>18.064</v>
      </c>
      <c r="N47">
        <f t="shared" si="12"/>
        <v>17.187000000000001</v>
      </c>
    </row>
    <row r="48" spans="1:14" x14ac:dyDescent="0.2">
      <c r="B48" t="s">
        <v>885</v>
      </c>
    </row>
    <row r="49" spans="1:14" x14ac:dyDescent="0.2">
      <c r="A49" s="325">
        <v>21020002</v>
      </c>
      <c r="B49" s="322" t="s">
        <v>89</v>
      </c>
      <c r="C49" s="385">
        <f>ROUND(C46*C47,2)</f>
        <v>1981262.1</v>
      </c>
      <c r="D49" s="385">
        <f t="shared" ref="D49:N49" si="13">ROUND(D46*D47,2)</f>
        <v>2517419.81</v>
      </c>
      <c r="E49" s="385">
        <f t="shared" si="13"/>
        <v>1397542.77</v>
      </c>
      <c r="F49" s="385">
        <f t="shared" si="13"/>
        <v>1377776.55</v>
      </c>
      <c r="G49" s="385">
        <f t="shared" si="13"/>
        <v>1541068.39</v>
      </c>
      <c r="H49" s="385">
        <f t="shared" si="13"/>
        <v>2058270.79</v>
      </c>
      <c r="I49" s="385">
        <f t="shared" si="13"/>
        <v>2137883.91</v>
      </c>
      <c r="J49" s="385">
        <f t="shared" si="13"/>
        <v>1695807.41</v>
      </c>
      <c r="K49" s="385">
        <f t="shared" si="13"/>
        <v>1424957.96</v>
      </c>
      <c r="L49" s="385">
        <f t="shared" si="13"/>
        <v>1502015.51</v>
      </c>
      <c r="M49" s="385">
        <f t="shared" si="13"/>
        <v>1842116.5</v>
      </c>
      <c r="N49" s="385">
        <f t="shared" si="13"/>
        <v>2335555.7000000002</v>
      </c>
    </row>
    <row r="50" spans="1:14" x14ac:dyDescent="0.2">
      <c r="A50" s="326"/>
      <c r="B50" s="327"/>
      <c r="C50" s="382"/>
      <c r="D50" s="382"/>
      <c r="E50" s="382"/>
      <c r="F50" s="382"/>
      <c r="G50" s="382"/>
      <c r="H50" s="382"/>
      <c r="I50" s="382"/>
      <c r="J50" s="382"/>
      <c r="K50" s="382"/>
      <c r="L50" s="382"/>
      <c r="M50" s="382"/>
      <c r="N50" s="382"/>
    </row>
    <row r="53" spans="1:14" x14ac:dyDescent="0.2">
      <c r="B53" t="s">
        <v>875</v>
      </c>
    </row>
    <row r="54" spans="1:14" x14ac:dyDescent="0.2">
      <c r="A54" s="325">
        <v>21020004</v>
      </c>
      <c r="B54" s="322" t="s">
        <v>90</v>
      </c>
      <c r="C54" s="385">
        <f>-VLOOKUP(A54,'I. Balanza'!$C$8:$F$620,4,0)</f>
        <v>2937569.08</v>
      </c>
      <c r="D54" s="385">
        <f>-VLOOKUP(A54,'I. Balanza'!$C$8:$G$620,5,0)</f>
        <v>3109040.12</v>
      </c>
      <c r="E54" s="385">
        <f>-VLOOKUP(A54,'I. Balanza'!$C$8:$H$620,6,0)</f>
        <v>8505559.9700000007</v>
      </c>
      <c r="F54" s="385">
        <f>-VLOOKUP(A54,'I. Balanza'!$C$8:$I$620,7,0)</f>
        <v>4756456.26</v>
      </c>
      <c r="G54" s="385">
        <f>-VLOOKUP(A54,'I. Balanza'!$C$8:$J$620,8,0)</f>
        <v>3837912.83</v>
      </c>
      <c r="H54" s="385">
        <f>-VLOOKUP(A54,'I. Balanza'!$C$8:$K$620,9,0)</f>
        <v>7373925</v>
      </c>
      <c r="I54" s="385">
        <f>-VLOOKUP(A54,'I. Balanza'!$C$8:$L$620,10,0)</f>
        <v>5029546.67</v>
      </c>
      <c r="J54" s="385">
        <f>-VLOOKUP(A54,'I. Balanza'!C26:N638,11,0)</f>
        <v>5989086.29</v>
      </c>
      <c r="K54" s="385">
        <f>-VLOOKUP(A54,'I. Balanza'!$C$8:$N$620,12,0)</f>
        <v>5631028.54</v>
      </c>
      <c r="L54" s="385">
        <f>-VLOOKUP(A54,'I. Balanza'!$C$8:$O$620,13,0)</f>
        <v>3593904.3</v>
      </c>
      <c r="M54" s="385">
        <f>-VLOOKUP(A54,'I. Balanza'!$C$8:$P$620,14,0)</f>
        <v>3826793.27</v>
      </c>
      <c r="N54" s="385">
        <f>-VLOOKUP(A54,'I. Balanza'!C26:Q638,15,0)</f>
        <v>6403817.3399999999</v>
      </c>
    </row>
    <row r="55" spans="1:14" x14ac:dyDescent="0.2">
      <c r="B55" t="s">
        <v>873</v>
      </c>
      <c r="C55">
        <f>C44</f>
        <v>18.787199999999999</v>
      </c>
      <c r="D55">
        <f t="shared" ref="D55:N55" si="14">D44</f>
        <v>18.4023</v>
      </c>
      <c r="E55">
        <f t="shared" si="14"/>
        <v>18.1052</v>
      </c>
      <c r="F55">
        <f t="shared" si="14"/>
        <v>18.072299999999998</v>
      </c>
      <c r="G55">
        <f t="shared" si="14"/>
        <v>17.560500000000001</v>
      </c>
      <c r="H55">
        <f t="shared" si="14"/>
        <v>17.071999999999999</v>
      </c>
      <c r="I55">
        <f t="shared" si="14"/>
        <v>16.733799999999999</v>
      </c>
      <c r="J55">
        <f t="shared" si="14"/>
        <v>16.840199999999999</v>
      </c>
      <c r="K55">
        <f t="shared" si="14"/>
        <v>17.619499999999999</v>
      </c>
      <c r="L55">
        <f t="shared" si="14"/>
        <v>18.075199999999999</v>
      </c>
      <c r="M55">
        <f t="shared" si="14"/>
        <v>17.1357</v>
      </c>
      <c r="N55">
        <f t="shared" si="14"/>
        <v>16.973800000000001</v>
      </c>
    </row>
    <row r="56" spans="1:14" x14ac:dyDescent="0.2">
      <c r="B56" t="s">
        <v>874</v>
      </c>
    </row>
    <row r="57" spans="1:14" x14ac:dyDescent="0.2">
      <c r="A57" s="325">
        <v>21020004</v>
      </c>
      <c r="B57" s="322" t="s">
        <v>90</v>
      </c>
      <c r="C57" s="385">
        <f>ROUND(C54/C55,2)</f>
        <v>156360.13</v>
      </c>
      <c r="D57" s="385">
        <f t="shared" ref="D57:N57" si="15">ROUND(D54/D55,2)</f>
        <v>168948.45</v>
      </c>
      <c r="E57" s="385">
        <f t="shared" si="15"/>
        <v>469785.47</v>
      </c>
      <c r="F57" s="385">
        <f t="shared" si="15"/>
        <v>263190.42</v>
      </c>
      <c r="G57" s="385">
        <f t="shared" si="15"/>
        <v>218553.73</v>
      </c>
      <c r="H57" s="385">
        <f t="shared" si="15"/>
        <v>431930.94</v>
      </c>
      <c r="I57" s="385">
        <f t="shared" si="15"/>
        <v>300562.14</v>
      </c>
      <c r="J57" s="385">
        <f t="shared" si="15"/>
        <v>355642.23</v>
      </c>
      <c r="K57" s="385">
        <f t="shared" si="15"/>
        <v>319590.71000000002</v>
      </c>
      <c r="L57" s="385">
        <f t="shared" si="15"/>
        <v>198830.68</v>
      </c>
      <c r="M57" s="385">
        <f t="shared" si="15"/>
        <v>223322.84</v>
      </c>
      <c r="N57" s="385">
        <f t="shared" si="15"/>
        <v>377276.59</v>
      </c>
    </row>
    <row r="58" spans="1:14" x14ac:dyDescent="0.2">
      <c r="B58" t="s">
        <v>884</v>
      </c>
      <c r="C58">
        <f>C47</f>
        <v>19.361499999999999</v>
      </c>
      <c r="D58">
        <f t="shared" ref="D58:N58" si="16">D47</f>
        <v>18.779299999999999</v>
      </c>
      <c r="E58">
        <f t="shared" si="16"/>
        <v>18.407699999999998</v>
      </c>
      <c r="F58">
        <f t="shared" si="16"/>
        <v>18.0932</v>
      </c>
      <c r="G58">
        <f t="shared" si="16"/>
        <v>18.072299999999998</v>
      </c>
      <c r="H58">
        <f t="shared" si="16"/>
        <v>17.653199999999998</v>
      </c>
      <c r="I58">
        <f t="shared" si="16"/>
        <v>17.1187</v>
      </c>
      <c r="J58">
        <f t="shared" si="16"/>
        <v>16.689499999999999</v>
      </c>
      <c r="K58">
        <f t="shared" si="16"/>
        <v>16.747699999999998</v>
      </c>
      <c r="L58">
        <f t="shared" si="16"/>
        <v>17.619499999999999</v>
      </c>
      <c r="M58">
        <f t="shared" si="16"/>
        <v>18.064</v>
      </c>
      <c r="N58">
        <f t="shared" si="16"/>
        <v>17.187000000000001</v>
      </c>
    </row>
    <row r="59" spans="1:14" x14ac:dyDescent="0.2">
      <c r="B59" t="s">
        <v>885</v>
      </c>
    </row>
    <row r="60" spans="1:14" x14ac:dyDescent="0.2">
      <c r="A60" s="325">
        <v>21020004</v>
      </c>
      <c r="B60" s="322" t="s">
        <v>90</v>
      </c>
      <c r="C60" s="385">
        <f>ROUND(C57*C58,2)</f>
        <v>3027366.66</v>
      </c>
      <c r="D60" s="385">
        <f t="shared" ref="D60:N60" si="17">ROUND(D57*D58,2)</f>
        <v>3172733.63</v>
      </c>
      <c r="E60" s="385">
        <f t="shared" si="17"/>
        <v>8647670</v>
      </c>
      <c r="F60" s="385">
        <f t="shared" si="17"/>
        <v>4761956.91</v>
      </c>
      <c r="G60" s="385">
        <f t="shared" si="17"/>
        <v>3949768.57</v>
      </c>
      <c r="H60" s="385">
        <f t="shared" si="17"/>
        <v>7624963.2699999996</v>
      </c>
      <c r="I60" s="385">
        <f t="shared" si="17"/>
        <v>5145233.1100000003</v>
      </c>
      <c r="J60" s="385">
        <f t="shared" si="17"/>
        <v>5935491</v>
      </c>
      <c r="K60" s="385">
        <f t="shared" si="17"/>
        <v>5352409.33</v>
      </c>
      <c r="L60" s="385">
        <f t="shared" si="17"/>
        <v>3503297.17</v>
      </c>
      <c r="M60" s="385">
        <f t="shared" si="17"/>
        <v>4034103.78</v>
      </c>
      <c r="N60" s="385">
        <f t="shared" si="17"/>
        <v>6484252.75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B3006-32A5-4FCF-8A12-F6B9E78224ED}">
  <dimension ref="A4:S52"/>
  <sheetViews>
    <sheetView showGridLines="0" zoomScale="90" zoomScaleNormal="90" workbookViewId="0">
      <pane ySplit="11" topLeftCell="A12" activePane="bottomLeft" state="frozen"/>
      <selection activeCell="J1" sqref="J1"/>
      <selection pane="bottomLeft" activeCell="A15" sqref="A15"/>
    </sheetView>
  </sheetViews>
  <sheetFormatPr baseColWidth="10" defaultColWidth="9.5546875" defaultRowHeight="12.75" x14ac:dyDescent="0.2"/>
  <cols>
    <col min="1" max="1" width="41.109375" style="352" customWidth="1"/>
    <col min="2" max="2" width="18.88671875" style="352" customWidth="1"/>
    <col min="3" max="3" width="15.5546875" style="352" customWidth="1"/>
    <col min="4" max="4" width="14.77734375" style="352" customWidth="1"/>
    <col min="5" max="5" width="9.5546875" style="352"/>
    <col min="6" max="7" width="11.5546875" style="352" customWidth="1"/>
    <col min="8" max="8" width="14.5546875" style="352" customWidth="1"/>
    <col min="9" max="9" width="12.5546875" style="352" customWidth="1"/>
    <col min="10" max="10" width="11.5546875" style="353" customWidth="1"/>
    <col min="11" max="11" width="13.5546875" style="353" customWidth="1"/>
    <col min="12" max="12" width="11.5546875" style="353" customWidth="1"/>
    <col min="13" max="13" width="11.5546875" style="352" customWidth="1"/>
    <col min="14" max="14" width="9.5546875" style="354"/>
    <col min="15" max="15" width="11.5546875" style="354" customWidth="1"/>
    <col min="16" max="16" width="14.5546875" style="354" customWidth="1"/>
    <col min="17" max="17" width="13.5546875" style="352" customWidth="1"/>
    <col min="18" max="18" width="12.5546875" style="352" customWidth="1"/>
    <col min="19" max="256" width="9.5546875" style="352"/>
    <col min="257" max="257" width="41.109375" style="352" customWidth="1"/>
    <col min="258" max="259" width="11.5546875" style="352" customWidth="1"/>
    <col min="260" max="260" width="10.5546875" style="352" customWidth="1"/>
    <col min="261" max="261" width="9.5546875" style="352"/>
    <col min="262" max="263" width="11.5546875" style="352" customWidth="1"/>
    <col min="264" max="264" width="14.5546875" style="352" customWidth="1"/>
    <col min="265" max="265" width="12.5546875" style="352" customWidth="1"/>
    <col min="266" max="266" width="11.5546875" style="352" customWidth="1"/>
    <col min="267" max="267" width="13.5546875" style="352" customWidth="1"/>
    <col min="268" max="269" width="11.5546875" style="352" customWidth="1"/>
    <col min="270" max="270" width="9.5546875" style="352"/>
    <col min="271" max="271" width="11.5546875" style="352" customWidth="1"/>
    <col min="272" max="272" width="14.5546875" style="352" customWidth="1"/>
    <col min="273" max="273" width="13.5546875" style="352" customWidth="1"/>
    <col min="274" max="274" width="12.5546875" style="352" customWidth="1"/>
    <col min="275" max="512" width="9.5546875" style="352"/>
    <col min="513" max="513" width="41.109375" style="352" customWidth="1"/>
    <col min="514" max="515" width="11.5546875" style="352" customWidth="1"/>
    <col min="516" max="516" width="10.5546875" style="352" customWidth="1"/>
    <col min="517" max="517" width="9.5546875" style="352"/>
    <col min="518" max="519" width="11.5546875" style="352" customWidth="1"/>
    <col min="520" max="520" width="14.5546875" style="352" customWidth="1"/>
    <col min="521" max="521" width="12.5546875" style="352" customWidth="1"/>
    <col min="522" max="522" width="11.5546875" style="352" customWidth="1"/>
    <col min="523" max="523" width="13.5546875" style="352" customWidth="1"/>
    <col min="524" max="525" width="11.5546875" style="352" customWidth="1"/>
    <col min="526" max="526" width="9.5546875" style="352"/>
    <col min="527" max="527" width="11.5546875" style="352" customWidth="1"/>
    <col min="528" max="528" width="14.5546875" style="352" customWidth="1"/>
    <col min="529" max="529" width="13.5546875" style="352" customWidth="1"/>
    <col min="530" max="530" width="12.5546875" style="352" customWidth="1"/>
    <col min="531" max="768" width="9.5546875" style="352"/>
    <col min="769" max="769" width="41.109375" style="352" customWidth="1"/>
    <col min="770" max="771" width="11.5546875" style="352" customWidth="1"/>
    <col min="772" max="772" width="10.5546875" style="352" customWidth="1"/>
    <col min="773" max="773" width="9.5546875" style="352"/>
    <col min="774" max="775" width="11.5546875" style="352" customWidth="1"/>
    <col min="776" max="776" width="14.5546875" style="352" customWidth="1"/>
    <col min="777" max="777" width="12.5546875" style="352" customWidth="1"/>
    <col min="778" max="778" width="11.5546875" style="352" customWidth="1"/>
    <col min="779" max="779" width="13.5546875" style="352" customWidth="1"/>
    <col min="780" max="781" width="11.5546875" style="352" customWidth="1"/>
    <col min="782" max="782" width="9.5546875" style="352"/>
    <col min="783" max="783" width="11.5546875" style="352" customWidth="1"/>
    <col min="784" max="784" width="14.5546875" style="352" customWidth="1"/>
    <col min="785" max="785" width="13.5546875" style="352" customWidth="1"/>
    <col min="786" max="786" width="12.5546875" style="352" customWidth="1"/>
    <col min="787" max="1024" width="9.5546875" style="352"/>
    <col min="1025" max="1025" width="41.109375" style="352" customWidth="1"/>
    <col min="1026" max="1027" width="11.5546875" style="352" customWidth="1"/>
    <col min="1028" max="1028" width="10.5546875" style="352" customWidth="1"/>
    <col min="1029" max="1029" width="9.5546875" style="352"/>
    <col min="1030" max="1031" width="11.5546875" style="352" customWidth="1"/>
    <col min="1032" max="1032" width="14.5546875" style="352" customWidth="1"/>
    <col min="1033" max="1033" width="12.5546875" style="352" customWidth="1"/>
    <col min="1034" max="1034" width="11.5546875" style="352" customWidth="1"/>
    <col min="1035" max="1035" width="13.5546875" style="352" customWidth="1"/>
    <col min="1036" max="1037" width="11.5546875" style="352" customWidth="1"/>
    <col min="1038" max="1038" width="9.5546875" style="352"/>
    <col min="1039" max="1039" width="11.5546875" style="352" customWidth="1"/>
    <col min="1040" max="1040" width="14.5546875" style="352" customWidth="1"/>
    <col min="1041" max="1041" width="13.5546875" style="352" customWidth="1"/>
    <col min="1042" max="1042" width="12.5546875" style="352" customWidth="1"/>
    <col min="1043" max="1280" width="9.5546875" style="352"/>
    <col min="1281" max="1281" width="41.109375" style="352" customWidth="1"/>
    <col min="1282" max="1283" width="11.5546875" style="352" customWidth="1"/>
    <col min="1284" max="1284" width="10.5546875" style="352" customWidth="1"/>
    <col min="1285" max="1285" width="9.5546875" style="352"/>
    <col min="1286" max="1287" width="11.5546875" style="352" customWidth="1"/>
    <col min="1288" max="1288" width="14.5546875" style="352" customWidth="1"/>
    <col min="1289" max="1289" width="12.5546875" style="352" customWidth="1"/>
    <col min="1290" max="1290" width="11.5546875" style="352" customWidth="1"/>
    <col min="1291" max="1291" width="13.5546875" style="352" customWidth="1"/>
    <col min="1292" max="1293" width="11.5546875" style="352" customWidth="1"/>
    <col min="1294" max="1294" width="9.5546875" style="352"/>
    <col min="1295" max="1295" width="11.5546875" style="352" customWidth="1"/>
    <col min="1296" max="1296" width="14.5546875" style="352" customWidth="1"/>
    <col min="1297" max="1297" width="13.5546875" style="352" customWidth="1"/>
    <col min="1298" max="1298" width="12.5546875" style="352" customWidth="1"/>
    <col min="1299" max="1536" width="9.5546875" style="352"/>
    <col min="1537" max="1537" width="41.109375" style="352" customWidth="1"/>
    <col min="1538" max="1539" width="11.5546875" style="352" customWidth="1"/>
    <col min="1540" max="1540" width="10.5546875" style="352" customWidth="1"/>
    <col min="1541" max="1541" width="9.5546875" style="352"/>
    <col min="1542" max="1543" width="11.5546875" style="352" customWidth="1"/>
    <col min="1544" max="1544" width="14.5546875" style="352" customWidth="1"/>
    <col min="1545" max="1545" width="12.5546875" style="352" customWidth="1"/>
    <col min="1546" max="1546" width="11.5546875" style="352" customWidth="1"/>
    <col min="1547" max="1547" width="13.5546875" style="352" customWidth="1"/>
    <col min="1548" max="1549" width="11.5546875" style="352" customWidth="1"/>
    <col min="1550" max="1550" width="9.5546875" style="352"/>
    <col min="1551" max="1551" width="11.5546875" style="352" customWidth="1"/>
    <col min="1552" max="1552" width="14.5546875" style="352" customWidth="1"/>
    <col min="1553" max="1553" width="13.5546875" style="352" customWidth="1"/>
    <col min="1554" max="1554" width="12.5546875" style="352" customWidth="1"/>
    <col min="1555" max="1792" width="9.5546875" style="352"/>
    <col min="1793" max="1793" width="41.109375" style="352" customWidth="1"/>
    <col min="1794" max="1795" width="11.5546875" style="352" customWidth="1"/>
    <col min="1796" max="1796" width="10.5546875" style="352" customWidth="1"/>
    <col min="1797" max="1797" width="9.5546875" style="352"/>
    <col min="1798" max="1799" width="11.5546875" style="352" customWidth="1"/>
    <col min="1800" max="1800" width="14.5546875" style="352" customWidth="1"/>
    <col min="1801" max="1801" width="12.5546875" style="352" customWidth="1"/>
    <col min="1802" max="1802" width="11.5546875" style="352" customWidth="1"/>
    <col min="1803" max="1803" width="13.5546875" style="352" customWidth="1"/>
    <col min="1804" max="1805" width="11.5546875" style="352" customWidth="1"/>
    <col min="1806" max="1806" width="9.5546875" style="352"/>
    <col min="1807" max="1807" width="11.5546875" style="352" customWidth="1"/>
    <col min="1808" max="1808" width="14.5546875" style="352" customWidth="1"/>
    <col min="1809" max="1809" width="13.5546875" style="352" customWidth="1"/>
    <col min="1810" max="1810" width="12.5546875" style="352" customWidth="1"/>
    <col min="1811" max="2048" width="9.5546875" style="352"/>
    <col min="2049" max="2049" width="41.109375" style="352" customWidth="1"/>
    <col min="2050" max="2051" width="11.5546875" style="352" customWidth="1"/>
    <col min="2052" max="2052" width="10.5546875" style="352" customWidth="1"/>
    <col min="2053" max="2053" width="9.5546875" style="352"/>
    <col min="2054" max="2055" width="11.5546875" style="352" customWidth="1"/>
    <col min="2056" max="2056" width="14.5546875" style="352" customWidth="1"/>
    <col min="2057" max="2057" width="12.5546875" style="352" customWidth="1"/>
    <col min="2058" max="2058" width="11.5546875" style="352" customWidth="1"/>
    <col min="2059" max="2059" width="13.5546875" style="352" customWidth="1"/>
    <col min="2060" max="2061" width="11.5546875" style="352" customWidth="1"/>
    <col min="2062" max="2062" width="9.5546875" style="352"/>
    <col min="2063" max="2063" width="11.5546875" style="352" customWidth="1"/>
    <col min="2064" max="2064" width="14.5546875" style="352" customWidth="1"/>
    <col min="2065" max="2065" width="13.5546875" style="352" customWidth="1"/>
    <col min="2066" max="2066" width="12.5546875" style="352" customWidth="1"/>
    <col min="2067" max="2304" width="9.5546875" style="352"/>
    <col min="2305" max="2305" width="41.109375" style="352" customWidth="1"/>
    <col min="2306" max="2307" width="11.5546875" style="352" customWidth="1"/>
    <col min="2308" max="2308" width="10.5546875" style="352" customWidth="1"/>
    <col min="2309" max="2309" width="9.5546875" style="352"/>
    <col min="2310" max="2311" width="11.5546875" style="352" customWidth="1"/>
    <col min="2312" max="2312" width="14.5546875" style="352" customWidth="1"/>
    <col min="2313" max="2313" width="12.5546875" style="352" customWidth="1"/>
    <col min="2314" max="2314" width="11.5546875" style="352" customWidth="1"/>
    <col min="2315" max="2315" width="13.5546875" style="352" customWidth="1"/>
    <col min="2316" max="2317" width="11.5546875" style="352" customWidth="1"/>
    <col min="2318" max="2318" width="9.5546875" style="352"/>
    <col min="2319" max="2319" width="11.5546875" style="352" customWidth="1"/>
    <col min="2320" max="2320" width="14.5546875" style="352" customWidth="1"/>
    <col min="2321" max="2321" width="13.5546875" style="352" customWidth="1"/>
    <col min="2322" max="2322" width="12.5546875" style="352" customWidth="1"/>
    <col min="2323" max="2560" width="9.5546875" style="352"/>
    <col min="2561" max="2561" width="41.109375" style="352" customWidth="1"/>
    <col min="2562" max="2563" width="11.5546875" style="352" customWidth="1"/>
    <col min="2564" max="2564" width="10.5546875" style="352" customWidth="1"/>
    <col min="2565" max="2565" width="9.5546875" style="352"/>
    <col min="2566" max="2567" width="11.5546875" style="352" customWidth="1"/>
    <col min="2568" max="2568" width="14.5546875" style="352" customWidth="1"/>
    <col min="2569" max="2569" width="12.5546875" style="352" customWidth="1"/>
    <col min="2570" max="2570" width="11.5546875" style="352" customWidth="1"/>
    <col min="2571" max="2571" width="13.5546875" style="352" customWidth="1"/>
    <col min="2572" max="2573" width="11.5546875" style="352" customWidth="1"/>
    <col min="2574" max="2574" width="9.5546875" style="352"/>
    <col min="2575" max="2575" width="11.5546875" style="352" customWidth="1"/>
    <col min="2576" max="2576" width="14.5546875" style="352" customWidth="1"/>
    <col min="2577" max="2577" width="13.5546875" style="352" customWidth="1"/>
    <col min="2578" max="2578" width="12.5546875" style="352" customWidth="1"/>
    <col min="2579" max="2816" width="9.5546875" style="352"/>
    <col min="2817" max="2817" width="41.109375" style="352" customWidth="1"/>
    <col min="2818" max="2819" width="11.5546875" style="352" customWidth="1"/>
    <col min="2820" max="2820" width="10.5546875" style="352" customWidth="1"/>
    <col min="2821" max="2821" width="9.5546875" style="352"/>
    <col min="2822" max="2823" width="11.5546875" style="352" customWidth="1"/>
    <col min="2824" max="2824" width="14.5546875" style="352" customWidth="1"/>
    <col min="2825" max="2825" width="12.5546875" style="352" customWidth="1"/>
    <col min="2826" max="2826" width="11.5546875" style="352" customWidth="1"/>
    <col min="2827" max="2827" width="13.5546875" style="352" customWidth="1"/>
    <col min="2828" max="2829" width="11.5546875" style="352" customWidth="1"/>
    <col min="2830" max="2830" width="9.5546875" style="352"/>
    <col min="2831" max="2831" width="11.5546875" style="352" customWidth="1"/>
    <col min="2832" max="2832" width="14.5546875" style="352" customWidth="1"/>
    <col min="2833" max="2833" width="13.5546875" style="352" customWidth="1"/>
    <col min="2834" max="2834" width="12.5546875" style="352" customWidth="1"/>
    <col min="2835" max="3072" width="9.5546875" style="352"/>
    <col min="3073" max="3073" width="41.109375" style="352" customWidth="1"/>
    <col min="3074" max="3075" width="11.5546875" style="352" customWidth="1"/>
    <col min="3076" max="3076" width="10.5546875" style="352" customWidth="1"/>
    <col min="3077" max="3077" width="9.5546875" style="352"/>
    <col min="3078" max="3079" width="11.5546875" style="352" customWidth="1"/>
    <col min="3080" max="3080" width="14.5546875" style="352" customWidth="1"/>
    <col min="3081" max="3081" width="12.5546875" style="352" customWidth="1"/>
    <col min="3082" max="3082" width="11.5546875" style="352" customWidth="1"/>
    <col min="3083" max="3083" width="13.5546875" style="352" customWidth="1"/>
    <col min="3084" max="3085" width="11.5546875" style="352" customWidth="1"/>
    <col min="3086" max="3086" width="9.5546875" style="352"/>
    <col min="3087" max="3087" width="11.5546875" style="352" customWidth="1"/>
    <col min="3088" max="3088" width="14.5546875" style="352" customWidth="1"/>
    <col min="3089" max="3089" width="13.5546875" style="352" customWidth="1"/>
    <col min="3090" max="3090" width="12.5546875" style="352" customWidth="1"/>
    <col min="3091" max="3328" width="9.5546875" style="352"/>
    <col min="3329" max="3329" width="41.109375" style="352" customWidth="1"/>
    <col min="3330" max="3331" width="11.5546875" style="352" customWidth="1"/>
    <col min="3332" max="3332" width="10.5546875" style="352" customWidth="1"/>
    <col min="3333" max="3333" width="9.5546875" style="352"/>
    <col min="3334" max="3335" width="11.5546875" style="352" customWidth="1"/>
    <col min="3336" max="3336" width="14.5546875" style="352" customWidth="1"/>
    <col min="3337" max="3337" width="12.5546875" style="352" customWidth="1"/>
    <col min="3338" max="3338" width="11.5546875" style="352" customWidth="1"/>
    <col min="3339" max="3339" width="13.5546875" style="352" customWidth="1"/>
    <col min="3340" max="3341" width="11.5546875" style="352" customWidth="1"/>
    <col min="3342" max="3342" width="9.5546875" style="352"/>
    <col min="3343" max="3343" width="11.5546875" style="352" customWidth="1"/>
    <col min="3344" max="3344" width="14.5546875" style="352" customWidth="1"/>
    <col min="3345" max="3345" width="13.5546875" style="352" customWidth="1"/>
    <col min="3346" max="3346" width="12.5546875" style="352" customWidth="1"/>
    <col min="3347" max="3584" width="9.5546875" style="352"/>
    <col min="3585" max="3585" width="41.109375" style="352" customWidth="1"/>
    <col min="3586" max="3587" width="11.5546875" style="352" customWidth="1"/>
    <col min="3588" max="3588" width="10.5546875" style="352" customWidth="1"/>
    <col min="3589" max="3589" width="9.5546875" style="352"/>
    <col min="3590" max="3591" width="11.5546875" style="352" customWidth="1"/>
    <col min="3592" max="3592" width="14.5546875" style="352" customWidth="1"/>
    <col min="3593" max="3593" width="12.5546875" style="352" customWidth="1"/>
    <col min="3594" max="3594" width="11.5546875" style="352" customWidth="1"/>
    <col min="3595" max="3595" width="13.5546875" style="352" customWidth="1"/>
    <col min="3596" max="3597" width="11.5546875" style="352" customWidth="1"/>
    <col min="3598" max="3598" width="9.5546875" style="352"/>
    <col min="3599" max="3599" width="11.5546875" style="352" customWidth="1"/>
    <col min="3600" max="3600" width="14.5546875" style="352" customWidth="1"/>
    <col min="3601" max="3601" width="13.5546875" style="352" customWidth="1"/>
    <col min="3602" max="3602" width="12.5546875" style="352" customWidth="1"/>
    <col min="3603" max="3840" width="9.5546875" style="352"/>
    <col min="3841" max="3841" width="41.109375" style="352" customWidth="1"/>
    <col min="3842" max="3843" width="11.5546875" style="352" customWidth="1"/>
    <col min="3844" max="3844" width="10.5546875" style="352" customWidth="1"/>
    <col min="3845" max="3845" width="9.5546875" style="352"/>
    <col min="3846" max="3847" width="11.5546875" style="352" customWidth="1"/>
    <col min="3848" max="3848" width="14.5546875" style="352" customWidth="1"/>
    <col min="3849" max="3849" width="12.5546875" style="352" customWidth="1"/>
    <col min="3850" max="3850" width="11.5546875" style="352" customWidth="1"/>
    <col min="3851" max="3851" width="13.5546875" style="352" customWidth="1"/>
    <col min="3852" max="3853" width="11.5546875" style="352" customWidth="1"/>
    <col min="3854" max="3854" width="9.5546875" style="352"/>
    <col min="3855" max="3855" width="11.5546875" style="352" customWidth="1"/>
    <col min="3856" max="3856" width="14.5546875" style="352" customWidth="1"/>
    <col min="3857" max="3857" width="13.5546875" style="352" customWidth="1"/>
    <col min="3858" max="3858" width="12.5546875" style="352" customWidth="1"/>
    <col min="3859" max="4096" width="9.5546875" style="352"/>
    <col min="4097" max="4097" width="41.109375" style="352" customWidth="1"/>
    <col min="4098" max="4099" width="11.5546875" style="352" customWidth="1"/>
    <col min="4100" max="4100" width="10.5546875" style="352" customWidth="1"/>
    <col min="4101" max="4101" width="9.5546875" style="352"/>
    <col min="4102" max="4103" width="11.5546875" style="352" customWidth="1"/>
    <col min="4104" max="4104" width="14.5546875" style="352" customWidth="1"/>
    <col min="4105" max="4105" width="12.5546875" style="352" customWidth="1"/>
    <col min="4106" max="4106" width="11.5546875" style="352" customWidth="1"/>
    <col min="4107" max="4107" width="13.5546875" style="352" customWidth="1"/>
    <col min="4108" max="4109" width="11.5546875" style="352" customWidth="1"/>
    <col min="4110" max="4110" width="9.5546875" style="352"/>
    <col min="4111" max="4111" width="11.5546875" style="352" customWidth="1"/>
    <col min="4112" max="4112" width="14.5546875" style="352" customWidth="1"/>
    <col min="4113" max="4113" width="13.5546875" style="352" customWidth="1"/>
    <col min="4114" max="4114" width="12.5546875" style="352" customWidth="1"/>
    <col min="4115" max="4352" width="9.5546875" style="352"/>
    <col min="4353" max="4353" width="41.109375" style="352" customWidth="1"/>
    <col min="4354" max="4355" width="11.5546875" style="352" customWidth="1"/>
    <col min="4356" max="4356" width="10.5546875" style="352" customWidth="1"/>
    <col min="4357" max="4357" width="9.5546875" style="352"/>
    <col min="4358" max="4359" width="11.5546875" style="352" customWidth="1"/>
    <col min="4360" max="4360" width="14.5546875" style="352" customWidth="1"/>
    <col min="4361" max="4361" width="12.5546875" style="352" customWidth="1"/>
    <col min="4362" max="4362" width="11.5546875" style="352" customWidth="1"/>
    <col min="4363" max="4363" width="13.5546875" style="352" customWidth="1"/>
    <col min="4364" max="4365" width="11.5546875" style="352" customWidth="1"/>
    <col min="4366" max="4366" width="9.5546875" style="352"/>
    <col min="4367" max="4367" width="11.5546875" style="352" customWidth="1"/>
    <col min="4368" max="4368" width="14.5546875" style="352" customWidth="1"/>
    <col min="4369" max="4369" width="13.5546875" style="352" customWidth="1"/>
    <col min="4370" max="4370" width="12.5546875" style="352" customWidth="1"/>
    <col min="4371" max="4608" width="9.5546875" style="352"/>
    <col min="4609" max="4609" width="41.109375" style="352" customWidth="1"/>
    <col min="4610" max="4611" width="11.5546875" style="352" customWidth="1"/>
    <col min="4612" max="4612" width="10.5546875" style="352" customWidth="1"/>
    <col min="4613" max="4613" width="9.5546875" style="352"/>
    <col min="4614" max="4615" width="11.5546875" style="352" customWidth="1"/>
    <col min="4616" max="4616" width="14.5546875" style="352" customWidth="1"/>
    <col min="4617" max="4617" width="12.5546875" style="352" customWidth="1"/>
    <col min="4618" max="4618" width="11.5546875" style="352" customWidth="1"/>
    <col min="4619" max="4619" width="13.5546875" style="352" customWidth="1"/>
    <col min="4620" max="4621" width="11.5546875" style="352" customWidth="1"/>
    <col min="4622" max="4622" width="9.5546875" style="352"/>
    <col min="4623" max="4623" width="11.5546875" style="352" customWidth="1"/>
    <col min="4624" max="4624" width="14.5546875" style="352" customWidth="1"/>
    <col min="4625" max="4625" width="13.5546875" style="352" customWidth="1"/>
    <col min="4626" max="4626" width="12.5546875" style="352" customWidth="1"/>
    <col min="4627" max="4864" width="9.5546875" style="352"/>
    <col min="4865" max="4865" width="41.109375" style="352" customWidth="1"/>
    <col min="4866" max="4867" width="11.5546875" style="352" customWidth="1"/>
    <col min="4868" max="4868" width="10.5546875" style="352" customWidth="1"/>
    <col min="4869" max="4869" width="9.5546875" style="352"/>
    <col min="4870" max="4871" width="11.5546875" style="352" customWidth="1"/>
    <col min="4872" max="4872" width="14.5546875" style="352" customWidth="1"/>
    <col min="4873" max="4873" width="12.5546875" style="352" customWidth="1"/>
    <col min="4874" max="4874" width="11.5546875" style="352" customWidth="1"/>
    <col min="4875" max="4875" width="13.5546875" style="352" customWidth="1"/>
    <col min="4876" max="4877" width="11.5546875" style="352" customWidth="1"/>
    <col min="4878" max="4878" width="9.5546875" style="352"/>
    <col min="4879" max="4879" width="11.5546875" style="352" customWidth="1"/>
    <col min="4880" max="4880" width="14.5546875" style="352" customWidth="1"/>
    <col min="4881" max="4881" width="13.5546875" style="352" customWidth="1"/>
    <col min="4882" max="4882" width="12.5546875" style="352" customWidth="1"/>
    <col min="4883" max="5120" width="9.5546875" style="352"/>
    <col min="5121" max="5121" width="41.109375" style="352" customWidth="1"/>
    <col min="5122" max="5123" width="11.5546875" style="352" customWidth="1"/>
    <col min="5124" max="5124" width="10.5546875" style="352" customWidth="1"/>
    <col min="5125" max="5125" width="9.5546875" style="352"/>
    <col min="5126" max="5127" width="11.5546875" style="352" customWidth="1"/>
    <col min="5128" max="5128" width="14.5546875" style="352" customWidth="1"/>
    <col min="5129" max="5129" width="12.5546875" style="352" customWidth="1"/>
    <col min="5130" max="5130" width="11.5546875" style="352" customWidth="1"/>
    <col min="5131" max="5131" width="13.5546875" style="352" customWidth="1"/>
    <col min="5132" max="5133" width="11.5546875" style="352" customWidth="1"/>
    <col min="5134" max="5134" width="9.5546875" style="352"/>
    <col min="5135" max="5135" width="11.5546875" style="352" customWidth="1"/>
    <col min="5136" max="5136" width="14.5546875" style="352" customWidth="1"/>
    <col min="5137" max="5137" width="13.5546875" style="352" customWidth="1"/>
    <col min="5138" max="5138" width="12.5546875" style="352" customWidth="1"/>
    <col min="5139" max="5376" width="9.5546875" style="352"/>
    <col min="5377" max="5377" width="41.109375" style="352" customWidth="1"/>
    <col min="5378" max="5379" width="11.5546875" style="352" customWidth="1"/>
    <col min="5380" max="5380" width="10.5546875" style="352" customWidth="1"/>
    <col min="5381" max="5381" width="9.5546875" style="352"/>
    <col min="5382" max="5383" width="11.5546875" style="352" customWidth="1"/>
    <col min="5384" max="5384" width="14.5546875" style="352" customWidth="1"/>
    <col min="5385" max="5385" width="12.5546875" style="352" customWidth="1"/>
    <col min="5386" max="5386" width="11.5546875" style="352" customWidth="1"/>
    <col min="5387" max="5387" width="13.5546875" style="352" customWidth="1"/>
    <col min="5388" max="5389" width="11.5546875" style="352" customWidth="1"/>
    <col min="5390" max="5390" width="9.5546875" style="352"/>
    <col min="5391" max="5391" width="11.5546875" style="352" customWidth="1"/>
    <col min="5392" max="5392" width="14.5546875" style="352" customWidth="1"/>
    <col min="5393" max="5393" width="13.5546875" style="352" customWidth="1"/>
    <col min="5394" max="5394" width="12.5546875" style="352" customWidth="1"/>
    <col min="5395" max="5632" width="9.5546875" style="352"/>
    <col min="5633" max="5633" width="41.109375" style="352" customWidth="1"/>
    <col min="5634" max="5635" width="11.5546875" style="352" customWidth="1"/>
    <col min="5636" max="5636" width="10.5546875" style="352" customWidth="1"/>
    <col min="5637" max="5637" width="9.5546875" style="352"/>
    <col min="5638" max="5639" width="11.5546875" style="352" customWidth="1"/>
    <col min="5640" max="5640" width="14.5546875" style="352" customWidth="1"/>
    <col min="5641" max="5641" width="12.5546875" style="352" customWidth="1"/>
    <col min="5642" max="5642" width="11.5546875" style="352" customWidth="1"/>
    <col min="5643" max="5643" width="13.5546875" style="352" customWidth="1"/>
    <col min="5644" max="5645" width="11.5546875" style="352" customWidth="1"/>
    <col min="5646" max="5646" width="9.5546875" style="352"/>
    <col min="5647" max="5647" width="11.5546875" style="352" customWidth="1"/>
    <col min="5648" max="5648" width="14.5546875" style="352" customWidth="1"/>
    <col min="5649" max="5649" width="13.5546875" style="352" customWidth="1"/>
    <col min="5650" max="5650" width="12.5546875" style="352" customWidth="1"/>
    <col min="5651" max="5888" width="9.5546875" style="352"/>
    <col min="5889" max="5889" width="41.109375" style="352" customWidth="1"/>
    <col min="5890" max="5891" width="11.5546875" style="352" customWidth="1"/>
    <col min="5892" max="5892" width="10.5546875" style="352" customWidth="1"/>
    <col min="5893" max="5893" width="9.5546875" style="352"/>
    <col min="5894" max="5895" width="11.5546875" style="352" customWidth="1"/>
    <col min="5896" max="5896" width="14.5546875" style="352" customWidth="1"/>
    <col min="5897" max="5897" width="12.5546875" style="352" customWidth="1"/>
    <col min="5898" max="5898" width="11.5546875" style="352" customWidth="1"/>
    <col min="5899" max="5899" width="13.5546875" style="352" customWidth="1"/>
    <col min="5900" max="5901" width="11.5546875" style="352" customWidth="1"/>
    <col min="5902" max="5902" width="9.5546875" style="352"/>
    <col min="5903" max="5903" width="11.5546875" style="352" customWidth="1"/>
    <col min="5904" max="5904" width="14.5546875" style="352" customWidth="1"/>
    <col min="5905" max="5905" width="13.5546875" style="352" customWidth="1"/>
    <col min="5906" max="5906" width="12.5546875" style="352" customWidth="1"/>
    <col min="5907" max="6144" width="9.5546875" style="352"/>
    <col min="6145" max="6145" width="41.109375" style="352" customWidth="1"/>
    <col min="6146" max="6147" width="11.5546875" style="352" customWidth="1"/>
    <col min="6148" max="6148" width="10.5546875" style="352" customWidth="1"/>
    <col min="6149" max="6149" width="9.5546875" style="352"/>
    <col min="6150" max="6151" width="11.5546875" style="352" customWidth="1"/>
    <col min="6152" max="6152" width="14.5546875" style="352" customWidth="1"/>
    <col min="6153" max="6153" width="12.5546875" style="352" customWidth="1"/>
    <col min="6154" max="6154" width="11.5546875" style="352" customWidth="1"/>
    <col min="6155" max="6155" width="13.5546875" style="352" customWidth="1"/>
    <col min="6156" max="6157" width="11.5546875" style="352" customWidth="1"/>
    <col min="6158" max="6158" width="9.5546875" style="352"/>
    <col min="6159" max="6159" width="11.5546875" style="352" customWidth="1"/>
    <col min="6160" max="6160" width="14.5546875" style="352" customWidth="1"/>
    <col min="6161" max="6161" width="13.5546875" style="352" customWidth="1"/>
    <col min="6162" max="6162" width="12.5546875" style="352" customWidth="1"/>
    <col min="6163" max="6400" width="9.5546875" style="352"/>
    <col min="6401" max="6401" width="41.109375" style="352" customWidth="1"/>
    <col min="6402" max="6403" width="11.5546875" style="352" customWidth="1"/>
    <col min="6404" max="6404" width="10.5546875" style="352" customWidth="1"/>
    <col min="6405" max="6405" width="9.5546875" style="352"/>
    <col min="6406" max="6407" width="11.5546875" style="352" customWidth="1"/>
    <col min="6408" max="6408" width="14.5546875" style="352" customWidth="1"/>
    <col min="6409" max="6409" width="12.5546875" style="352" customWidth="1"/>
    <col min="6410" max="6410" width="11.5546875" style="352" customWidth="1"/>
    <col min="6411" max="6411" width="13.5546875" style="352" customWidth="1"/>
    <col min="6412" max="6413" width="11.5546875" style="352" customWidth="1"/>
    <col min="6414" max="6414" width="9.5546875" style="352"/>
    <col min="6415" max="6415" width="11.5546875" style="352" customWidth="1"/>
    <col min="6416" max="6416" width="14.5546875" style="352" customWidth="1"/>
    <col min="6417" max="6417" width="13.5546875" style="352" customWidth="1"/>
    <col min="6418" max="6418" width="12.5546875" style="352" customWidth="1"/>
    <col min="6419" max="6656" width="9.5546875" style="352"/>
    <col min="6657" max="6657" width="41.109375" style="352" customWidth="1"/>
    <col min="6658" max="6659" width="11.5546875" style="352" customWidth="1"/>
    <col min="6660" max="6660" width="10.5546875" style="352" customWidth="1"/>
    <col min="6661" max="6661" width="9.5546875" style="352"/>
    <col min="6662" max="6663" width="11.5546875" style="352" customWidth="1"/>
    <col min="6664" max="6664" width="14.5546875" style="352" customWidth="1"/>
    <col min="6665" max="6665" width="12.5546875" style="352" customWidth="1"/>
    <col min="6666" max="6666" width="11.5546875" style="352" customWidth="1"/>
    <col min="6667" max="6667" width="13.5546875" style="352" customWidth="1"/>
    <col min="6668" max="6669" width="11.5546875" style="352" customWidth="1"/>
    <col min="6670" max="6670" width="9.5546875" style="352"/>
    <col min="6671" max="6671" width="11.5546875" style="352" customWidth="1"/>
    <col min="6672" max="6672" width="14.5546875" style="352" customWidth="1"/>
    <col min="6673" max="6673" width="13.5546875" style="352" customWidth="1"/>
    <col min="6674" max="6674" width="12.5546875" style="352" customWidth="1"/>
    <col min="6675" max="6912" width="9.5546875" style="352"/>
    <col min="6913" max="6913" width="41.109375" style="352" customWidth="1"/>
    <col min="6914" max="6915" width="11.5546875" style="352" customWidth="1"/>
    <col min="6916" max="6916" width="10.5546875" style="352" customWidth="1"/>
    <col min="6917" max="6917" width="9.5546875" style="352"/>
    <col min="6918" max="6919" width="11.5546875" style="352" customWidth="1"/>
    <col min="6920" max="6920" width="14.5546875" style="352" customWidth="1"/>
    <col min="6921" max="6921" width="12.5546875" style="352" customWidth="1"/>
    <col min="6922" max="6922" width="11.5546875" style="352" customWidth="1"/>
    <col min="6923" max="6923" width="13.5546875" style="352" customWidth="1"/>
    <col min="6924" max="6925" width="11.5546875" style="352" customWidth="1"/>
    <col min="6926" max="6926" width="9.5546875" style="352"/>
    <col min="6927" max="6927" width="11.5546875" style="352" customWidth="1"/>
    <col min="6928" max="6928" width="14.5546875" style="352" customWidth="1"/>
    <col min="6929" max="6929" width="13.5546875" style="352" customWidth="1"/>
    <col min="6930" max="6930" width="12.5546875" style="352" customWidth="1"/>
    <col min="6931" max="7168" width="9.5546875" style="352"/>
    <col min="7169" max="7169" width="41.109375" style="352" customWidth="1"/>
    <col min="7170" max="7171" width="11.5546875" style="352" customWidth="1"/>
    <col min="7172" max="7172" width="10.5546875" style="352" customWidth="1"/>
    <col min="7173" max="7173" width="9.5546875" style="352"/>
    <col min="7174" max="7175" width="11.5546875" style="352" customWidth="1"/>
    <col min="7176" max="7176" width="14.5546875" style="352" customWidth="1"/>
    <col min="7177" max="7177" width="12.5546875" style="352" customWidth="1"/>
    <col min="7178" max="7178" width="11.5546875" style="352" customWidth="1"/>
    <col min="7179" max="7179" width="13.5546875" style="352" customWidth="1"/>
    <col min="7180" max="7181" width="11.5546875" style="352" customWidth="1"/>
    <col min="7182" max="7182" width="9.5546875" style="352"/>
    <col min="7183" max="7183" width="11.5546875" style="352" customWidth="1"/>
    <col min="7184" max="7184" width="14.5546875" style="352" customWidth="1"/>
    <col min="7185" max="7185" width="13.5546875" style="352" customWidth="1"/>
    <col min="7186" max="7186" width="12.5546875" style="352" customWidth="1"/>
    <col min="7187" max="7424" width="9.5546875" style="352"/>
    <col min="7425" max="7425" width="41.109375" style="352" customWidth="1"/>
    <col min="7426" max="7427" width="11.5546875" style="352" customWidth="1"/>
    <col min="7428" max="7428" width="10.5546875" style="352" customWidth="1"/>
    <col min="7429" max="7429" width="9.5546875" style="352"/>
    <col min="7430" max="7431" width="11.5546875" style="352" customWidth="1"/>
    <col min="7432" max="7432" width="14.5546875" style="352" customWidth="1"/>
    <col min="7433" max="7433" width="12.5546875" style="352" customWidth="1"/>
    <col min="7434" max="7434" width="11.5546875" style="352" customWidth="1"/>
    <col min="7435" max="7435" width="13.5546875" style="352" customWidth="1"/>
    <col min="7436" max="7437" width="11.5546875" style="352" customWidth="1"/>
    <col min="7438" max="7438" width="9.5546875" style="352"/>
    <col min="7439" max="7439" width="11.5546875" style="352" customWidth="1"/>
    <col min="7440" max="7440" width="14.5546875" style="352" customWidth="1"/>
    <col min="7441" max="7441" width="13.5546875" style="352" customWidth="1"/>
    <col min="7442" max="7442" width="12.5546875" style="352" customWidth="1"/>
    <col min="7443" max="7680" width="9.5546875" style="352"/>
    <col min="7681" max="7681" width="41.109375" style="352" customWidth="1"/>
    <col min="7682" max="7683" width="11.5546875" style="352" customWidth="1"/>
    <col min="7684" max="7684" width="10.5546875" style="352" customWidth="1"/>
    <col min="7685" max="7685" width="9.5546875" style="352"/>
    <col min="7686" max="7687" width="11.5546875" style="352" customWidth="1"/>
    <col min="7688" max="7688" width="14.5546875" style="352" customWidth="1"/>
    <col min="7689" max="7689" width="12.5546875" style="352" customWidth="1"/>
    <col min="7690" max="7690" width="11.5546875" style="352" customWidth="1"/>
    <col min="7691" max="7691" width="13.5546875" style="352" customWidth="1"/>
    <col min="7692" max="7693" width="11.5546875" style="352" customWidth="1"/>
    <col min="7694" max="7694" width="9.5546875" style="352"/>
    <col min="7695" max="7695" width="11.5546875" style="352" customWidth="1"/>
    <col min="7696" max="7696" width="14.5546875" style="352" customWidth="1"/>
    <col min="7697" max="7697" width="13.5546875" style="352" customWidth="1"/>
    <col min="7698" max="7698" width="12.5546875" style="352" customWidth="1"/>
    <col min="7699" max="7936" width="9.5546875" style="352"/>
    <col min="7937" max="7937" width="41.109375" style="352" customWidth="1"/>
    <col min="7938" max="7939" width="11.5546875" style="352" customWidth="1"/>
    <col min="7940" max="7940" width="10.5546875" style="352" customWidth="1"/>
    <col min="7941" max="7941" width="9.5546875" style="352"/>
    <col min="7942" max="7943" width="11.5546875" style="352" customWidth="1"/>
    <col min="7944" max="7944" width="14.5546875" style="352" customWidth="1"/>
    <col min="7945" max="7945" width="12.5546875" style="352" customWidth="1"/>
    <col min="7946" max="7946" width="11.5546875" style="352" customWidth="1"/>
    <col min="7947" max="7947" width="13.5546875" style="352" customWidth="1"/>
    <col min="7948" max="7949" width="11.5546875" style="352" customWidth="1"/>
    <col min="7950" max="7950" width="9.5546875" style="352"/>
    <col min="7951" max="7951" width="11.5546875" style="352" customWidth="1"/>
    <col min="7952" max="7952" width="14.5546875" style="352" customWidth="1"/>
    <col min="7953" max="7953" width="13.5546875" style="352" customWidth="1"/>
    <col min="7954" max="7954" width="12.5546875" style="352" customWidth="1"/>
    <col min="7955" max="8192" width="9.5546875" style="352"/>
    <col min="8193" max="8193" width="41.109375" style="352" customWidth="1"/>
    <col min="8194" max="8195" width="11.5546875" style="352" customWidth="1"/>
    <col min="8196" max="8196" width="10.5546875" style="352" customWidth="1"/>
    <col min="8197" max="8197" width="9.5546875" style="352"/>
    <col min="8198" max="8199" width="11.5546875" style="352" customWidth="1"/>
    <col min="8200" max="8200" width="14.5546875" style="352" customWidth="1"/>
    <col min="8201" max="8201" width="12.5546875" style="352" customWidth="1"/>
    <col min="8202" max="8202" width="11.5546875" style="352" customWidth="1"/>
    <col min="8203" max="8203" width="13.5546875" style="352" customWidth="1"/>
    <col min="8204" max="8205" width="11.5546875" style="352" customWidth="1"/>
    <col min="8206" max="8206" width="9.5546875" style="352"/>
    <col min="8207" max="8207" width="11.5546875" style="352" customWidth="1"/>
    <col min="8208" max="8208" width="14.5546875" style="352" customWidth="1"/>
    <col min="8209" max="8209" width="13.5546875" style="352" customWidth="1"/>
    <col min="8210" max="8210" width="12.5546875" style="352" customWidth="1"/>
    <col min="8211" max="8448" width="9.5546875" style="352"/>
    <col min="8449" max="8449" width="41.109375" style="352" customWidth="1"/>
    <col min="8450" max="8451" width="11.5546875" style="352" customWidth="1"/>
    <col min="8452" max="8452" width="10.5546875" style="352" customWidth="1"/>
    <col min="8453" max="8453" width="9.5546875" style="352"/>
    <col min="8454" max="8455" width="11.5546875" style="352" customWidth="1"/>
    <col min="8456" max="8456" width="14.5546875" style="352" customWidth="1"/>
    <col min="8457" max="8457" width="12.5546875" style="352" customWidth="1"/>
    <col min="8458" max="8458" width="11.5546875" style="352" customWidth="1"/>
    <col min="8459" max="8459" width="13.5546875" style="352" customWidth="1"/>
    <col min="8460" max="8461" width="11.5546875" style="352" customWidth="1"/>
    <col min="8462" max="8462" width="9.5546875" style="352"/>
    <col min="8463" max="8463" width="11.5546875" style="352" customWidth="1"/>
    <col min="8464" max="8464" width="14.5546875" style="352" customWidth="1"/>
    <col min="8465" max="8465" width="13.5546875" style="352" customWidth="1"/>
    <col min="8466" max="8466" width="12.5546875" style="352" customWidth="1"/>
    <col min="8467" max="8704" width="9.5546875" style="352"/>
    <col min="8705" max="8705" width="41.109375" style="352" customWidth="1"/>
    <col min="8706" max="8707" width="11.5546875" style="352" customWidth="1"/>
    <col min="8708" max="8708" width="10.5546875" style="352" customWidth="1"/>
    <col min="8709" max="8709" width="9.5546875" style="352"/>
    <col min="8710" max="8711" width="11.5546875" style="352" customWidth="1"/>
    <col min="8712" max="8712" width="14.5546875" style="352" customWidth="1"/>
    <col min="8713" max="8713" width="12.5546875" style="352" customWidth="1"/>
    <col min="8714" max="8714" width="11.5546875" style="352" customWidth="1"/>
    <col min="8715" max="8715" width="13.5546875" style="352" customWidth="1"/>
    <col min="8716" max="8717" width="11.5546875" style="352" customWidth="1"/>
    <col min="8718" max="8718" width="9.5546875" style="352"/>
    <col min="8719" max="8719" width="11.5546875" style="352" customWidth="1"/>
    <col min="8720" max="8720" width="14.5546875" style="352" customWidth="1"/>
    <col min="8721" max="8721" width="13.5546875" style="352" customWidth="1"/>
    <col min="8722" max="8722" width="12.5546875" style="352" customWidth="1"/>
    <col min="8723" max="8960" width="9.5546875" style="352"/>
    <col min="8961" max="8961" width="41.109375" style="352" customWidth="1"/>
    <col min="8962" max="8963" width="11.5546875" style="352" customWidth="1"/>
    <col min="8964" max="8964" width="10.5546875" style="352" customWidth="1"/>
    <col min="8965" max="8965" width="9.5546875" style="352"/>
    <col min="8966" max="8967" width="11.5546875" style="352" customWidth="1"/>
    <col min="8968" max="8968" width="14.5546875" style="352" customWidth="1"/>
    <col min="8969" max="8969" width="12.5546875" style="352" customWidth="1"/>
    <col min="8970" max="8970" width="11.5546875" style="352" customWidth="1"/>
    <col min="8971" max="8971" width="13.5546875" style="352" customWidth="1"/>
    <col min="8972" max="8973" width="11.5546875" style="352" customWidth="1"/>
    <col min="8974" max="8974" width="9.5546875" style="352"/>
    <col min="8975" max="8975" width="11.5546875" style="352" customWidth="1"/>
    <col min="8976" max="8976" width="14.5546875" style="352" customWidth="1"/>
    <col min="8977" max="8977" width="13.5546875" style="352" customWidth="1"/>
    <col min="8978" max="8978" width="12.5546875" style="352" customWidth="1"/>
    <col min="8979" max="9216" width="9.5546875" style="352"/>
    <col min="9217" max="9217" width="41.109375" style="352" customWidth="1"/>
    <col min="9218" max="9219" width="11.5546875" style="352" customWidth="1"/>
    <col min="9220" max="9220" width="10.5546875" style="352" customWidth="1"/>
    <col min="9221" max="9221" width="9.5546875" style="352"/>
    <col min="9222" max="9223" width="11.5546875" style="352" customWidth="1"/>
    <col min="9224" max="9224" width="14.5546875" style="352" customWidth="1"/>
    <col min="9225" max="9225" width="12.5546875" style="352" customWidth="1"/>
    <col min="9226" max="9226" width="11.5546875" style="352" customWidth="1"/>
    <col min="9227" max="9227" width="13.5546875" style="352" customWidth="1"/>
    <col min="9228" max="9229" width="11.5546875" style="352" customWidth="1"/>
    <col min="9230" max="9230" width="9.5546875" style="352"/>
    <col min="9231" max="9231" width="11.5546875" style="352" customWidth="1"/>
    <col min="9232" max="9232" width="14.5546875" style="352" customWidth="1"/>
    <col min="9233" max="9233" width="13.5546875" style="352" customWidth="1"/>
    <col min="9234" max="9234" width="12.5546875" style="352" customWidth="1"/>
    <col min="9235" max="9472" width="9.5546875" style="352"/>
    <col min="9473" max="9473" width="41.109375" style="352" customWidth="1"/>
    <col min="9474" max="9475" width="11.5546875" style="352" customWidth="1"/>
    <col min="9476" max="9476" width="10.5546875" style="352" customWidth="1"/>
    <col min="9477" max="9477" width="9.5546875" style="352"/>
    <col min="9478" max="9479" width="11.5546875" style="352" customWidth="1"/>
    <col min="9480" max="9480" width="14.5546875" style="352" customWidth="1"/>
    <col min="9481" max="9481" width="12.5546875" style="352" customWidth="1"/>
    <col min="9482" max="9482" width="11.5546875" style="352" customWidth="1"/>
    <col min="9483" max="9483" width="13.5546875" style="352" customWidth="1"/>
    <col min="9484" max="9485" width="11.5546875" style="352" customWidth="1"/>
    <col min="9486" max="9486" width="9.5546875" style="352"/>
    <col min="9487" max="9487" width="11.5546875" style="352" customWidth="1"/>
    <col min="9488" max="9488" width="14.5546875" style="352" customWidth="1"/>
    <col min="9489" max="9489" width="13.5546875" style="352" customWidth="1"/>
    <col min="9490" max="9490" width="12.5546875" style="352" customWidth="1"/>
    <col min="9491" max="9728" width="9.5546875" style="352"/>
    <col min="9729" max="9729" width="41.109375" style="352" customWidth="1"/>
    <col min="9730" max="9731" width="11.5546875" style="352" customWidth="1"/>
    <col min="9732" max="9732" width="10.5546875" style="352" customWidth="1"/>
    <col min="9733" max="9733" width="9.5546875" style="352"/>
    <col min="9734" max="9735" width="11.5546875" style="352" customWidth="1"/>
    <col min="9736" max="9736" width="14.5546875" style="352" customWidth="1"/>
    <col min="9737" max="9737" width="12.5546875" style="352" customWidth="1"/>
    <col min="9738" max="9738" width="11.5546875" style="352" customWidth="1"/>
    <col min="9739" max="9739" width="13.5546875" style="352" customWidth="1"/>
    <col min="9740" max="9741" width="11.5546875" style="352" customWidth="1"/>
    <col min="9742" max="9742" width="9.5546875" style="352"/>
    <col min="9743" max="9743" width="11.5546875" style="352" customWidth="1"/>
    <col min="9744" max="9744" width="14.5546875" style="352" customWidth="1"/>
    <col min="9745" max="9745" width="13.5546875" style="352" customWidth="1"/>
    <col min="9746" max="9746" width="12.5546875" style="352" customWidth="1"/>
    <col min="9747" max="9984" width="9.5546875" style="352"/>
    <col min="9985" max="9985" width="41.109375" style="352" customWidth="1"/>
    <col min="9986" max="9987" width="11.5546875" style="352" customWidth="1"/>
    <col min="9988" max="9988" width="10.5546875" style="352" customWidth="1"/>
    <col min="9989" max="9989" width="9.5546875" style="352"/>
    <col min="9990" max="9991" width="11.5546875" style="352" customWidth="1"/>
    <col min="9992" max="9992" width="14.5546875" style="352" customWidth="1"/>
    <col min="9993" max="9993" width="12.5546875" style="352" customWidth="1"/>
    <col min="9994" max="9994" width="11.5546875" style="352" customWidth="1"/>
    <col min="9995" max="9995" width="13.5546875" style="352" customWidth="1"/>
    <col min="9996" max="9997" width="11.5546875" style="352" customWidth="1"/>
    <col min="9998" max="9998" width="9.5546875" style="352"/>
    <col min="9999" max="9999" width="11.5546875" style="352" customWidth="1"/>
    <col min="10000" max="10000" width="14.5546875" style="352" customWidth="1"/>
    <col min="10001" max="10001" width="13.5546875" style="352" customWidth="1"/>
    <col min="10002" max="10002" width="12.5546875" style="352" customWidth="1"/>
    <col min="10003" max="10240" width="9.5546875" style="352"/>
    <col min="10241" max="10241" width="41.109375" style="352" customWidth="1"/>
    <col min="10242" max="10243" width="11.5546875" style="352" customWidth="1"/>
    <col min="10244" max="10244" width="10.5546875" style="352" customWidth="1"/>
    <col min="10245" max="10245" width="9.5546875" style="352"/>
    <col min="10246" max="10247" width="11.5546875" style="352" customWidth="1"/>
    <col min="10248" max="10248" width="14.5546875" style="352" customWidth="1"/>
    <col min="10249" max="10249" width="12.5546875" style="352" customWidth="1"/>
    <col min="10250" max="10250" width="11.5546875" style="352" customWidth="1"/>
    <col min="10251" max="10251" width="13.5546875" style="352" customWidth="1"/>
    <col min="10252" max="10253" width="11.5546875" style="352" customWidth="1"/>
    <col min="10254" max="10254" width="9.5546875" style="352"/>
    <col min="10255" max="10255" width="11.5546875" style="352" customWidth="1"/>
    <col min="10256" max="10256" width="14.5546875" style="352" customWidth="1"/>
    <col min="10257" max="10257" width="13.5546875" style="352" customWidth="1"/>
    <col min="10258" max="10258" width="12.5546875" style="352" customWidth="1"/>
    <col min="10259" max="10496" width="9.5546875" style="352"/>
    <col min="10497" max="10497" width="41.109375" style="352" customWidth="1"/>
    <col min="10498" max="10499" width="11.5546875" style="352" customWidth="1"/>
    <col min="10500" max="10500" width="10.5546875" style="352" customWidth="1"/>
    <col min="10501" max="10501" width="9.5546875" style="352"/>
    <col min="10502" max="10503" width="11.5546875" style="352" customWidth="1"/>
    <col min="10504" max="10504" width="14.5546875" style="352" customWidth="1"/>
    <col min="10505" max="10505" width="12.5546875" style="352" customWidth="1"/>
    <col min="10506" max="10506" width="11.5546875" style="352" customWidth="1"/>
    <col min="10507" max="10507" width="13.5546875" style="352" customWidth="1"/>
    <col min="10508" max="10509" width="11.5546875" style="352" customWidth="1"/>
    <col min="10510" max="10510" width="9.5546875" style="352"/>
    <col min="10511" max="10511" width="11.5546875" style="352" customWidth="1"/>
    <col min="10512" max="10512" width="14.5546875" style="352" customWidth="1"/>
    <col min="10513" max="10513" width="13.5546875" style="352" customWidth="1"/>
    <col min="10514" max="10514" width="12.5546875" style="352" customWidth="1"/>
    <col min="10515" max="10752" width="9.5546875" style="352"/>
    <col min="10753" max="10753" width="41.109375" style="352" customWidth="1"/>
    <col min="10754" max="10755" width="11.5546875" style="352" customWidth="1"/>
    <col min="10756" max="10756" width="10.5546875" style="352" customWidth="1"/>
    <col min="10757" max="10757" width="9.5546875" style="352"/>
    <col min="10758" max="10759" width="11.5546875" style="352" customWidth="1"/>
    <col min="10760" max="10760" width="14.5546875" style="352" customWidth="1"/>
    <col min="10761" max="10761" width="12.5546875" style="352" customWidth="1"/>
    <col min="10762" max="10762" width="11.5546875" style="352" customWidth="1"/>
    <col min="10763" max="10763" width="13.5546875" style="352" customWidth="1"/>
    <col min="10764" max="10765" width="11.5546875" style="352" customWidth="1"/>
    <col min="10766" max="10766" width="9.5546875" style="352"/>
    <col min="10767" max="10767" width="11.5546875" style="352" customWidth="1"/>
    <col min="10768" max="10768" width="14.5546875" style="352" customWidth="1"/>
    <col min="10769" max="10769" width="13.5546875" style="352" customWidth="1"/>
    <col min="10770" max="10770" width="12.5546875" style="352" customWidth="1"/>
    <col min="10771" max="11008" width="9.5546875" style="352"/>
    <col min="11009" max="11009" width="41.109375" style="352" customWidth="1"/>
    <col min="11010" max="11011" width="11.5546875" style="352" customWidth="1"/>
    <col min="11012" max="11012" width="10.5546875" style="352" customWidth="1"/>
    <col min="11013" max="11013" width="9.5546875" style="352"/>
    <col min="11014" max="11015" width="11.5546875" style="352" customWidth="1"/>
    <col min="11016" max="11016" width="14.5546875" style="352" customWidth="1"/>
    <col min="11017" max="11017" width="12.5546875" style="352" customWidth="1"/>
    <col min="11018" max="11018" width="11.5546875" style="352" customWidth="1"/>
    <col min="11019" max="11019" width="13.5546875" style="352" customWidth="1"/>
    <col min="11020" max="11021" width="11.5546875" style="352" customWidth="1"/>
    <col min="11022" max="11022" width="9.5546875" style="352"/>
    <col min="11023" max="11023" width="11.5546875" style="352" customWidth="1"/>
    <col min="11024" max="11024" width="14.5546875" style="352" customWidth="1"/>
    <col min="11025" max="11025" width="13.5546875" style="352" customWidth="1"/>
    <col min="11026" max="11026" width="12.5546875" style="352" customWidth="1"/>
    <col min="11027" max="11264" width="9.5546875" style="352"/>
    <col min="11265" max="11265" width="41.109375" style="352" customWidth="1"/>
    <col min="11266" max="11267" width="11.5546875" style="352" customWidth="1"/>
    <col min="11268" max="11268" width="10.5546875" style="352" customWidth="1"/>
    <col min="11269" max="11269" width="9.5546875" style="352"/>
    <col min="11270" max="11271" width="11.5546875" style="352" customWidth="1"/>
    <col min="11272" max="11272" width="14.5546875" style="352" customWidth="1"/>
    <col min="11273" max="11273" width="12.5546875" style="352" customWidth="1"/>
    <col min="11274" max="11274" width="11.5546875" style="352" customWidth="1"/>
    <col min="11275" max="11275" width="13.5546875" style="352" customWidth="1"/>
    <col min="11276" max="11277" width="11.5546875" style="352" customWidth="1"/>
    <col min="11278" max="11278" width="9.5546875" style="352"/>
    <col min="11279" max="11279" width="11.5546875" style="352" customWidth="1"/>
    <col min="11280" max="11280" width="14.5546875" style="352" customWidth="1"/>
    <col min="11281" max="11281" width="13.5546875" style="352" customWidth="1"/>
    <col min="11282" max="11282" width="12.5546875" style="352" customWidth="1"/>
    <col min="11283" max="11520" width="9.5546875" style="352"/>
    <col min="11521" max="11521" width="41.109375" style="352" customWidth="1"/>
    <col min="11522" max="11523" width="11.5546875" style="352" customWidth="1"/>
    <col min="11524" max="11524" width="10.5546875" style="352" customWidth="1"/>
    <col min="11525" max="11525" width="9.5546875" style="352"/>
    <col min="11526" max="11527" width="11.5546875" style="352" customWidth="1"/>
    <col min="11528" max="11528" width="14.5546875" style="352" customWidth="1"/>
    <col min="11529" max="11529" width="12.5546875" style="352" customWidth="1"/>
    <col min="11530" max="11530" width="11.5546875" style="352" customWidth="1"/>
    <col min="11531" max="11531" width="13.5546875" style="352" customWidth="1"/>
    <col min="11532" max="11533" width="11.5546875" style="352" customWidth="1"/>
    <col min="11534" max="11534" width="9.5546875" style="352"/>
    <col min="11535" max="11535" width="11.5546875" style="352" customWidth="1"/>
    <col min="11536" max="11536" width="14.5546875" style="352" customWidth="1"/>
    <col min="11537" max="11537" width="13.5546875" style="352" customWidth="1"/>
    <col min="11538" max="11538" width="12.5546875" style="352" customWidth="1"/>
    <col min="11539" max="11776" width="9.5546875" style="352"/>
    <col min="11777" max="11777" width="41.109375" style="352" customWidth="1"/>
    <col min="11778" max="11779" width="11.5546875" style="352" customWidth="1"/>
    <col min="11780" max="11780" width="10.5546875" style="352" customWidth="1"/>
    <col min="11781" max="11781" width="9.5546875" style="352"/>
    <col min="11782" max="11783" width="11.5546875" style="352" customWidth="1"/>
    <col min="11784" max="11784" width="14.5546875" style="352" customWidth="1"/>
    <col min="11785" max="11785" width="12.5546875" style="352" customWidth="1"/>
    <col min="11786" max="11786" width="11.5546875" style="352" customWidth="1"/>
    <col min="11787" max="11787" width="13.5546875" style="352" customWidth="1"/>
    <col min="11788" max="11789" width="11.5546875" style="352" customWidth="1"/>
    <col min="11790" max="11790" width="9.5546875" style="352"/>
    <col min="11791" max="11791" width="11.5546875" style="352" customWidth="1"/>
    <col min="11792" max="11792" width="14.5546875" style="352" customWidth="1"/>
    <col min="11793" max="11793" width="13.5546875" style="352" customWidth="1"/>
    <col min="11794" max="11794" width="12.5546875" style="352" customWidth="1"/>
    <col min="11795" max="12032" width="9.5546875" style="352"/>
    <col min="12033" max="12033" width="41.109375" style="352" customWidth="1"/>
    <col min="12034" max="12035" width="11.5546875" style="352" customWidth="1"/>
    <col min="12036" max="12036" width="10.5546875" style="352" customWidth="1"/>
    <col min="12037" max="12037" width="9.5546875" style="352"/>
    <col min="12038" max="12039" width="11.5546875" style="352" customWidth="1"/>
    <col min="12040" max="12040" width="14.5546875" style="352" customWidth="1"/>
    <col min="12041" max="12041" width="12.5546875" style="352" customWidth="1"/>
    <col min="12042" max="12042" width="11.5546875" style="352" customWidth="1"/>
    <col min="12043" max="12043" width="13.5546875" style="352" customWidth="1"/>
    <col min="12044" max="12045" width="11.5546875" style="352" customWidth="1"/>
    <col min="12046" max="12046" width="9.5546875" style="352"/>
    <col min="12047" max="12047" width="11.5546875" style="352" customWidth="1"/>
    <col min="12048" max="12048" width="14.5546875" style="352" customWidth="1"/>
    <col min="12049" max="12049" width="13.5546875" style="352" customWidth="1"/>
    <col min="12050" max="12050" width="12.5546875" style="352" customWidth="1"/>
    <col min="12051" max="12288" width="9.5546875" style="352"/>
    <col min="12289" max="12289" width="41.109375" style="352" customWidth="1"/>
    <col min="12290" max="12291" width="11.5546875" style="352" customWidth="1"/>
    <col min="12292" max="12292" width="10.5546875" style="352" customWidth="1"/>
    <col min="12293" max="12293" width="9.5546875" style="352"/>
    <col min="12294" max="12295" width="11.5546875" style="352" customWidth="1"/>
    <col min="12296" max="12296" width="14.5546875" style="352" customWidth="1"/>
    <col min="12297" max="12297" width="12.5546875" style="352" customWidth="1"/>
    <col min="12298" max="12298" width="11.5546875" style="352" customWidth="1"/>
    <col min="12299" max="12299" width="13.5546875" style="352" customWidth="1"/>
    <col min="12300" max="12301" width="11.5546875" style="352" customWidth="1"/>
    <col min="12302" max="12302" width="9.5546875" style="352"/>
    <col min="12303" max="12303" width="11.5546875" style="352" customWidth="1"/>
    <col min="12304" max="12304" width="14.5546875" style="352" customWidth="1"/>
    <col min="12305" max="12305" width="13.5546875" style="352" customWidth="1"/>
    <col min="12306" max="12306" width="12.5546875" style="352" customWidth="1"/>
    <col min="12307" max="12544" width="9.5546875" style="352"/>
    <col min="12545" max="12545" width="41.109375" style="352" customWidth="1"/>
    <col min="12546" max="12547" width="11.5546875" style="352" customWidth="1"/>
    <col min="12548" max="12548" width="10.5546875" style="352" customWidth="1"/>
    <col min="12549" max="12549" width="9.5546875" style="352"/>
    <col min="12550" max="12551" width="11.5546875" style="352" customWidth="1"/>
    <col min="12552" max="12552" width="14.5546875" style="352" customWidth="1"/>
    <col min="12553" max="12553" width="12.5546875" style="352" customWidth="1"/>
    <col min="12554" max="12554" width="11.5546875" style="352" customWidth="1"/>
    <col min="12555" max="12555" width="13.5546875" style="352" customWidth="1"/>
    <col min="12556" max="12557" width="11.5546875" style="352" customWidth="1"/>
    <col min="12558" max="12558" width="9.5546875" style="352"/>
    <col min="12559" max="12559" width="11.5546875" style="352" customWidth="1"/>
    <col min="12560" max="12560" width="14.5546875" style="352" customWidth="1"/>
    <col min="12561" max="12561" width="13.5546875" style="352" customWidth="1"/>
    <col min="12562" max="12562" width="12.5546875" style="352" customWidth="1"/>
    <col min="12563" max="12800" width="9.5546875" style="352"/>
    <col min="12801" max="12801" width="41.109375" style="352" customWidth="1"/>
    <col min="12802" max="12803" width="11.5546875" style="352" customWidth="1"/>
    <col min="12804" max="12804" width="10.5546875" style="352" customWidth="1"/>
    <col min="12805" max="12805" width="9.5546875" style="352"/>
    <col min="12806" max="12807" width="11.5546875" style="352" customWidth="1"/>
    <col min="12808" max="12808" width="14.5546875" style="352" customWidth="1"/>
    <col min="12809" max="12809" width="12.5546875" style="352" customWidth="1"/>
    <col min="12810" max="12810" width="11.5546875" style="352" customWidth="1"/>
    <col min="12811" max="12811" width="13.5546875" style="352" customWidth="1"/>
    <col min="12812" max="12813" width="11.5546875" style="352" customWidth="1"/>
    <col min="12814" max="12814" width="9.5546875" style="352"/>
    <col min="12815" max="12815" width="11.5546875" style="352" customWidth="1"/>
    <col min="12816" max="12816" width="14.5546875" style="352" customWidth="1"/>
    <col min="12817" max="12817" width="13.5546875" style="352" customWidth="1"/>
    <col min="12818" max="12818" width="12.5546875" style="352" customWidth="1"/>
    <col min="12819" max="13056" width="9.5546875" style="352"/>
    <col min="13057" max="13057" width="41.109375" style="352" customWidth="1"/>
    <col min="13058" max="13059" width="11.5546875" style="352" customWidth="1"/>
    <col min="13060" max="13060" width="10.5546875" style="352" customWidth="1"/>
    <col min="13061" max="13061" width="9.5546875" style="352"/>
    <col min="13062" max="13063" width="11.5546875" style="352" customWidth="1"/>
    <col min="13064" max="13064" width="14.5546875" style="352" customWidth="1"/>
    <col min="13065" max="13065" width="12.5546875" style="352" customWidth="1"/>
    <col min="13066" max="13066" width="11.5546875" style="352" customWidth="1"/>
    <col min="13067" max="13067" width="13.5546875" style="352" customWidth="1"/>
    <col min="13068" max="13069" width="11.5546875" style="352" customWidth="1"/>
    <col min="13070" max="13070" width="9.5546875" style="352"/>
    <col min="13071" max="13071" width="11.5546875" style="352" customWidth="1"/>
    <col min="13072" max="13072" width="14.5546875" style="352" customWidth="1"/>
    <col min="13073" max="13073" width="13.5546875" style="352" customWidth="1"/>
    <col min="13074" max="13074" width="12.5546875" style="352" customWidth="1"/>
    <col min="13075" max="13312" width="9.5546875" style="352"/>
    <col min="13313" max="13313" width="41.109375" style="352" customWidth="1"/>
    <col min="13314" max="13315" width="11.5546875" style="352" customWidth="1"/>
    <col min="13316" max="13316" width="10.5546875" style="352" customWidth="1"/>
    <col min="13317" max="13317" width="9.5546875" style="352"/>
    <col min="13318" max="13319" width="11.5546875" style="352" customWidth="1"/>
    <col min="13320" max="13320" width="14.5546875" style="352" customWidth="1"/>
    <col min="13321" max="13321" width="12.5546875" style="352" customWidth="1"/>
    <col min="13322" max="13322" width="11.5546875" style="352" customWidth="1"/>
    <col min="13323" max="13323" width="13.5546875" style="352" customWidth="1"/>
    <col min="13324" max="13325" width="11.5546875" style="352" customWidth="1"/>
    <col min="13326" max="13326" width="9.5546875" style="352"/>
    <col min="13327" max="13327" width="11.5546875" style="352" customWidth="1"/>
    <col min="13328" max="13328" width="14.5546875" style="352" customWidth="1"/>
    <col min="13329" max="13329" width="13.5546875" style="352" customWidth="1"/>
    <col min="13330" max="13330" width="12.5546875" style="352" customWidth="1"/>
    <col min="13331" max="13568" width="9.5546875" style="352"/>
    <col min="13569" max="13569" width="41.109375" style="352" customWidth="1"/>
    <col min="13570" max="13571" width="11.5546875" style="352" customWidth="1"/>
    <col min="13572" max="13572" width="10.5546875" style="352" customWidth="1"/>
    <col min="13573" max="13573" width="9.5546875" style="352"/>
    <col min="13574" max="13575" width="11.5546875" style="352" customWidth="1"/>
    <col min="13576" max="13576" width="14.5546875" style="352" customWidth="1"/>
    <col min="13577" max="13577" width="12.5546875" style="352" customWidth="1"/>
    <col min="13578" max="13578" width="11.5546875" style="352" customWidth="1"/>
    <col min="13579" max="13579" width="13.5546875" style="352" customWidth="1"/>
    <col min="13580" max="13581" width="11.5546875" style="352" customWidth="1"/>
    <col min="13582" max="13582" width="9.5546875" style="352"/>
    <col min="13583" max="13583" width="11.5546875" style="352" customWidth="1"/>
    <col min="13584" max="13584" width="14.5546875" style="352" customWidth="1"/>
    <col min="13585" max="13585" width="13.5546875" style="352" customWidth="1"/>
    <col min="13586" max="13586" width="12.5546875" style="352" customWidth="1"/>
    <col min="13587" max="13824" width="9.5546875" style="352"/>
    <col min="13825" max="13825" width="41.109375" style="352" customWidth="1"/>
    <col min="13826" max="13827" width="11.5546875" style="352" customWidth="1"/>
    <col min="13828" max="13828" width="10.5546875" style="352" customWidth="1"/>
    <col min="13829" max="13829" width="9.5546875" style="352"/>
    <col min="13830" max="13831" width="11.5546875" style="352" customWidth="1"/>
    <col min="13832" max="13832" width="14.5546875" style="352" customWidth="1"/>
    <col min="13833" max="13833" width="12.5546875" style="352" customWidth="1"/>
    <col min="13834" max="13834" width="11.5546875" style="352" customWidth="1"/>
    <col min="13835" max="13835" width="13.5546875" style="352" customWidth="1"/>
    <col min="13836" max="13837" width="11.5546875" style="352" customWidth="1"/>
    <col min="13838" max="13838" width="9.5546875" style="352"/>
    <col min="13839" max="13839" width="11.5546875" style="352" customWidth="1"/>
    <col min="13840" max="13840" width="14.5546875" style="352" customWidth="1"/>
    <col min="13841" max="13841" width="13.5546875" style="352" customWidth="1"/>
    <col min="13842" max="13842" width="12.5546875" style="352" customWidth="1"/>
    <col min="13843" max="14080" width="9.5546875" style="352"/>
    <col min="14081" max="14081" width="41.109375" style="352" customWidth="1"/>
    <col min="14082" max="14083" width="11.5546875" style="352" customWidth="1"/>
    <col min="14084" max="14084" width="10.5546875" style="352" customWidth="1"/>
    <col min="14085" max="14085" width="9.5546875" style="352"/>
    <col min="14086" max="14087" width="11.5546875" style="352" customWidth="1"/>
    <col min="14088" max="14088" width="14.5546875" style="352" customWidth="1"/>
    <col min="14089" max="14089" width="12.5546875" style="352" customWidth="1"/>
    <col min="14090" max="14090" width="11.5546875" style="352" customWidth="1"/>
    <col min="14091" max="14091" width="13.5546875" style="352" customWidth="1"/>
    <col min="14092" max="14093" width="11.5546875" style="352" customWidth="1"/>
    <col min="14094" max="14094" width="9.5546875" style="352"/>
    <col min="14095" max="14095" width="11.5546875" style="352" customWidth="1"/>
    <col min="14096" max="14096" width="14.5546875" style="352" customWidth="1"/>
    <col min="14097" max="14097" width="13.5546875" style="352" customWidth="1"/>
    <col min="14098" max="14098" width="12.5546875" style="352" customWidth="1"/>
    <col min="14099" max="14336" width="9.5546875" style="352"/>
    <col min="14337" max="14337" width="41.109375" style="352" customWidth="1"/>
    <col min="14338" max="14339" width="11.5546875" style="352" customWidth="1"/>
    <col min="14340" max="14340" width="10.5546875" style="352" customWidth="1"/>
    <col min="14341" max="14341" width="9.5546875" style="352"/>
    <col min="14342" max="14343" width="11.5546875" style="352" customWidth="1"/>
    <col min="14344" max="14344" width="14.5546875" style="352" customWidth="1"/>
    <col min="14345" max="14345" width="12.5546875" style="352" customWidth="1"/>
    <col min="14346" max="14346" width="11.5546875" style="352" customWidth="1"/>
    <col min="14347" max="14347" width="13.5546875" style="352" customWidth="1"/>
    <col min="14348" max="14349" width="11.5546875" style="352" customWidth="1"/>
    <col min="14350" max="14350" width="9.5546875" style="352"/>
    <col min="14351" max="14351" width="11.5546875" style="352" customWidth="1"/>
    <col min="14352" max="14352" width="14.5546875" style="352" customWidth="1"/>
    <col min="14353" max="14353" width="13.5546875" style="352" customWidth="1"/>
    <col min="14354" max="14354" width="12.5546875" style="352" customWidth="1"/>
    <col min="14355" max="14592" width="9.5546875" style="352"/>
    <col min="14593" max="14593" width="41.109375" style="352" customWidth="1"/>
    <col min="14594" max="14595" width="11.5546875" style="352" customWidth="1"/>
    <col min="14596" max="14596" width="10.5546875" style="352" customWidth="1"/>
    <col min="14597" max="14597" width="9.5546875" style="352"/>
    <col min="14598" max="14599" width="11.5546875" style="352" customWidth="1"/>
    <col min="14600" max="14600" width="14.5546875" style="352" customWidth="1"/>
    <col min="14601" max="14601" width="12.5546875" style="352" customWidth="1"/>
    <col min="14602" max="14602" width="11.5546875" style="352" customWidth="1"/>
    <col min="14603" max="14603" width="13.5546875" style="352" customWidth="1"/>
    <col min="14604" max="14605" width="11.5546875" style="352" customWidth="1"/>
    <col min="14606" max="14606" width="9.5546875" style="352"/>
    <col min="14607" max="14607" width="11.5546875" style="352" customWidth="1"/>
    <col min="14608" max="14608" width="14.5546875" style="352" customWidth="1"/>
    <col min="14609" max="14609" width="13.5546875" style="352" customWidth="1"/>
    <col min="14610" max="14610" width="12.5546875" style="352" customWidth="1"/>
    <col min="14611" max="14848" width="9.5546875" style="352"/>
    <col min="14849" max="14849" width="41.109375" style="352" customWidth="1"/>
    <col min="14850" max="14851" width="11.5546875" style="352" customWidth="1"/>
    <col min="14852" max="14852" width="10.5546875" style="352" customWidth="1"/>
    <col min="14853" max="14853" width="9.5546875" style="352"/>
    <col min="14854" max="14855" width="11.5546875" style="352" customWidth="1"/>
    <col min="14856" max="14856" width="14.5546875" style="352" customWidth="1"/>
    <col min="14857" max="14857" width="12.5546875" style="352" customWidth="1"/>
    <col min="14858" max="14858" width="11.5546875" style="352" customWidth="1"/>
    <col min="14859" max="14859" width="13.5546875" style="352" customWidth="1"/>
    <col min="14860" max="14861" width="11.5546875" style="352" customWidth="1"/>
    <col min="14862" max="14862" width="9.5546875" style="352"/>
    <col min="14863" max="14863" width="11.5546875" style="352" customWidth="1"/>
    <col min="14864" max="14864" width="14.5546875" style="352" customWidth="1"/>
    <col min="14865" max="14865" width="13.5546875" style="352" customWidth="1"/>
    <col min="14866" max="14866" width="12.5546875" style="352" customWidth="1"/>
    <col min="14867" max="15104" width="9.5546875" style="352"/>
    <col min="15105" max="15105" width="41.109375" style="352" customWidth="1"/>
    <col min="15106" max="15107" width="11.5546875" style="352" customWidth="1"/>
    <col min="15108" max="15108" width="10.5546875" style="352" customWidth="1"/>
    <col min="15109" max="15109" width="9.5546875" style="352"/>
    <col min="15110" max="15111" width="11.5546875" style="352" customWidth="1"/>
    <col min="15112" max="15112" width="14.5546875" style="352" customWidth="1"/>
    <col min="15113" max="15113" width="12.5546875" style="352" customWidth="1"/>
    <col min="15114" max="15114" width="11.5546875" style="352" customWidth="1"/>
    <col min="15115" max="15115" width="13.5546875" style="352" customWidth="1"/>
    <col min="15116" max="15117" width="11.5546875" style="352" customWidth="1"/>
    <col min="15118" max="15118" width="9.5546875" style="352"/>
    <col min="15119" max="15119" width="11.5546875" style="352" customWidth="1"/>
    <col min="15120" max="15120" width="14.5546875" style="352" customWidth="1"/>
    <col min="15121" max="15121" width="13.5546875" style="352" customWidth="1"/>
    <col min="15122" max="15122" width="12.5546875" style="352" customWidth="1"/>
    <col min="15123" max="15360" width="9.5546875" style="352"/>
    <col min="15361" max="15361" width="41.109375" style="352" customWidth="1"/>
    <col min="15362" max="15363" width="11.5546875" style="352" customWidth="1"/>
    <col min="15364" max="15364" width="10.5546875" style="352" customWidth="1"/>
    <col min="15365" max="15365" width="9.5546875" style="352"/>
    <col min="15366" max="15367" width="11.5546875" style="352" customWidth="1"/>
    <col min="15368" max="15368" width="14.5546875" style="352" customWidth="1"/>
    <col min="15369" max="15369" width="12.5546875" style="352" customWidth="1"/>
    <col min="15370" max="15370" width="11.5546875" style="352" customWidth="1"/>
    <col min="15371" max="15371" width="13.5546875" style="352" customWidth="1"/>
    <col min="15372" max="15373" width="11.5546875" style="352" customWidth="1"/>
    <col min="15374" max="15374" width="9.5546875" style="352"/>
    <col min="15375" max="15375" width="11.5546875" style="352" customWidth="1"/>
    <col min="15376" max="15376" width="14.5546875" style="352" customWidth="1"/>
    <col min="15377" max="15377" width="13.5546875" style="352" customWidth="1"/>
    <col min="15378" max="15378" width="12.5546875" style="352" customWidth="1"/>
    <col min="15379" max="15616" width="9.5546875" style="352"/>
    <col min="15617" max="15617" width="41.109375" style="352" customWidth="1"/>
    <col min="15618" max="15619" width="11.5546875" style="352" customWidth="1"/>
    <col min="15620" max="15620" width="10.5546875" style="352" customWidth="1"/>
    <col min="15621" max="15621" width="9.5546875" style="352"/>
    <col min="15622" max="15623" width="11.5546875" style="352" customWidth="1"/>
    <col min="15624" max="15624" width="14.5546875" style="352" customWidth="1"/>
    <col min="15625" max="15625" width="12.5546875" style="352" customWidth="1"/>
    <col min="15626" max="15626" width="11.5546875" style="352" customWidth="1"/>
    <col min="15627" max="15627" width="13.5546875" style="352" customWidth="1"/>
    <col min="15628" max="15629" width="11.5546875" style="352" customWidth="1"/>
    <col min="15630" max="15630" width="9.5546875" style="352"/>
    <col min="15631" max="15631" width="11.5546875" style="352" customWidth="1"/>
    <col min="15632" max="15632" width="14.5546875" style="352" customWidth="1"/>
    <col min="15633" max="15633" width="13.5546875" style="352" customWidth="1"/>
    <col min="15634" max="15634" width="12.5546875" style="352" customWidth="1"/>
    <col min="15635" max="15872" width="9.5546875" style="352"/>
    <col min="15873" max="15873" width="41.109375" style="352" customWidth="1"/>
    <col min="15874" max="15875" width="11.5546875" style="352" customWidth="1"/>
    <col min="15876" max="15876" width="10.5546875" style="352" customWidth="1"/>
    <col min="15877" max="15877" width="9.5546875" style="352"/>
    <col min="15878" max="15879" width="11.5546875" style="352" customWidth="1"/>
    <col min="15880" max="15880" width="14.5546875" style="352" customWidth="1"/>
    <col min="15881" max="15881" width="12.5546875" style="352" customWidth="1"/>
    <col min="15882" max="15882" width="11.5546875" style="352" customWidth="1"/>
    <col min="15883" max="15883" width="13.5546875" style="352" customWidth="1"/>
    <col min="15884" max="15885" width="11.5546875" style="352" customWidth="1"/>
    <col min="15886" max="15886" width="9.5546875" style="352"/>
    <col min="15887" max="15887" width="11.5546875" style="352" customWidth="1"/>
    <col min="15888" max="15888" width="14.5546875" style="352" customWidth="1"/>
    <col min="15889" max="15889" width="13.5546875" style="352" customWidth="1"/>
    <col min="15890" max="15890" width="12.5546875" style="352" customWidth="1"/>
    <col min="15891" max="16128" width="9.5546875" style="352"/>
    <col min="16129" max="16129" width="41.109375" style="352" customWidth="1"/>
    <col min="16130" max="16131" width="11.5546875" style="352" customWidth="1"/>
    <col min="16132" max="16132" width="10.5546875" style="352" customWidth="1"/>
    <col min="16133" max="16133" width="9.5546875" style="352"/>
    <col min="16134" max="16135" width="11.5546875" style="352" customWidth="1"/>
    <col min="16136" max="16136" width="14.5546875" style="352" customWidth="1"/>
    <col min="16137" max="16137" width="12.5546875" style="352" customWidth="1"/>
    <col min="16138" max="16138" width="11.5546875" style="352" customWidth="1"/>
    <col min="16139" max="16139" width="13.5546875" style="352" customWidth="1"/>
    <col min="16140" max="16141" width="11.5546875" style="352" customWidth="1"/>
    <col min="16142" max="16142" width="9.5546875" style="352"/>
    <col min="16143" max="16143" width="11.5546875" style="352" customWidth="1"/>
    <col min="16144" max="16144" width="14.5546875" style="352" customWidth="1"/>
    <col min="16145" max="16145" width="13.5546875" style="352" customWidth="1"/>
    <col min="16146" max="16146" width="12.5546875" style="352" customWidth="1"/>
    <col min="16147" max="16384" width="9.5546875" style="352"/>
  </cols>
  <sheetData>
    <row r="4" spans="1:18" x14ac:dyDescent="0.2">
      <c r="A4" s="355" t="s">
        <v>787</v>
      </c>
    </row>
    <row r="5" spans="1:18" x14ac:dyDescent="0.2">
      <c r="A5" s="355" t="s">
        <v>788</v>
      </c>
    </row>
    <row r="6" spans="1:18" x14ac:dyDescent="0.2">
      <c r="A6" s="355" t="s">
        <v>1039</v>
      </c>
    </row>
    <row r="8" spans="1:18" x14ac:dyDescent="0.2">
      <c r="B8" s="356"/>
      <c r="D8" s="356" t="s">
        <v>789</v>
      </c>
      <c r="E8" s="356" t="s">
        <v>790</v>
      </c>
      <c r="F8" s="356" t="s">
        <v>791</v>
      </c>
      <c r="G8" s="356" t="s">
        <v>792</v>
      </c>
      <c r="H8" s="356" t="s">
        <v>793</v>
      </c>
      <c r="I8" s="356" t="s">
        <v>794</v>
      </c>
      <c r="J8" s="357" t="s">
        <v>795</v>
      </c>
      <c r="K8" s="357" t="s">
        <v>749</v>
      </c>
      <c r="L8" s="357" t="s">
        <v>749</v>
      </c>
      <c r="M8" s="356" t="s">
        <v>796</v>
      </c>
      <c r="N8" s="358" t="s">
        <v>797</v>
      </c>
      <c r="O8" s="358" t="s">
        <v>797</v>
      </c>
      <c r="P8" s="358" t="s">
        <v>798</v>
      </c>
      <c r="Q8" s="356" t="s">
        <v>796</v>
      </c>
      <c r="R8" s="356" t="s">
        <v>799</v>
      </c>
    </row>
    <row r="9" spans="1:18" x14ac:dyDescent="0.2">
      <c r="B9" s="356" t="s">
        <v>800</v>
      </c>
      <c r="C9" s="356" t="s">
        <v>800</v>
      </c>
      <c r="D9" s="356" t="s">
        <v>801</v>
      </c>
      <c r="E9" s="356" t="s">
        <v>802</v>
      </c>
      <c r="F9" s="356" t="s">
        <v>803</v>
      </c>
      <c r="G9" s="356" t="s">
        <v>804</v>
      </c>
      <c r="H9" s="356" t="s">
        <v>803</v>
      </c>
      <c r="I9" s="356" t="s">
        <v>805</v>
      </c>
      <c r="J9" s="357" t="s">
        <v>806</v>
      </c>
      <c r="K9" s="357" t="s">
        <v>807</v>
      </c>
      <c r="L9" s="357" t="s">
        <v>808</v>
      </c>
      <c r="M9" s="356" t="s">
        <v>809</v>
      </c>
      <c r="N9" s="358" t="s">
        <v>810</v>
      </c>
      <c r="O9" s="358" t="s">
        <v>811</v>
      </c>
      <c r="P9" s="358" t="s">
        <v>812</v>
      </c>
      <c r="Q9" s="356" t="s">
        <v>809</v>
      </c>
      <c r="R9" s="356" t="s">
        <v>813</v>
      </c>
    </row>
    <row r="10" spans="1:18" ht="25.5" x14ac:dyDescent="0.2">
      <c r="B10" s="356" t="s">
        <v>814</v>
      </c>
      <c r="C10" s="356" t="s">
        <v>814</v>
      </c>
      <c r="G10" s="356" t="s">
        <v>790</v>
      </c>
      <c r="J10" s="357"/>
      <c r="K10" s="359" t="s">
        <v>1040</v>
      </c>
      <c r="L10" s="357" t="s">
        <v>806</v>
      </c>
      <c r="M10" s="356"/>
      <c r="N10" s="358" t="s">
        <v>805</v>
      </c>
      <c r="O10" s="358"/>
      <c r="Q10" s="356" t="s">
        <v>815</v>
      </c>
      <c r="R10" s="356" t="s">
        <v>816</v>
      </c>
    </row>
    <row r="11" spans="1:18" x14ac:dyDescent="0.2">
      <c r="B11" s="360" t="s">
        <v>817</v>
      </c>
      <c r="C11" s="360" t="s">
        <v>817</v>
      </c>
      <c r="D11" s="360" t="s">
        <v>817</v>
      </c>
      <c r="E11" s="360" t="s">
        <v>817</v>
      </c>
      <c r="F11" s="360" t="s">
        <v>817</v>
      </c>
      <c r="G11" s="360" t="s">
        <v>817</v>
      </c>
      <c r="H11" s="360" t="s">
        <v>817</v>
      </c>
      <c r="I11" s="360" t="s">
        <v>817</v>
      </c>
      <c r="J11" s="361" t="s">
        <v>817</v>
      </c>
      <c r="K11" s="361" t="s">
        <v>817</v>
      </c>
      <c r="L11" s="361"/>
      <c r="M11" s="360" t="s">
        <v>817</v>
      </c>
      <c r="N11" s="362" t="s">
        <v>817</v>
      </c>
      <c r="O11" s="362" t="s">
        <v>817</v>
      </c>
      <c r="P11" s="362" t="s">
        <v>817</v>
      </c>
      <c r="Q11" s="360" t="s">
        <v>817</v>
      </c>
      <c r="R11" s="360" t="s">
        <v>817</v>
      </c>
    </row>
    <row r="12" spans="1:18" x14ac:dyDescent="0.2">
      <c r="A12" s="352" t="s">
        <v>818</v>
      </c>
      <c r="B12" s="352">
        <v>8820</v>
      </c>
      <c r="C12" s="352">
        <f>B12</f>
        <v>8820</v>
      </c>
      <c r="D12" s="352">
        <f>SUM(B12/J12)*K12</f>
        <v>7056</v>
      </c>
      <c r="E12" s="352">
        <f t="shared" ref="E12:E18" si="0">B12-D12</f>
        <v>1764</v>
      </c>
      <c r="F12" s="352">
        <v>0</v>
      </c>
      <c r="G12" s="352">
        <f t="shared" ref="G12:G19" si="1">F12-E12</f>
        <v>-1764</v>
      </c>
      <c r="H12" s="364">
        <v>45306</v>
      </c>
      <c r="I12" s="364">
        <v>43928</v>
      </c>
      <c r="J12" s="353">
        <f>SUM(1/0.3)*12</f>
        <v>40</v>
      </c>
      <c r="K12" s="353">
        <v>32</v>
      </c>
      <c r="L12" s="353">
        <f t="shared" ref="L12:L19" si="2">J12-K12</f>
        <v>8</v>
      </c>
      <c r="M12" s="352">
        <f t="shared" ref="M12" si="3">C12/J12*L12</f>
        <v>1764</v>
      </c>
      <c r="N12" s="354">
        <v>112.19</v>
      </c>
      <c r="O12" s="354">
        <v>133.55500000000001</v>
      </c>
      <c r="P12" s="354">
        <f>TRUNC(O12/N12,4)</f>
        <v>1.1903999999999999</v>
      </c>
      <c r="Q12" s="352">
        <f t="shared" ref="Q12" si="4">M12*P12</f>
        <v>2099.8655999999996</v>
      </c>
      <c r="R12" s="352">
        <f>F12-Q12</f>
        <v>-2099.8655999999996</v>
      </c>
    </row>
    <row r="13" spans="1:18" x14ac:dyDescent="0.2">
      <c r="A13" s="352" t="s">
        <v>819</v>
      </c>
      <c r="B13" s="352">
        <v>30671.119999999999</v>
      </c>
      <c r="C13" s="352">
        <f>B13</f>
        <v>30671.119999999999</v>
      </c>
      <c r="D13" s="352">
        <f>SUM(B13/J13)*K13</f>
        <v>4472.8716666666669</v>
      </c>
      <c r="E13" s="352">
        <f>B13-D13</f>
        <v>26198.248333333333</v>
      </c>
      <c r="F13" s="352">
        <v>47413.79</v>
      </c>
      <c r="G13" s="352">
        <f>F13-E13</f>
        <v>21215.541666666668</v>
      </c>
      <c r="H13" s="364">
        <v>45319</v>
      </c>
      <c r="I13" s="364">
        <v>44687</v>
      </c>
      <c r="J13" s="353">
        <f>SUM(1/0.25)*12</f>
        <v>48</v>
      </c>
      <c r="K13" s="353">
        <v>7</v>
      </c>
      <c r="L13" s="353">
        <f>J13-K13</f>
        <v>41</v>
      </c>
      <c r="M13" s="352">
        <f>C13/J13*L13</f>
        <v>26198.248333333333</v>
      </c>
      <c r="N13" s="354">
        <v>121.02200000000001</v>
      </c>
      <c r="O13" s="354">
        <v>133.55500000000001</v>
      </c>
      <c r="P13" s="354">
        <f t="shared" ref="P13:P19" si="5">TRUNC(O13/N13,4)</f>
        <v>1.1034999999999999</v>
      </c>
      <c r="Q13" s="352">
        <f>M13*P13</f>
        <v>28909.767035833331</v>
      </c>
      <c r="R13" s="352">
        <f>F13-Q13</f>
        <v>18504.02296416667</v>
      </c>
    </row>
    <row r="14" spans="1:18" x14ac:dyDescent="0.2">
      <c r="A14" s="352" t="s">
        <v>820</v>
      </c>
      <c r="B14" s="352">
        <v>48228.88</v>
      </c>
      <c r="C14" s="352">
        <f t="shared" ref="C14:C19" si="6">+B14</f>
        <v>48228.88</v>
      </c>
      <c r="D14" s="352">
        <f>SUM(B14/J14)*K14</f>
        <v>8038.1466666666665</v>
      </c>
      <c r="E14" s="352">
        <f>B14-D14</f>
        <v>40190.73333333333</v>
      </c>
      <c r="F14" s="352">
        <v>68965.52</v>
      </c>
      <c r="G14" s="352">
        <f>F14-E14</f>
        <v>28774.786666666674</v>
      </c>
      <c r="H14" s="364">
        <v>45314</v>
      </c>
      <c r="I14" s="364">
        <v>44657</v>
      </c>
      <c r="J14" s="353">
        <f>SUM(1/0.25)*12</f>
        <v>48</v>
      </c>
      <c r="K14" s="353">
        <v>8</v>
      </c>
      <c r="L14" s="353">
        <f t="shared" si="2"/>
        <v>40</v>
      </c>
      <c r="M14" s="352">
        <f>C14/J14*L14</f>
        <v>40190.73333333333</v>
      </c>
      <c r="N14" s="354">
        <v>120.809</v>
      </c>
      <c r="O14" s="354">
        <v>133.55500000000001</v>
      </c>
      <c r="P14" s="354">
        <f t="shared" si="5"/>
        <v>1.1054999999999999</v>
      </c>
      <c r="Q14" s="352">
        <f t="shared" ref="Q14:Q19" si="7">M14*P14</f>
        <v>44430.855699999993</v>
      </c>
      <c r="R14" s="352">
        <f t="shared" ref="R14:R19" si="8">F14-Q14</f>
        <v>24534.664300000011</v>
      </c>
    </row>
    <row r="15" spans="1:18" x14ac:dyDescent="0.2">
      <c r="A15" s="363" t="s">
        <v>821</v>
      </c>
      <c r="B15" s="352">
        <v>201379.31</v>
      </c>
      <c r="C15" s="352">
        <f t="shared" si="6"/>
        <v>201379.31</v>
      </c>
      <c r="D15" s="352">
        <f t="shared" ref="D15:D18" si="9">SUM(B15/J15)*K15</f>
        <v>201379.31</v>
      </c>
      <c r="E15" s="352">
        <f t="shared" si="0"/>
        <v>0</v>
      </c>
      <c r="F15" s="352">
        <v>54310.35</v>
      </c>
      <c r="G15" s="352">
        <f>F15-E15</f>
        <v>54310.35</v>
      </c>
      <c r="H15" s="364">
        <v>45332</v>
      </c>
      <c r="I15" s="364">
        <v>43133</v>
      </c>
      <c r="J15" s="353">
        <f>SUM(1/0.25)*12</f>
        <v>48</v>
      </c>
      <c r="K15" s="353">
        <v>48</v>
      </c>
      <c r="L15" s="353">
        <f t="shared" si="2"/>
        <v>0</v>
      </c>
      <c r="M15" s="352">
        <f t="shared" ref="M15:M18" si="10">C15/J15*L15</f>
        <v>0</v>
      </c>
      <c r="N15" s="354">
        <v>99.171300000000002</v>
      </c>
      <c r="O15" s="354">
        <v>133.68100000000001</v>
      </c>
      <c r="P15" s="354">
        <f t="shared" si="5"/>
        <v>1.3479000000000001</v>
      </c>
      <c r="Q15" s="352">
        <f t="shared" si="7"/>
        <v>0</v>
      </c>
      <c r="R15" s="352">
        <f>F15-Q15</f>
        <v>54310.35</v>
      </c>
    </row>
    <row r="16" spans="1:18" x14ac:dyDescent="0.2">
      <c r="A16" s="363" t="s">
        <v>822</v>
      </c>
      <c r="B16" s="352">
        <v>27893.02</v>
      </c>
      <c r="C16" s="352">
        <f t="shared" si="6"/>
        <v>27893.02</v>
      </c>
      <c r="D16" s="352">
        <f>SUM(B16/J16)*K16</f>
        <v>1162.2091666666668</v>
      </c>
      <c r="E16" s="352">
        <f>B16-D16</f>
        <v>26730.810833333333</v>
      </c>
      <c r="F16" s="352">
        <v>47413.79</v>
      </c>
      <c r="G16" s="352">
        <f t="shared" si="1"/>
        <v>20682.979166666668</v>
      </c>
      <c r="H16" s="364">
        <v>45332</v>
      </c>
      <c r="I16" s="364">
        <v>44847</v>
      </c>
      <c r="J16" s="353">
        <f>SUM(1/0.25)*12</f>
        <v>48</v>
      </c>
      <c r="K16" s="353">
        <v>2</v>
      </c>
      <c r="L16" s="353">
        <f t="shared" si="2"/>
        <v>46</v>
      </c>
      <c r="M16" s="352">
        <f>C16/J16*L16</f>
        <v>26730.810833333337</v>
      </c>
      <c r="N16" s="354">
        <v>125.276</v>
      </c>
      <c r="O16" s="354">
        <v>133.68100000000001</v>
      </c>
      <c r="P16" s="354">
        <f t="shared" si="5"/>
        <v>1.0669999999999999</v>
      </c>
      <c r="Q16" s="352">
        <f>M16*P16</f>
        <v>28521.775159166667</v>
      </c>
      <c r="R16" s="352">
        <f>F16-Q16</f>
        <v>18892.014840833333</v>
      </c>
    </row>
    <row r="17" spans="1:19" x14ac:dyDescent="0.2">
      <c r="A17" s="363" t="s">
        <v>823</v>
      </c>
      <c r="B17" s="352">
        <v>9875</v>
      </c>
      <c r="C17" s="352">
        <f t="shared" si="6"/>
        <v>9875</v>
      </c>
      <c r="D17" s="352">
        <f t="shared" si="9"/>
        <v>9875</v>
      </c>
      <c r="E17" s="352">
        <f t="shared" si="0"/>
        <v>0</v>
      </c>
      <c r="F17" s="352">
        <v>431.03</v>
      </c>
      <c r="G17" s="352">
        <f>F17-E17</f>
        <v>431.03</v>
      </c>
      <c r="H17" s="364">
        <v>45332</v>
      </c>
      <c r="I17" s="364">
        <v>41308</v>
      </c>
      <c r="J17" s="353">
        <v>40</v>
      </c>
      <c r="K17" s="353">
        <v>40</v>
      </c>
      <c r="L17" s="353">
        <f t="shared" si="2"/>
        <v>0</v>
      </c>
      <c r="M17" s="352">
        <f t="shared" si="10"/>
        <v>0</v>
      </c>
      <c r="N17" s="354">
        <v>81.290899999999993</v>
      </c>
      <c r="O17" s="354">
        <v>133.68100000000001</v>
      </c>
      <c r="P17" s="354">
        <f t="shared" si="5"/>
        <v>1.6444000000000001</v>
      </c>
      <c r="Q17" s="352">
        <f t="shared" si="7"/>
        <v>0</v>
      </c>
      <c r="R17" s="352">
        <f t="shared" si="8"/>
        <v>431.03</v>
      </c>
    </row>
    <row r="18" spans="1:19" x14ac:dyDescent="0.2">
      <c r="A18" s="363" t="s">
        <v>824</v>
      </c>
      <c r="B18" s="352">
        <v>8826.5</v>
      </c>
      <c r="C18" s="352">
        <f t="shared" si="6"/>
        <v>8826.5</v>
      </c>
      <c r="D18" s="352">
        <f t="shared" si="9"/>
        <v>7061.2</v>
      </c>
      <c r="E18" s="352">
        <f t="shared" si="0"/>
        <v>1765.3000000000002</v>
      </c>
      <c r="F18" s="352">
        <v>0</v>
      </c>
      <c r="G18" s="352">
        <f t="shared" si="1"/>
        <v>-1765.3000000000002</v>
      </c>
      <c r="H18" s="364">
        <v>45332</v>
      </c>
      <c r="I18" s="364">
        <v>43938</v>
      </c>
      <c r="J18" s="353">
        <v>40</v>
      </c>
      <c r="K18" s="353">
        <v>32</v>
      </c>
      <c r="L18" s="353">
        <f t="shared" si="2"/>
        <v>8</v>
      </c>
      <c r="M18" s="352">
        <f t="shared" si="10"/>
        <v>1765.3</v>
      </c>
      <c r="N18" s="354">
        <v>112.19</v>
      </c>
      <c r="O18" s="354">
        <v>133.68100000000001</v>
      </c>
      <c r="P18" s="354">
        <f>TRUNC(O18/N18,4)</f>
        <v>1.1915</v>
      </c>
      <c r="Q18" s="352">
        <f>M18*P18</f>
        <v>2103.3549499999999</v>
      </c>
      <c r="R18" s="352">
        <f t="shared" si="8"/>
        <v>-2103.3549499999999</v>
      </c>
    </row>
    <row r="19" spans="1:19" x14ac:dyDescent="0.2">
      <c r="A19" s="366" t="s">
        <v>825</v>
      </c>
      <c r="B19" s="352">
        <v>33130.43</v>
      </c>
      <c r="C19" s="352">
        <f t="shared" si="6"/>
        <v>33130.43</v>
      </c>
      <c r="D19" s="352">
        <f>SUM(B19/J19)*K19</f>
        <v>30369.560833333337</v>
      </c>
      <c r="E19" s="352">
        <f>B19-D19</f>
        <v>2760.8691666666637</v>
      </c>
      <c r="F19" s="352">
        <v>41379.370000000003</v>
      </c>
      <c r="G19" s="352">
        <f t="shared" si="1"/>
        <v>38618.500833333339</v>
      </c>
      <c r="H19" s="364">
        <v>45620</v>
      </c>
      <c r="I19" s="364">
        <v>43563</v>
      </c>
      <c r="J19" s="353">
        <f>SUM(1/0.25)*12</f>
        <v>48</v>
      </c>
      <c r="K19" s="353">
        <v>44</v>
      </c>
      <c r="L19" s="353">
        <f t="shared" si="2"/>
        <v>4</v>
      </c>
      <c r="M19" s="352">
        <f>C19/J19*L19</f>
        <v>2760.8691666666668</v>
      </c>
      <c r="N19" s="354">
        <v>103.53100000000001</v>
      </c>
      <c r="O19" s="354">
        <v>137.42400000000001</v>
      </c>
      <c r="P19" s="354">
        <f t="shared" si="5"/>
        <v>1.3272999999999999</v>
      </c>
      <c r="Q19" s="352">
        <f t="shared" si="7"/>
        <v>3664.5016449166665</v>
      </c>
      <c r="R19" s="352">
        <f t="shared" si="8"/>
        <v>37714.868355083338</v>
      </c>
    </row>
    <row r="20" spans="1:19" x14ac:dyDescent="0.2">
      <c r="A20" s="363"/>
      <c r="H20" s="364"/>
      <c r="I20" s="364"/>
    </row>
    <row r="21" spans="1:19" x14ac:dyDescent="0.2">
      <c r="H21" s="364"/>
      <c r="I21" s="364"/>
    </row>
    <row r="22" spans="1:19" x14ac:dyDescent="0.2">
      <c r="B22" s="360" t="s">
        <v>817</v>
      </c>
      <c r="C22" s="360" t="s">
        <v>817</v>
      </c>
      <c r="D22" s="360" t="s">
        <v>817</v>
      </c>
      <c r="E22" s="360" t="s">
        <v>817</v>
      </c>
      <c r="F22" s="360" t="s">
        <v>817</v>
      </c>
      <c r="G22" s="360" t="s">
        <v>817</v>
      </c>
      <c r="H22" s="364"/>
      <c r="I22" s="364"/>
      <c r="M22" s="360" t="s">
        <v>817</v>
      </c>
      <c r="Q22" s="360" t="s">
        <v>817</v>
      </c>
      <c r="R22" s="360" t="s">
        <v>817</v>
      </c>
      <c r="S22" s="352" t="s">
        <v>829</v>
      </c>
    </row>
    <row r="23" spans="1:19" x14ac:dyDescent="0.2">
      <c r="B23" s="352">
        <f t="shared" ref="B23:G23" si="11">SUM(B12:B22)</f>
        <v>368824.26</v>
      </c>
      <c r="C23" s="352">
        <f t="shared" si="11"/>
        <v>368824.26</v>
      </c>
      <c r="D23" s="352">
        <f t="shared" si="11"/>
        <v>269414.29833333334</v>
      </c>
      <c r="E23" s="352">
        <f t="shared" si="11"/>
        <v>99409.96166666667</v>
      </c>
      <c r="F23" s="352">
        <f t="shared" si="11"/>
        <v>259913.85</v>
      </c>
      <c r="G23" s="352">
        <f t="shared" si="11"/>
        <v>160503.88833333337</v>
      </c>
      <c r="H23" s="364"/>
      <c r="I23" s="364"/>
      <c r="M23" s="352">
        <f>SUM(M12:M22)</f>
        <v>99409.96166666667</v>
      </c>
      <c r="Q23" s="352">
        <f>SUM(Q12:Q22)</f>
        <v>109730.12008991666</v>
      </c>
      <c r="R23" s="352">
        <f>SUM(R12:R22)</f>
        <v>150183.72991008335</v>
      </c>
      <c r="S23" s="352">
        <f>+Q23-M23</f>
        <v>10320.158423249988</v>
      </c>
    </row>
    <row r="24" spans="1:19" x14ac:dyDescent="0.2">
      <c r="F24" s="365" t="s">
        <v>827</v>
      </c>
      <c r="G24" s="365">
        <f>+G13+G14+G15+G16+G17+G19</f>
        <v>164033.18833333335</v>
      </c>
      <c r="H24" s="364"/>
      <c r="I24" s="364"/>
    </row>
    <row r="25" spans="1:19" x14ac:dyDescent="0.2">
      <c r="F25" s="365" t="s">
        <v>828</v>
      </c>
      <c r="G25" s="365">
        <f>+G12+G18</f>
        <v>-3529.3</v>
      </c>
      <c r="H25" s="364"/>
      <c r="I25" s="364"/>
      <c r="Q25" s="352" t="s">
        <v>719</v>
      </c>
      <c r="R25" s="352">
        <f>+R13+R14+R15+R16+R17+R19</f>
        <v>154386.95046008338</v>
      </c>
    </row>
    <row r="26" spans="1:19" x14ac:dyDescent="0.2">
      <c r="H26" s="364"/>
      <c r="I26" s="364"/>
      <c r="Q26" s="352" t="s">
        <v>826</v>
      </c>
      <c r="R26" s="352">
        <f>+R12+R18</f>
        <v>-4203.22055</v>
      </c>
    </row>
    <row r="27" spans="1:19" x14ac:dyDescent="0.2">
      <c r="H27" s="364"/>
      <c r="I27" s="364"/>
      <c r="R27" s="352">
        <f>+R25+R26</f>
        <v>150183.72991008338</v>
      </c>
    </row>
    <row r="28" spans="1:19" x14ac:dyDescent="0.2">
      <c r="H28" s="364"/>
      <c r="I28" s="364"/>
      <c r="Q28" s="354"/>
      <c r="R28" s="354"/>
      <c r="S28" s="354"/>
    </row>
    <row r="29" spans="1:19" x14ac:dyDescent="0.2">
      <c r="H29" s="364"/>
      <c r="I29" s="364"/>
      <c r="Q29" s="354"/>
      <c r="R29" s="354"/>
      <c r="S29" s="354"/>
    </row>
    <row r="30" spans="1:19" x14ac:dyDescent="0.2">
      <c r="H30" s="364"/>
      <c r="I30" s="364"/>
    </row>
    <row r="31" spans="1:19" x14ac:dyDescent="0.2">
      <c r="H31" s="364"/>
      <c r="I31" s="364"/>
    </row>
    <row r="32" spans="1:19" x14ac:dyDescent="0.2">
      <c r="H32" s="364"/>
      <c r="I32" s="364"/>
    </row>
    <row r="33" spans="8:9" x14ac:dyDescent="0.2">
      <c r="H33" s="364"/>
      <c r="I33" s="364"/>
    </row>
    <row r="34" spans="8:9" x14ac:dyDescent="0.2">
      <c r="H34" s="364"/>
      <c r="I34" s="364"/>
    </row>
    <row r="35" spans="8:9" x14ac:dyDescent="0.2">
      <c r="H35" s="364"/>
      <c r="I35" s="364"/>
    </row>
    <row r="36" spans="8:9" x14ac:dyDescent="0.2">
      <c r="H36" s="364"/>
      <c r="I36" s="364"/>
    </row>
    <row r="37" spans="8:9" x14ac:dyDescent="0.2">
      <c r="H37" s="364"/>
      <c r="I37" s="364"/>
    </row>
    <row r="38" spans="8:9" x14ac:dyDescent="0.2">
      <c r="H38" s="364"/>
      <c r="I38" s="364"/>
    </row>
    <row r="39" spans="8:9" x14ac:dyDescent="0.2">
      <c r="H39" s="364"/>
      <c r="I39" s="364"/>
    </row>
    <row r="40" spans="8:9" x14ac:dyDescent="0.2">
      <c r="H40" s="364"/>
      <c r="I40" s="364"/>
    </row>
    <row r="41" spans="8:9" x14ac:dyDescent="0.2">
      <c r="H41" s="364"/>
      <c r="I41" s="364"/>
    </row>
    <row r="42" spans="8:9" x14ac:dyDescent="0.2">
      <c r="H42" s="364"/>
      <c r="I42" s="364"/>
    </row>
    <row r="43" spans="8:9" x14ac:dyDescent="0.2">
      <c r="H43" s="364"/>
      <c r="I43" s="364"/>
    </row>
    <row r="44" spans="8:9" x14ac:dyDescent="0.2">
      <c r="H44" s="364"/>
      <c r="I44" s="364"/>
    </row>
    <row r="45" spans="8:9" x14ac:dyDescent="0.2">
      <c r="H45" s="364"/>
    </row>
    <row r="46" spans="8:9" x14ac:dyDescent="0.2">
      <c r="H46" s="364"/>
    </row>
    <row r="47" spans="8:9" x14ac:dyDescent="0.2">
      <c r="H47" s="364"/>
    </row>
    <row r="48" spans="8:9" x14ac:dyDescent="0.2">
      <c r="H48" s="364"/>
    </row>
    <row r="49" spans="8:8" x14ac:dyDescent="0.2">
      <c r="H49" s="364"/>
    </row>
    <row r="50" spans="8:8" x14ac:dyDescent="0.2">
      <c r="H50" s="364"/>
    </row>
    <row r="51" spans="8:8" x14ac:dyDescent="0.2">
      <c r="H51" s="364"/>
    </row>
    <row r="52" spans="8:8" x14ac:dyDescent="0.2">
      <c r="H52" s="364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E052D-974B-41B4-9030-45B8D749E21D}">
  <sheetPr>
    <pageSetUpPr fitToPage="1"/>
  </sheetPr>
  <dimension ref="A3:H30"/>
  <sheetViews>
    <sheetView showGridLines="0" workbookViewId="0">
      <pane ySplit="7" topLeftCell="A8" activePane="bottomLeft" state="frozen"/>
      <selection pane="bottomLeft" activeCell="D12" sqref="D12"/>
    </sheetView>
  </sheetViews>
  <sheetFormatPr baseColWidth="10" defaultColWidth="7.109375" defaultRowHeight="15" x14ac:dyDescent="0.2"/>
  <cols>
    <col min="1" max="1" width="4.109375" style="191" bestFit="1" customWidth="1"/>
    <col min="2" max="2" width="9.88671875" style="191" bestFit="1" customWidth="1"/>
    <col min="3" max="3" width="6.44140625" style="191" bestFit="1" customWidth="1"/>
    <col min="4" max="4" width="40.33203125" style="191" bestFit="1" customWidth="1"/>
    <col min="5" max="5" width="16.33203125" style="191" bestFit="1" customWidth="1"/>
    <col min="6" max="6" width="44.33203125" style="191" customWidth="1"/>
    <col min="7" max="7" width="13.5546875" style="191" bestFit="1" customWidth="1"/>
    <col min="8" max="8" width="8.88671875" style="369" customWidth="1"/>
    <col min="9" max="254" width="7.109375" style="191"/>
    <col min="255" max="255" width="4.109375" style="191" bestFit="1" customWidth="1"/>
    <col min="256" max="256" width="9.88671875" style="191" bestFit="1" customWidth="1"/>
    <col min="257" max="257" width="6.44140625" style="191" bestFit="1" customWidth="1"/>
    <col min="258" max="258" width="40.33203125" style="191" bestFit="1" customWidth="1"/>
    <col min="259" max="259" width="16.33203125" style="191" bestFit="1" customWidth="1"/>
    <col min="260" max="260" width="39.5546875" style="191" bestFit="1" customWidth="1"/>
    <col min="261" max="261" width="13.5546875" style="191" bestFit="1" customWidth="1"/>
    <col min="262" max="262" width="16.33203125" style="191" bestFit="1" customWidth="1"/>
    <col min="263" max="263" width="15.5546875" style="191" bestFit="1" customWidth="1"/>
    <col min="264" max="264" width="8.88671875" style="191" customWidth="1"/>
    <col min="265" max="510" width="7.109375" style="191"/>
    <col min="511" max="511" width="4.109375" style="191" bestFit="1" customWidth="1"/>
    <col min="512" max="512" width="9.88671875" style="191" bestFit="1" customWidth="1"/>
    <col min="513" max="513" width="6.44140625" style="191" bestFit="1" customWidth="1"/>
    <col min="514" max="514" width="40.33203125" style="191" bestFit="1" customWidth="1"/>
    <col min="515" max="515" width="16.33203125" style="191" bestFit="1" customWidth="1"/>
    <col min="516" max="516" width="39.5546875" style="191" bestFit="1" customWidth="1"/>
    <col min="517" max="517" width="13.5546875" style="191" bestFit="1" customWidth="1"/>
    <col min="518" max="518" width="16.33203125" style="191" bestFit="1" customWidth="1"/>
    <col min="519" max="519" width="15.5546875" style="191" bestFit="1" customWidth="1"/>
    <col min="520" max="520" width="8.88671875" style="191" customWidth="1"/>
    <col min="521" max="766" width="7.109375" style="191"/>
    <col min="767" max="767" width="4.109375" style="191" bestFit="1" customWidth="1"/>
    <col min="768" max="768" width="9.88671875" style="191" bestFit="1" customWidth="1"/>
    <col min="769" max="769" width="6.44140625" style="191" bestFit="1" customWidth="1"/>
    <col min="770" max="770" width="40.33203125" style="191" bestFit="1" customWidth="1"/>
    <col min="771" max="771" width="16.33203125" style="191" bestFit="1" customWidth="1"/>
    <col min="772" max="772" width="39.5546875" style="191" bestFit="1" customWidth="1"/>
    <col min="773" max="773" width="13.5546875" style="191" bestFit="1" customWidth="1"/>
    <col min="774" max="774" width="16.33203125" style="191" bestFit="1" customWidth="1"/>
    <col min="775" max="775" width="15.5546875" style="191" bestFit="1" customWidth="1"/>
    <col min="776" max="776" width="8.88671875" style="191" customWidth="1"/>
    <col min="777" max="1022" width="7.109375" style="191"/>
    <col min="1023" max="1023" width="4.109375" style="191" bestFit="1" customWidth="1"/>
    <col min="1024" max="1024" width="9.88671875" style="191" bestFit="1" customWidth="1"/>
    <col min="1025" max="1025" width="6.44140625" style="191" bestFit="1" customWidth="1"/>
    <col min="1026" max="1026" width="40.33203125" style="191" bestFit="1" customWidth="1"/>
    <col min="1027" max="1027" width="16.33203125" style="191" bestFit="1" customWidth="1"/>
    <col min="1028" max="1028" width="39.5546875" style="191" bestFit="1" customWidth="1"/>
    <col min="1029" max="1029" width="13.5546875" style="191" bestFit="1" customWidth="1"/>
    <col min="1030" max="1030" width="16.33203125" style="191" bestFit="1" customWidth="1"/>
    <col min="1031" max="1031" width="15.5546875" style="191" bestFit="1" customWidth="1"/>
    <col min="1032" max="1032" width="8.88671875" style="191" customWidth="1"/>
    <col min="1033" max="1278" width="7.109375" style="191"/>
    <col min="1279" max="1279" width="4.109375" style="191" bestFit="1" customWidth="1"/>
    <col min="1280" max="1280" width="9.88671875" style="191" bestFit="1" customWidth="1"/>
    <col min="1281" max="1281" width="6.44140625" style="191" bestFit="1" customWidth="1"/>
    <col min="1282" max="1282" width="40.33203125" style="191" bestFit="1" customWidth="1"/>
    <col min="1283" max="1283" width="16.33203125" style="191" bestFit="1" customWidth="1"/>
    <col min="1284" max="1284" width="39.5546875" style="191" bestFit="1" customWidth="1"/>
    <col min="1285" max="1285" width="13.5546875" style="191" bestFit="1" customWidth="1"/>
    <col min="1286" max="1286" width="16.33203125" style="191" bestFit="1" customWidth="1"/>
    <col min="1287" max="1287" width="15.5546875" style="191" bestFit="1" customWidth="1"/>
    <col min="1288" max="1288" width="8.88671875" style="191" customWidth="1"/>
    <col min="1289" max="1534" width="7.109375" style="191"/>
    <col min="1535" max="1535" width="4.109375" style="191" bestFit="1" customWidth="1"/>
    <col min="1536" max="1536" width="9.88671875" style="191" bestFit="1" customWidth="1"/>
    <col min="1537" max="1537" width="6.44140625" style="191" bestFit="1" customWidth="1"/>
    <col min="1538" max="1538" width="40.33203125" style="191" bestFit="1" customWidth="1"/>
    <col min="1539" max="1539" width="16.33203125" style="191" bestFit="1" customWidth="1"/>
    <col min="1540" max="1540" width="39.5546875" style="191" bestFit="1" customWidth="1"/>
    <col min="1541" max="1541" width="13.5546875" style="191" bestFit="1" customWidth="1"/>
    <col min="1542" max="1542" width="16.33203125" style="191" bestFit="1" customWidth="1"/>
    <col min="1543" max="1543" width="15.5546875" style="191" bestFit="1" customWidth="1"/>
    <col min="1544" max="1544" width="8.88671875" style="191" customWidth="1"/>
    <col min="1545" max="1790" width="7.109375" style="191"/>
    <col min="1791" max="1791" width="4.109375" style="191" bestFit="1" customWidth="1"/>
    <col min="1792" max="1792" width="9.88671875" style="191" bestFit="1" customWidth="1"/>
    <col min="1793" max="1793" width="6.44140625" style="191" bestFit="1" customWidth="1"/>
    <col min="1794" max="1794" width="40.33203125" style="191" bestFit="1" customWidth="1"/>
    <col min="1795" max="1795" width="16.33203125" style="191" bestFit="1" customWidth="1"/>
    <col min="1796" max="1796" width="39.5546875" style="191" bestFit="1" customWidth="1"/>
    <col min="1797" max="1797" width="13.5546875" style="191" bestFit="1" customWidth="1"/>
    <col min="1798" max="1798" width="16.33203125" style="191" bestFit="1" customWidth="1"/>
    <col min="1799" max="1799" width="15.5546875" style="191" bestFit="1" customWidth="1"/>
    <col min="1800" max="1800" width="8.88671875" style="191" customWidth="1"/>
    <col min="1801" max="2046" width="7.109375" style="191"/>
    <col min="2047" max="2047" width="4.109375" style="191" bestFit="1" customWidth="1"/>
    <col min="2048" max="2048" width="9.88671875" style="191" bestFit="1" customWidth="1"/>
    <col min="2049" max="2049" width="6.44140625" style="191" bestFit="1" customWidth="1"/>
    <col min="2050" max="2050" width="40.33203125" style="191" bestFit="1" customWidth="1"/>
    <col min="2051" max="2051" width="16.33203125" style="191" bestFit="1" customWidth="1"/>
    <col min="2052" max="2052" width="39.5546875" style="191" bestFit="1" customWidth="1"/>
    <col min="2053" max="2053" width="13.5546875" style="191" bestFit="1" customWidth="1"/>
    <col min="2054" max="2054" width="16.33203125" style="191" bestFit="1" customWidth="1"/>
    <col min="2055" max="2055" width="15.5546875" style="191" bestFit="1" customWidth="1"/>
    <col min="2056" max="2056" width="8.88671875" style="191" customWidth="1"/>
    <col min="2057" max="2302" width="7.109375" style="191"/>
    <col min="2303" max="2303" width="4.109375" style="191" bestFit="1" customWidth="1"/>
    <col min="2304" max="2304" width="9.88671875" style="191" bestFit="1" customWidth="1"/>
    <col min="2305" max="2305" width="6.44140625" style="191" bestFit="1" customWidth="1"/>
    <col min="2306" max="2306" width="40.33203125" style="191" bestFit="1" customWidth="1"/>
    <col min="2307" max="2307" width="16.33203125" style="191" bestFit="1" customWidth="1"/>
    <col min="2308" max="2308" width="39.5546875" style="191" bestFit="1" customWidth="1"/>
    <col min="2309" max="2309" width="13.5546875" style="191" bestFit="1" customWidth="1"/>
    <col min="2310" max="2310" width="16.33203125" style="191" bestFit="1" customWidth="1"/>
    <col min="2311" max="2311" width="15.5546875" style="191" bestFit="1" customWidth="1"/>
    <col min="2312" max="2312" width="8.88671875" style="191" customWidth="1"/>
    <col min="2313" max="2558" width="7.109375" style="191"/>
    <col min="2559" max="2559" width="4.109375" style="191" bestFit="1" customWidth="1"/>
    <col min="2560" max="2560" width="9.88671875" style="191" bestFit="1" customWidth="1"/>
    <col min="2561" max="2561" width="6.44140625" style="191" bestFit="1" customWidth="1"/>
    <col min="2562" max="2562" width="40.33203125" style="191" bestFit="1" customWidth="1"/>
    <col min="2563" max="2563" width="16.33203125" style="191" bestFit="1" customWidth="1"/>
    <col min="2564" max="2564" width="39.5546875" style="191" bestFit="1" customWidth="1"/>
    <col min="2565" max="2565" width="13.5546875" style="191" bestFit="1" customWidth="1"/>
    <col min="2566" max="2566" width="16.33203125" style="191" bestFit="1" customWidth="1"/>
    <col min="2567" max="2567" width="15.5546875" style="191" bestFit="1" customWidth="1"/>
    <col min="2568" max="2568" width="8.88671875" style="191" customWidth="1"/>
    <col min="2569" max="2814" width="7.109375" style="191"/>
    <col min="2815" max="2815" width="4.109375" style="191" bestFit="1" customWidth="1"/>
    <col min="2816" max="2816" width="9.88671875" style="191" bestFit="1" customWidth="1"/>
    <col min="2817" max="2817" width="6.44140625" style="191" bestFit="1" customWidth="1"/>
    <col min="2818" max="2818" width="40.33203125" style="191" bestFit="1" customWidth="1"/>
    <col min="2819" max="2819" width="16.33203125" style="191" bestFit="1" customWidth="1"/>
    <col min="2820" max="2820" width="39.5546875" style="191" bestFit="1" customWidth="1"/>
    <col min="2821" max="2821" width="13.5546875" style="191" bestFit="1" customWidth="1"/>
    <col min="2822" max="2822" width="16.33203125" style="191" bestFit="1" customWidth="1"/>
    <col min="2823" max="2823" width="15.5546875" style="191" bestFit="1" customWidth="1"/>
    <col min="2824" max="2824" width="8.88671875" style="191" customWidth="1"/>
    <col min="2825" max="3070" width="7.109375" style="191"/>
    <col min="3071" max="3071" width="4.109375" style="191" bestFit="1" customWidth="1"/>
    <col min="3072" max="3072" width="9.88671875" style="191" bestFit="1" customWidth="1"/>
    <col min="3073" max="3073" width="6.44140625" style="191" bestFit="1" customWidth="1"/>
    <col min="3074" max="3074" width="40.33203125" style="191" bestFit="1" customWidth="1"/>
    <col min="3075" max="3075" width="16.33203125" style="191" bestFit="1" customWidth="1"/>
    <col min="3076" max="3076" width="39.5546875" style="191" bestFit="1" customWidth="1"/>
    <col min="3077" max="3077" width="13.5546875" style="191" bestFit="1" customWidth="1"/>
    <col min="3078" max="3078" width="16.33203125" style="191" bestFit="1" customWidth="1"/>
    <col min="3079" max="3079" width="15.5546875" style="191" bestFit="1" customWidth="1"/>
    <col min="3080" max="3080" width="8.88671875" style="191" customWidth="1"/>
    <col min="3081" max="3326" width="7.109375" style="191"/>
    <col min="3327" max="3327" width="4.109375" style="191" bestFit="1" customWidth="1"/>
    <col min="3328" max="3328" width="9.88671875" style="191" bestFit="1" customWidth="1"/>
    <col min="3329" max="3329" width="6.44140625" style="191" bestFit="1" customWidth="1"/>
    <col min="3330" max="3330" width="40.33203125" style="191" bestFit="1" customWidth="1"/>
    <col min="3331" max="3331" width="16.33203125" style="191" bestFit="1" customWidth="1"/>
    <col min="3332" max="3332" width="39.5546875" style="191" bestFit="1" customWidth="1"/>
    <col min="3333" max="3333" width="13.5546875" style="191" bestFit="1" customWidth="1"/>
    <col min="3334" max="3334" width="16.33203125" style="191" bestFit="1" customWidth="1"/>
    <col min="3335" max="3335" width="15.5546875" style="191" bestFit="1" customWidth="1"/>
    <col min="3336" max="3336" width="8.88671875" style="191" customWidth="1"/>
    <col min="3337" max="3582" width="7.109375" style="191"/>
    <col min="3583" max="3583" width="4.109375" style="191" bestFit="1" customWidth="1"/>
    <col min="3584" max="3584" width="9.88671875" style="191" bestFit="1" customWidth="1"/>
    <col min="3585" max="3585" width="6.44140625" style="191" bestFit="1" customWidth="1"/>
    <col min="3586" max="3586" width="40.33203125" style="191" bestFit="1" customWidth="1"/>
    <col min="3587" max="3587" width="16.33203125" style="191" bestFit="1" customWidth="1"/>
    <col min="3588" max="3588" width="39.5546875" style="191" bestFit="1" customWidth="1"/>
    <col min="3589" max="3589" width="13.5546875" style="191" bestFit="1" customWidth="1"/>
    <col min="3590" max="3590" width="16.33203125" style="191" bestFit="1" customWidth="1"/>
    <col min="3591" max="3591" width="15.5546875" style="191" bestFit="1" customWidth="1"/>
    <col min="3592" max="3592" width="8.88671875" style="191" customWidth="1"/>
    <col min="3593" max="3838" width="7.109375" style="191"/>
    <col min="3839" max="3839" width="4.109375" style="191" bestFit="1" customWidth="1"/>
    <col min="3840" max="3840" width="9.88671875" style="191" bestFit="1" customWidth="1"/>
    <col min="3841" max="3841" width="6.44140625" style="191" bestFit="1" customWidth="1"/>
    <col min="3842" max="3842" width="40.33203125" style="191" bestFit="1" customWidth="1"/>
    <col min="3843" max="3843" width="16.33203125" style="191" bestFit="1" customWidth="1"/>
    <col min="3844" max="3844" width="39.5546875" style="191" bestFit="1" customWidth="1"/>
    <col min="3845" max="3845" width="13.5546875" style="191" bestFit="1" customWidth="1"/>
    <col min="3846" max="3846" width="16.33203125" style="191" bestFit="1" customWidth="1"/>
    <col min="3847" max="3847" width="15.5546875" style="191" bestFit="1" customWidth="1"/>
    <col min="3848" max="3848" width="8.88671875" style="191" customWidth="1"/>
    <col min="3849" max="4094" width="7.109375" style="191"/>
    <col min="4095" max="4095" width="4.109375" style="191" bestFit="1" customWidth="1"/>
    <col min="4096" max="4096" width="9.88671875" style="191" bestFit="1" customWidth="1"/>
    <col min="4097" max="4097" width="6.44140625" style="191" bestFit="1" customWidth="1"/>
    <col min="4098" max="4098" width="40.33203125" style="191" bestFit="1" customWidth="1"/>
    <col min="4099" max="4099" width="16.33203125" style="191" bestFit="1" customWidth="1"/>
    <col min="4100" max="4100" width="39.5546875" style="191" bestFit="1" customWidth="1"/>
    <col min="4101" max="4101" width="13.5546875" style="191" bestFit="1" customWidth="1"/>
    <col min="4102" max="4102" width="16.33203125" style="191" bestFit="1" customWidth="1"/>
    <col min="4103" max="4103" width="15.5546875" style="191" bestFit="1" customWidth="1"/>
    <col min="4104" max="4104" width="8.88671875" style="191" customWidth="1"/>
    <col min="4105" max="4350" width="7.109375" style="191"/>
    <col min="4351" max="4351" width="4.109375" style="191" bestFit="1" customWidth="1"/>
    <col min="4352" max="4352" width="9.88671875" style="191" bestFit="1" customWidth="1"/>
    <col min="4353" max="4353" width="6.44140625" style="191" bestFit="1" customWidth="1"/>
    <col min="4354" max="4354" width="40.33203125" style="191" bestFit="1" customWidth="1"/>
    <col min="4355" max="4355" width="16.33203125" style="191" bestFit="1" customWidth="1"/>
    <col min="4356" max="4356" width="39.5546875" style="191" bestFit="1" customWidth="1"/>
    <col min="4357" max="4357" width="13.5546875" style="191" bestFit="1" customWidth="1"/>
    <col min="4358" max="4358" width="16.33203125" style="191" bestFit="1" customWidth="1"/>
    <col min="4359" max="4359" width="15.5546875" style="191" bestFit="1" customWidth="1"/>
    <col min="4360" max="4360" width="8.88671875" style="191" customWidth="1"/>
    <col min="4361" max="4606" width="7.109375" style="191"/>
    <col min="4607" max="4607" width="4.109375" style="191" bestFit="1" customWidth="1"/>
    <col min="4608" max="4608" width="9.88671875" style="191" bestFit="1" customWidth="1"/>
    <col min="4609" max="4609" width="6.44140625" style="191" bestFit="1" customWidth="1"/>
    <col min="4610" max="4610" width="40.33203125" style="191" bestFit="1" customWidth="1"/>
    <col min="4611" max="4611" width="16.33203125" style="191" bestFit="1" customWidth="1"/>
    <col min="4612" max="4612" width="39.5546875" style="191" bestFit="1" customWidth="1"/>
    <col min="4613" max="4613" width="13.5546875" style="191" bestFit="1" customWidth="1"/>
    <col min="4614" max="4614" width="16.33203125" style="191" bestFit="1" customWidth="1"/>
    <col min="4615" max="4615" width="15.5546875" style="191" bestFit="1" customWidth="1"/>
    <col min="4616" max="4616" width="8.88671875" style="191" customWidth="1"/>
    <col min="4617" max="4862" width="7.109375" style="191"/>
    <col min="4863" max="4863" width="4.109375" style="191" bestFit="1" customWidth="1"/>
    <col min="4864" max="4864" width="9.88671875" style="191" bestFit="1" customWidth="1"/>
    <col min="4865" max="4865" width="6.44140625" style="191" bestFit="1" customWidth="1"/>
    <col min="4866" max="4866" width="40.33203125" style="191" bestFit="1" customWidth="1"/>
    <col min="4867" max="4867" width="16.33203125" style="191" bestFit="1" customWidth="1"/>
    <col min="4868" max="4868" width="39.5546875" style="191" bestFit="1" customWidth="1"/>
    <col min="4869" max="4869" width="13.5546875" style="191" bestFit="1" customWidth="1"/>
    <col min="4870" max="4870" width="16.33203125" style="191" bestFit="1" customWidth="1"/>
    <col min="4871" max="4871" width="15.5546875" style="191" bestFit="1" customWidth="1"/>
    <col min="4872" max="4872" width="8.88671875" style="191" customWidth="1"/>
    <col min="4873" max="5118" width="7.109375" style="191"/>
    <col min="5119" max="5119" width="4.109375" style="191" bestFit="1" customWidth="1"/>
    <col min="5120" max="5120" width="9.88671875" style="191" bestFit="1" customWidth="1"/>
    <col min="5121" max="5121" width="6.44140625" style="191" bestFit="1" customWidth="1"/>
    <col min="5122" max="5122" width="40.33203125" style="191" bestFit="1" customWidth="1"/>
    <col min="5123" max="5123" width="16.33203125" style="191" bestFit="1" customWidth="1"/>
    <col min="5124" max="5124" width="39.5546875" style="191" bestFit="1" customWidth="1"/>
    <col min="5125" max="5125" width="13.5546875" style="191" bestFit="1" customWidth="1"/>
    <col min="5126" max="5126" width="16.33203125" style="191" bestFit="1" customWidth="1"/>
    <col min="5127" max="5127" width="15.5546875" style="191" bestFit="1" customWidth="1"/>
    <col min="5128" max="5128" width="8.88671875" style="191" customWidth="1"/>
    <col min="5129" max="5374" width="7.109375" style="191"/>
    <col min="5375" max="5375" width="4.109375" style="191" bestFit="1" customWidth="1"/>
    <col min="5376" max="5376" width="9.88671875" style="191" bestFit="1" customWidth="1"/>
    <col min="5377" max="5377" width="6.44140625" style="191" bestFit="1" customWidth="1"/>
    <col min="5378" max="5378" width="40.33203125" style="191" bestFit="1" customWidth="1"/>
    <col min="5379" max="5379" width="16.33203125" style="191" bestFit="1" customWidth="1"/>
    <col min="5380" max="5380" width="39.5546875" style="191" bestFit="1" customWidth="1"/>
    <col min="5381" max="5381" width="13.5546875" style="191" bestFit="1" customWidth="1"/>
    <col min="5382" max="5382" width="16.33203125" style="191" bestFit="1" customWidth="1"/>
    <col min="5383" max="5383" width="15.5546875" style="191" bestFit="1" customWidth="1"/>
    <col min="5384" max="5384" width="8.88671875" style="191" customWidth="1"/>
    <col min="5385" max="5630" width="7.109375" style="191"/>
    <col min="5631" max="5631" width="4.109375" style="191" bestFit="1" customWidth="1"/>
    <col min="5632" max="5632" width="9.88671875" style="191" bestFit="1" customWidth="1"/>
    <col min="5633" max="5633" width="6.44140625" style="191" bestFit="1" customWidth="1"/>
    <col min="5634" max="5634" width="40.33203125" style="191" bestFit="1" customWidth="1"/>
    <col min="5635" max="5635" width="16.33203125" style="191" bestFit="1" customWidth="1"/>
    <col min="5636" max="5636" width="39.5546875" style="191" bestFit="1" customWidth="1"/>
    <col min="5637" max="5637" width="13.5546875" style="191" bestFit="1" customWidth="1"/>
    <col min="5638" max="5638" width="16.33203125" style="191" bestFit="1" customWidth="1"/>
    <col min="5639" max="5639" width="15.5546875" style="191" bestFit="1" customWidth="1"/>
    <col min="5640" max="5640" width="8.88671875" style="191" customWidth="1"/>
    <col min="5641" max="5886" width="7.109375" style="191"/>
    <col min="5887" max="5887" width="4.109375" style="191" bestFit="1" customWidth="1"/>
    <col min="5888" max="5888" width="9.88671875" style="191" bestFit="1" customWidth="1"/>
    <col min="5889" max="5889" width="6.44140625" style="191" bestFit="1" customWidth="1"/>
    <col min="5890" max="5890" width="40.33203125" style="191" bestFit="1" customWidth="1"/>
    <col min="5891" max="5891" width="16.33203125" style="191" bestFit="1" customWidth="1"/>
    <col min="5892" max="5892" width="39.5546875" style="191" bestFit="1" customWidth="1"/>
    <col min="5893" max="5893" width="13.5546875" style="191" bestFit="1" customWidth="1"/>
    <col min="5894" max="5894" width="16.33203125" style="191" bestFit="1" customWidth="1"/>
    <col min="5895" max="5895" width="15.5546875" style="191" bestFit="1" customWidth="1"/>
    <col min="5896" max="5896" width="8.88671875" style="191" customWidth="1"/>
    <col min="5897" max="6142" width="7.109375" style="191"/>
    <col min="6143" max="6143" width="4.109375" style="191" bestFit="1" customWidth="1"/>
    <col min="6144" max="6144" width="9.88671875" style="191" bestFit="1" customWidth="1"/>
    <col min="6145" max="6145" width="6.44140625" style="191" bestFit="1" customWidth="1"/>
    <col min="6146" max="6146" width="40.33203125" style="191" bestFit="1" customWidth="1"/>
    <col min="6147" max="6147" width="16.33203125" style="191" bestFit="1" customWidth="1"/>
    <col min="6148" max="6148" width="39.5546875" style="191" bestFit="1" customWidth="1"/>
    <col min="6149" max="6149" width="13.5546875" style="191" bestFit="1" customWidth="1"/>
    <col min="6150" max="6150" width="16.33203125" style="191" bestFit="1" customWidth="1"/>
    <col min="6151" max="6151" width="15.5546875" style="191" bestFit="1" customWidth="1"/>
    <col min="6152" max="6152" width="8.88671875" style="191" customWidth="1"/>
    <col min="6153" max="6398" width="7.109375" style="191"/>
    <col min="6399" max="6399" width="4.109375" style="191" bestFit="1" customWidth="1"/>
    <col min="6400" max="6400" width="9.88671875" style="191" bestFit="1" customWidth="1"/>
    <col min="6401" max="6401" width="6.44140625" style="191" bestFit="1" customWidth="1"/>
    <col min="6402" max="6402" width="40.33203125" style="191" bestFit="1" customWidth="1"/>
    <col min="6403" max="6403" width="16.33203125" style="191" bestFit="1" customWidth="1"/>
    <col min="6404" max="6404" width="39.5546875" style="191" bestFit="1" customWidth="1"/>
    <col min="6405" max="6405" width="13.5546875" style="191" bestFit="1" customWidth="1"/>
    <col min="6406" max="6406" width="16.33203125" style="191" bestFit="1" customWidth="1"/>
    <col min="6407" max="6407" width="15.5546875" style="191" bestFit="1" customWidth="1"/>
    <col min="6408" max="6408" width="8.88671875" style="191" customWidth="1"/>
    <col min="6409" max="6654" width="7.109375" style="191"/>
    <col min="6655" max="6655" width="4.109375" style="191" bestFit="1" customWidth="1"/>
    <col min="6656" max="6656" width="9.88671875" style="191" bestFit="1" customWidth="1"/>
    <col min="6657" max="6657" width="6.44140625" style="191" bestFit="1" customWidth="1"/>
    <col min="6658" max="6658" width="40.33203125" style="191" bestFit="1" customWidth="1"/>
    <col min="6659" max="6659" width="16.33203125" style="191" bestFit="1" customWidth="1"/>
    <col min="6660" max="6660" width="39.5546875" style="191" bestFit="1" customWidth="1"/>
    <col min="6661" max="6661" width="13.5546875" style="191" bestFit="1" customWidth="1"/>
    <col min="6662" max="6662" width="16.33203125" style="191" bestFit="1" customWidth="1"/>
    <col min="6663" max="6663" width="15.5546875" style="191" bestFit="1" customWidth="1"/>
    <col min="6664" max="6664" width="8.88671875" style="191" customWidth="1"/>
    <col min="6665" max="6910" width="7.109375" style="191"/>
    <col min="6911" max="6911" width="4.109375" style="191" bestFit="1" customWidth="1"/>
    <col min="6912" max="6912" width="9.88671875" style="191" bestFit="1" customWidth="1"/>
    <col min="6913" max="6913" width="6.44140625" style="191" bestFit="1" customWidth="1"/>
    <col min="6914" max="6914" width="40.33203125" style="191" bestFit="1" customWidth="1"/>
    <col min="6915" max="6915" width="16.33203125" style="191" bestFit="1" customWidth="1"/>
    <col min="6916" max="6916" width="39.5546875" style="191" bestFit="1" customWidth="1"/>
    <col min="6917" max="6917" width="13.5546875" style="191" bestFit="1" customWidth="1"/>
    <col min="6918" max="6918" width="16.33203125" style="191" bestFit="1" customWidth="1"/>
    <col min="6919" max="6919" width="15.5546875" style="191" bestFit="1" customWidth="1"/>
    <col min="6920" max="6920" width="8.88671875" style="191" customWidth="1"/>
    <col min="6921" max="7166" width="7.109375" style="191"/>
    <col min="7167" max="7167" width="4.109375" style="191" bestFit="1" customWidth="1"/>
    <col min="7168" max="7168" width="9.88671875" style="191" bestFit="1" customWidth="1"/>
    <col min="7169" max="7169" width="6.44140625" style="191" bestFit="1" customWidth="1"/>
    <col min="7170" max="7170" width="40.33203125" style="191" bestFit="1" customWidth="1"/>
    <col min="7171" max="7171" width="16.33203125" style="191" bestFit="1" customWidth="1"/>
    <col min="7172" max="7172" width="39.5546875" style="191" bestFit="1" customWidth="1"/>
    <col min="7173" max="7173" width="13.5546875" style="191" bestFit="1" customWidth="1"/>
    <col min="7174" max="7174" width="16.33203125" style="191" bestFit="1" customWidth="1"/>
    <col min="7175" max="7175" width="15.5546875" style="191" bestFit="1" customWidth="1"/>
    <col min="7176" max="7176" width="8.88671875" style="191" customWidth="1"/>
    <col min="7177" max="7422" width="7.109375" style="191"/>
    <col min="7423" max="7423" width="4.109375" style="191" bestFit="1" customWidth="1"/>
    <col min="7424" max="7424" width="9.88671875" style="191" bestFit="1" customWidth="1"/>
    <col min="7425" max="7425" width="6.44140625" style="191" bestFit="1" customWidth="1"/>
    <col min="7426" max="7426" width="40.33203125" style="191" bestFit="1" customWidth="1"/>
    <col min="7427" max="7427" width="16.33203125" style="191" bestFit="1" customWidth="1"/>
    <col min="7428" max="7428" width="39.5546875" style="191" bestFit="1" customWidth="1"/>
    <col min="7429" max="7429" width="13.5546875" style="191" bestFit="1" customWidth="1"/>
    <col min="7430" max="7430" width="16.33203125" style="191" bestFit="1" customWidth="1"/>
    <col min="7431" max="7431" width="15.5546875" style="191" bestFit="1" customWidth="1"/>
    <col min="7432" max="7432" width="8.88671875" style="191" customWidth="1"/>
    <col min="7433" max="7678" width="7.109375" style="191"/>
    <col min="7679" max="7679" width="4.109375" style="191" bestFit="1" customWidth="1"/>
    <col min="7680" max="7680" width="9.88671875" style="191" bestFit="1" customWidth="1"/>
    <col min="7681" max="7681" width="6.44140625" style="191" bestFit="1" customWidth="1"/>
    <col min="7682" max="7682" width="40.33203125" style="191" bestFit="1" customWidth="1"/>
    <col min="7683" max="7683" width="16.33203125" style="191" bestFit="1" customWidth="1"/>
    <col min="7684" max="7684" width="39.5546875" style="191" bestFit="1" customWidth="1"/>
    <col min="7685" max="7685" width="13.5546875" style="191" bestFit="1" customWidth="1"/>
    <col min="7686" max="7686" width="16.33203125" style="191" bestFit="1" customWidth="1"/>
    <col min="7687" max="7687" width="15.5546875" style="191" bestFit="1" customWidth="1"/>
    <col min="7688" max="7688" width="8.88671875" style="191" customWidth="1"/>
    <col min="7689" max="7934" width="7.109375" style="191"/>
    <col min="7935" max="7935" width="4.109375" style="191" bestFit="1" customWidth="1"/>
    <col min="7936" max="7936" width="9.88671875" style="191" bestFit="1" customWidth="1"/>
    <col min="7937" max="7937" width="6.44140625" style="191" bestFit="1" customWidth="1"/>
    <col min="7938" max="7938" width="40.33203125" style="191" bestFit="1" customWidth="1"/>
    <col min="7939" max="7939" width="16.33203125" style="191" bestFit="1" customWidth="1"/>
    <col min="7940" max="7940" width="39.5546875" style="191" bestFit="1" customWidth="1"/>
    <col min="7941" max="7941" width="13.5546875" style="191" bestFit="1" customWidth="1"/>
    <col min="7942" max="7942" width="16.33203125" style="191" bestFit="1" customWidth="1"/>
    <col min="7943" max="7943" width="15.5546875" style="191" bestFit="1" customWidth="1"/>
    <col min="7944" max="7944" width="8.88671875" style="191" customWidth="1"/>
    <col min="7945" max="8190" width="7.109375" style="191"/>
    <col min="8191" max="8191" width="4.109375" style="191" bestFit="1" customWidth="1"/>
    <col min="8192" max="8192" width="9.88671875" style="191" bestFit="1" customWidth="1"/>
    <col min="8193" max="8193" width="6.44140625" style="191" bestFit="1" customWidth="1"/>
    <col min="8194" max="8194" width="40.33203125" style="191" bestFit="1" customWidth="1"/>
    <col min="8195" max="8195" width="16.33203125" style="191" bestFit="1" customWidth="1"/>
    <col min="8196" max="8196" width="39.5546875" style="191" bestFit="1" customWidth="1"/>
    <col min="8197" max="8197" width="13.5546875" style="191" bestFit="1" customWidth="1"/>
    <col min="8198" max="8198" width="16.33203125" style="191" bestFit="1" customWidth="1"/>
    <col min="8199" max="8199" width="15.5546875" style="191" bestFit="1" customWidth="1"/>
    <col min="8200" max="8200" width="8.88671875" style="191" customWidth="1"/>
    <col min="8201" max="8446" width="7.109375" style="191"/>
    <col min="8447" max="8447" width="4.109375" style="191" bestFit="1" customWidth="1"/>
    <col min="8448" max="8448" width="9.88671875" style="191" bestFit="1" customWidth="1"/>
    <col min="8449" max="8449" width="6.44140625" style="191" bestFit="1" customWidth="1"/>
    <col min="8450" max="8450" width="40.33203125" style="191" bestFit="1" customWidth="1"/>
    <col min="8451" max="8451" width="16.33203125" style="191" bestFit="1" customWidth="1"/>
    <col min="8452" max="8452" width="39.5546875" style="191" bestFit="1" customWidth="1"/>
    <col min="8453" max="8453" width="13.5546875" style="191" bestFit="1" customWidth="1"/>
    <col min="8454" max="8454" width="16.33203125" style="191" bestFit="1" customWidth="1"/>
    <col min="8455" max="8455" width="15.5546875" style="191" bestFit="1" customWidth="1"/>
    <col min="8456" max="8456" width="8.88671875" style="191" customWidth="1"/>
    <col min="8457" max="8702" width="7.109375" style="191"/>
    <col min="8703" max="8703" width="4.109375" style="191" bestFit="1" customWidth="1"/>
    <col min="8704" max="8704" width="9.88671875" style="191" bestFit="1" customWidth="1"/>
    <col min="8705" max="8705" width="6.44140625" style="191" bestFit="1" customWidth="1"/>
    <col min="8706" max="8706" width="40.33203125" style="191" bestFit="1" customWidth="1"/>
    <col min="8707" max="8707" width="16.33203125" style="191" bestFit="1" customWidth="1"/>
    <col min="8708" max="8708" width="39.5546875" style="191" bestFit="1" customWidth="1"/>
    <col min="8709" max="8709" width="13.5546875" style="191" bestFit="1" customWidth="1"/>
    <col min="8710" max="8710" width="16.33203125" style="191" bestFit="1" customWidth="1"/>
    <col min="8711" max="8711" width="15.5546875" style="191" bestFit="1" customWidth="1"/>
    <col min="8712" max="8712" width="8.88671875" style="191" customWidth="1"/>
    <col min="8713" max="8958" width="7.109375" style="191"/>
    <col min="8959" max="8959" width="4.109375" style="191" bestFit="1" customWidth="1"/>
    <col min="8960" max="8960" width="9.88671875" style="191" bestFit="1" customWidth="1"/>
    <col min="8961" max="8961" width="6.44140625" style="191" bestFit="1" customWidth="1"/>
    <col min="8962" max="8962" width="40.33203125" style="191" bestFit="1" customWidth="1"/>
    <col min="8963" max="8963" width="16.33203125" style="191" bestFit="1" customWidth="1"/>
    <col min="8964" max="8964" width="39.5546875" style="191" bestFit="1" customWidth="1"/>
    <col min="8965" max="8965" width="13.5546875" style="191" bestFit="1" customWidth="1"/>
    <col min="8966" max="8966" width="16.33203125" style="191" bestFit="1" customWidth="1"/>
    <col min="8967" max="8967" width="15.5546875" style="191" bestFit="1" customWidth="1"/>
    <col min="8968" max="8968" width="8.88671875" style="191" customWidth="1"/>
    <col min="8969" max="9214" width="7.109375" style="191"/>
    <col min="9215" max="9215" width="4.109375" style="191" bestFit="1" customWidth="1"/>
    <col min="9216" max="9216" width="9.88671875" style="191" bestFit="1" customWidth="1"/>
    <col min="9217" max="9217" width="6.44140625" style="191" bestFit="1" customWidth="1"/>
    <col min="9218" max="9218" width="40.33203125" style="191" bestFit="1" customWidth="1"/>
    <col min="9219" max="9219" width="16.33203125" style="191" bestFit="1" customWidth="1"/>
    <col min="9220" max="9220" width="39.5546875" style="191" bestFit="1" customWidth="1"/>
    <col min="9221" max="9221" width="13.5546875" style="191" bestFit="1" customWidth="1"/>
    <col min="9222" max="9222" width="16.33203125" style="191" bestFit="1" customWidth="1"/>
    <col min="9223" max="9223" width="15.5546875" style="191" bestFit="1" customWidth="1"/>
    <col min="9224" max="9224" width="8.88671875" style="191" customWidth="1"/>
    <col min="9225" max="9470" width="7.109375" style="191"/>
    <col min="9471" max="9471" width="4.109375" style="191" bestFit="1" customWidth="1"/>
    <col min="9472" max="9472" width="9.88671875" style="191" bestFit="1" customWidth="1"/>
    <col min="9473" max="9473" width="6.44140625" style="191" bestFit="1" customWidth="1"/>
    <col min="9474" max="9474" width="40.33203125" style="191" bestFit="1" customWidth="1"/>
    <col min="9475" max="9475" width="16.33203125" style="191" bestFit="1" customWidth="1"/>
    <col min="9476" max="9476" width="39.5546875" style="191" bestFit="1" customWidth="1"/>
    <col min="9477" max="9477" width="13.5546875" style="191" bestFit="1" customWidth="1"/>
    <col min="9478" max="9478" width="16.33203125" style="191" bestFit="1" customWidth="1"/>
    <col min="9479" max="9479" width="15.5546875" style="191" bestFit="1" customWidth="1"/>
    <col min="9480" max="9480" width="8.88671875" style="191" customWidth="1"/>
    <col min="9481" max="9726" width="7.109375" style="191"/>
    <col min="9727" max="9727" width="4.109375" style="191" bestFit="1" customWidth="1"/>
    <col min="9728" max="9728" width="9.88671875" style="191" bestFit="1" customWidth="1"/>
    <col min="9729" max="9729" width="6.44140625" style="191" bestFit="1" customWidth="1"/>
    <col min="9730" max="9730" width="40.33203125" style="191" bestFit="1" customWidth="1"/>
    <col min="9731" max="9731" width="16.33203125" style="191" bestFit="1" customWidth="1"/>
    <col min="9732" max="9732" width="39.5546875" style="191" bestFit="1" customWidth="1"/>
    <col min="9733" max="9733" width="13.5546875" style="191" bestFit="1" customWidth="1"/>
    <col min="9734" max="9734" width="16.33203125" style="191" bestFit="1" customWidth="1"/>
    <col min="9735" max="9735" width="15.5546875" style="191" bestFit="1" customWidth="1"/>
    <col min="9736" max="9736" width="8.88671875" style="191" customWidth="1"/>
    <col min="9737" max="9982" width="7.109375" style="191"/>
    <col min="9983" max="9983" width="4.109375" style="191" bestFit="1" customWidth="1"/>
    <col min="9984" max="9984" width="9.88671875" style="191" bestFit="1" customWidth="1"/>
    <col min="9985" max="9985" width="6.44140625" style="191" bestFit="1" customWidth="1"/>
    <col min="9986" max="9986" width="40.33203125" style="191" bestFit="1" customWidth="1"/>
    <col min="9987" max="9987" width="16.33203125" style="191" bestFit="1" customWidth="1"/>
    <col min="9988" max="9988" width="39.5546875" style="191" bestFit="1" customWidth="1"/>
    <col min="9989" max="9989" width="13.5546875" style="191" bestFit="1" customWidth="1"/>
    <col min="9990" max="9990" width="16.33203125" style="191" bestFit="1" customWidth="1"/>
    <col min="9991" max="9991" width="15.5546875" style="191" bestFit="1" customWidth="1"/>
    <col min="9992" max="9992" width="8.88671875" style="191" customWidth="1"/>
    <col min="9993" max="10238" width="7.109375" style="191"/>
    <col min="10239" max="10239" width="4.109375" style="191" bestFit="1" customWidth="1"/>
    <col min="10240" max="10240" width="9.88671875" style="191" bestFit="1" customWidth="1"/>
    <col min="10241" max="10241" width="6.44140625" style="191" bestFit="1" customWidth="1"/>
    <col min="10242" max="10242" width="40.33203125" style="191" bestFit="1" customWidth="1"/>
    <col min="10243" max="10243" width="16.33203125" style="191" bestFit="1" customWidth="1"/>
    <col min="10244" max="10244" width="39.5546875" style="191" bestFit="1" customWidth="1"/>
    <col min="10245" max="10245" width="13.5546875" style="191" bestFit="1" customWidth="1"/>
    <col min="10246" max="10246" width="16.33203125" style="191" bestFit="1" customWidth="1"/>
    <col min="10247" max="10247" width="15.5546875" style="191" bestFit="1" customWidth="1"/>
    <col min="10248" max="10248" width="8.88671875" style="191" customWidth="1"/>
    <col min="10249" max="10494" width="7.109375" style="191"/>
    <col min="10495" max="10495" width="4.109375" style="191" bestFit="1" customWidth="1"/>
    <col min="10496" max="10496" width="9.88671875" style="191" bestFit="1" customWidth="1"/>
    <col min="10497" max="10497" width="6.44140625" style="191" bestFit="1" customWidth="1"/>
    <col min="10498" max="10498" width="40.33203125" style="191" bestFit="1" customWidth="1"/>
    <col min="10499" max="10499" width="16.33203125" style="191" bestFit="1" customWidth="1"/>
    <col min="10500" max="10500" width="39.5546875" style="191" bestFit="1" customWidth="1"/>
    <col min="10501" max="10501" width="13.5546875" style="191" bestFit="1" customWidth="1"/>
    <col min="10502" max="10502" width="16.33203125" style="191" bestFit="1" customWidth="1"/>
    <col min="10503" max="10503" width="15.5546875" style="191" bestFit="1" customWidth="1"/>
    <col min="10504" max="10504" width="8.88671875" style="191" customWidth="1"/>
    <col min="10505" max="10750" width="7.109375" style="191"/>
    <col min="10751" max="10751" width="4.109375" style="191" bestFit="1" customWidth="1"/>
    <col min="10752" max="10752" width="9.88671875" style="191" bestFit="1" customWidth="1"/>
    <col min="10753" max="10753" width="6.44140625" style="191" bestFit="1" customWidth="1"/>
    <col min="10754" max="10754" width="40.33203125" style="191" bestFit="1" customWidth="1"/>
    <col min="10755" max="10755" width="16.33203125" style="191" bestFit="1" customWidth="1"/>
    <col min="10756" max="10756" width="39.5546875" style="191" bestFit="1" customWidth="1"/>
    <col min="10757" max="10757" width="13.5546875" style="191" bestFit="1" customWidth="1"/>
    <col min="10758" max="10758" width="16.33203125" style="191" bestFit="1" customWidth="1"/>
    <col min="10759" max="10759" width="15.5546875" style="191" bestFit="1" customWidth="1"/>
    <col min="10760" max="10760" width="8.88671875" style="191" customWidth="1"/>
    <col min="10761" max="11006" width="7.109375" style="191"/>
    <col min="11007" max="11007" width="4.109375" style="191" bestFit="1" customWidth="1"/>
    <col min="11008" max="11008" width="9.88671875" style="191" bestFit="1" customWidth="1"/>
    <col min="11009" max="11009" width="6.44140625" style="191" bestFit="1" customWidth="1"/>
    <col min="11010" max="11010" width="40.33203125" style="191" bestFit="1" customWidth="1"/>
    <col min="11011" max="11011" width="16.33203125" style="191" bestFit="1" customWidth="1"/>
    <col min="11012" max="11012" width="39.5546875" style="191" bestFit="1" customWidth="1"/>
    <col min="11013" max="11013" width="13.5546875" style="191" bestFit="1" customWidth="1"/>
    <col min="11014" max="11014" width="16.33203125" style="191" bestFit="1" customWidth="1"/>
    <col min="11015" max="11015" width="15.5546875" style="191" bestFit="1" customWidth="1"/>
    <col min="11016" max="11016" width="8.88671875" style="191" customWidth="1"/>
    <col min="11017" max="11262" width="7.109375" style="191"/>
    <col min="11263" max="11263" width="4.109375" style="191" bestFit="1" customWidth="1"/>
    <col min="11264" max="11264" width="9.88671875" style="191" bestFit="1" customWidth="1"/>
    <col min="11265" max="11265" width="6.44140625" style="191" bestFit="1" customWidth="1"/>
    <col min="11266" max="11266" width="40.33203125" style="191" bestFit="1" customWidth="1"/>
    <col min="11267" max="11267" width="16.33203125" style="191" bestFit="1" customWidth="1"/>
    <col min="11268" max="11268" width="39.5546875" style="191" bestFit="1" customWidth="1"/>
    <col min="11269" max="11269" width="13.5546875" style="191" bestFit="1" customWidth="1"/>
    <col min="11270" max="11270" width="16.33203125" style="191" bestFit="1" customWidth="1"/>
    <col min="11271" max="11271" width="15.5546875" style="191" bestFit="1" customWidth="1"/>
    <col min="11272" max="11272" width="8.88671875" style="191" customWidth="1"/>
    <col min="11273" max="11518" width="7.109375" style="191"/>
    <col min="11519" max="11519" width="4.109375" style="191" bestFit="1" customWidth="1"/>
    <col min="11520" max="11520" width="9.88671875" style="191" bestFit="1" customWidth="1"/>
    <col min="11521" max="11521" width="6.44140625" style="191" bestFit="1" customWidth="1"/>
    <col min="11522" max="11522" width="40.33203125" style="191" bestFit="1" customWidth="1"/>
    <col min="11523" max="11523" width="16.33203125" style="191" bestFit="1" customWidth="1"/>
    <col min="11524" max="11524" width="39.5546875" style="191" bestFit="1" customWidth="1"/>
    <col min="11525" max="11525" width="13.5546875" style="191" bestFit="1" customWidth="1"/>
    <col min="11526" max="11526" width="16.33203125" style="191" bestFit="1" customWidth="1"/>
    <col min="11527" max="11527" width="15.5546875" style="191" bestFit="1" customWidth="1"/>
    <col min="11528" max="11528" width="8.88671875" style="191" customWidth="1"/>
    <col min="11529" max="11774" width="7.109375" style="191"/>
    <col min="11775" max="11775" width="4.109375" style="191" bestFit="1" customWidth="1"/>
    <col min="11776" max="11776" width="9.88671875" style="191" bestFit="1" customWidth="1"/>
    <col min="11777" max="11777" width="6.44140625" style="191" bestFit="1" customWidth="1"/>
    <col min="11778" max="11778" width="40.33203125" style="191" bestFit="1" customWidth="1"/>
    <col min="11779" max="11779" width="16.33203125" style="191" bestFit="1" customWidth="1"/>
    <col min="11780" max="11780" width="39.5546875" style="191" bestFit="1" customWidth="1"/>
    <col min="11781" max="11781" width="13.5546875" style="191" bestFit="1" customWidth="1"/>
    <col min="11782" max="11782" width="16.33203125" style="191" bestFit="1" customWidth="1"/>
    <col min="11783" max="11783" width="15.5546875" style="191" bestFit="1" customWidth="1"/>
    <col min="11784" max="11784" width="8.88671875" style="191" customWidth="1"/>
    <col min="11785" max="12030" width="7.109375" style="191"/>
    <col min="12031" max="12031" width="4.109375" style="191" bestFit="1" customWidth="1"/>
    <col min="12032" max="12032" width="9.88671875" style="191" bestFit="1" customWidth="1"/>
    <col min="12033" max="12033" width="6.44140625" style="191" bestFit="1" customWidth="1"/>
    <col min="12034" max="12034" width="40.33203125" style="191" bestFit="1" customWidth="1"/>
    <col min="12035" max="12035" width="16.33203125" style="191" bestFit="1" customWidth="1"/>
    <col min="12036" max="12036" width="39.5546875" style="191" bestFit="1" customWidth="1"/>
    <col min="12037" max="12037" width="13.5546875" style="191" bestFit="1" customWidth="1"/>
    <col min="12038" max="12038" width="16.33203125" style="191" bestFit="1" customWidth="1"/>
    <col min="12039" max="12039" width="15.5546875" style="191" bestFit="1" customWidth="1"/>
    <col min="12040" max="12040" width="8.88671875" style="191" customWidth="1"/>
    <col min="12041" max="12286" width="7.109375" style="191"/>
    <col min="12287" max="12287" width="4.109375" style="191" bestFit="1" customWidth="1"/>
    <col min="12288" max="12288" width="9.88671875" style="191" bestFit="1" customWidth="1"/>
    <col min="12289" max="12289" width="6.44140625" style="191" bestFit="1" customWidth="1"/>
    <col min="12290" max="12290" width="40.33203125" style="191" bestFit="1" customWidth="1"/>
    <col min="12291" max="12291" width="16.33203125" style="191" bestFit="1" customWidth="1"/>
    <col min="12292" max="12292" width="39.5546875" style="191" bestFit="1" customWidth="1"/>
    <col min="12293" max="12293" width="13.5546875" style="191" bestFit="1" customWidth="1"/>
    <col min="12294" max="12294" width="16.33203125" style="191" bestFit="1" customWidth="1"/>
    <col min="12295" max="12295" width="15.5546875" style="191" bestFit="1" customWidth="1"/>
    <col min="12296" max="12296" width="8.88671875" style="191" customWidth="1"/>
    <col min="12297" max="12542" width="7.109375" style="191"/>
    <col min="12543" max="12543" width="4.109375" style="191" bestFit="1" customWidth="1"/>
    <col min="12544" max="12544" width="9.88671875" style="191" bestFit="1" customWidth="1"/>
    <col min="12545" max="12545" width="6.44140625" style="191" bestFit="1" customWidth="1"/>
    <col min="12546" max="12546" width="40.33203125" style="191" bestFit="1" customWidth="1"/>
    <col min="12547" max="12547" width="16.33203125" style="191" bestFit="1" customWidth="1"/>
    <col min="12548" max="12548" width="39.5546875" style="191" bestFit="1" customWidth="1"/>
    <col min="12549" max="12549" width="13.5546875" style="191" bestFit="1" customWidth="1"/>
    <col min="12550" max="12550" width="16.33203125" style="191" bestFit="1" customWidth="1"/>
    <col min="12551" max="12551" width="15.5546875" style="191" bestFit="1" customWidth="1"/>
    <col min="12552" max="12552" width="8.88671875" style="191" customWidth="1"/>
    <col min="12553" max="12798" width="7.109375" style="191"/>
    <col min="12799" max="12799" width="4.109375" style="191" bestFit="1" customWidth="1"/>
    <col min="12800" max="12800" width="9.88671875" style="191" bestFit="1" customWidth="1"/>
    <col min="12801" max="12801" width="6.44140625" style="191" bestFit="1" customWidth="1"/>
    <col min="12802" max="12802" width="40.33203125" style="191" bestFit="1" customWidth="1"/>
    <col min="12803" max="12803" width="16.33203125" style="191" bestFit="1" customWidth="1"/>
    <col min="12804" max="12804" width="39.5546875" style="191" bestFit="1" customWidth="1"/>
    <col min="12805" max="12805" width="13.5546875" style="191" bestFit="1" customWidth="1"/>
    <col min="12806" max="12806" width="16.33203125" style="191" bestFit="1" customWidth="1"/>
    <col min="12807" max="12807" width="15.5546875" style="191" bestFit="1" customWidth="1"/>
    <col min="12808" max="12808" width="8.88671875" style="191" customWidth="1"/>
    <col min="12809" max="13054" width="7.109375" style="191"/>
    <col min="13055" max="13055" width="4.109375" style="191" bestFit="1" customWidth="1"/>
    <col min="13056" max="13056" width="9.88671875" style="191" bestFit="1" customWidth="1"/>
    <col min="13057" max="13057" width="6.44140625" style="191" bestFit="1" customWidth="1"/>
    <col min="13058" max="13058" width="40.33203125" style="191" bestFit="1" customWidth="1"/>
    <col min="13059" max="13059" width="16.33203125" style="191" bestFit="1" customWidth="1"/>
    <col min="13060" max="13060" width="39.5546875" style="191" bestFit="1" customWidth="1"/>
    <col min="13061" max="13061" width="13.5546875" style="191" bestFit="1" customWidth="1"/>
    <col min="13062" max="13062" width="16.33203125" style="191" bestFit="1" customWidth="1"/>
    <col min="13063" max="13063" width="15.5546875" style="191" bestFit="1" customWidth="1"/>
    <col min="13064" max="13064" width="8.88671875" style="191" customWidth="1"/>
    <col min="13065" max="13310" width="7.109375" style="191"/>
    <col min="13311" max="13311" width="4.109375" style="191" bestFit="1" customWidth="1"/>
    <col min="13312" max="13312" width="9.88671875" style="191" bestFit="1" customWidth="1"/>
    <col min="13313" max="13313" width="6.44140625" style="191" bestFit="1" customWidth="1"/>
    <col min="13314" max="13314" width="40.33203125" style="191" bestFit="1" customWidth="1"/>
    <col min="13315" max="13315" width="16.33203125" style="191" bestFit="1" customWidth="1"/>
    <col min="13316" max="13316" width="39.5546875" style="191" bestFit="1" customWidth="1"/>
    <col min="13317" max="13317" width="13.5546875" style="191" bestFit="1" customWidth="1"/>
    <col min="13318" max="13318" width="16.33203125" style="191" bestFit="1" customWidth="1"/>
    <col min="13319" max="13319" width="15.5546875" style="191" bestFit="1" customWidth="1"/>
    <col min="13320" max="13320" width="8.88671875" style="191" customWidth="1"/>
    <col min="13321" max="13566" width="7.109375" style="191"/>
    <col min="13567" max="13567" width="4.109375" style="191" bestFit="1" customWidth="1"/>
    <col min="13568" max="13568" width="9.88671875" style="191" bestFit="1" customWidth="1"/>
    <col min="13569" max="13569" width="6.44140625" style="191" bestFit="1" customWidth="1"/>
    <col min="13570" max="13570" width="40.33203125" style="191" bestFit="1" customWidth="1"/>
    <col min="13571" max="13571" width="16.33203125" style="191" bestFit="1" customWidth="1"/>
    <col min="13572" max="13572" width="39.5546875" style="191" bestFit="1" customWidth="1"/>
    <col min="13573" max="13573" width="13.5546875" style="191" bestFit="1" customWidth="1"/>
    <col min="13574" max="13574" width="16.33203125" style="191" bestFit="1" customWidth="1"/>
    <col min="13575" max="13575" width="15.5546875" style="191" bestFit="1" customWidth="1"/>
    <col min="13576" max="13576" width="8.88671875" style="191" customWidth="1"/>
    <col min="13577" max="13822" width="7.109375" style="191"/>
    <col min="13823" max="13823" width="4.109375" style="191" bestFit="1" customWidth="1"/>
    <col min="13824" max="13824" width="9.88671875" style="191" bestFit="1" customWidth="1"/>
    <col min="13825" max="13825" width="6.44140625" style="191" bestFit="1" customWidth="1"/>
    <col min="13826" max="13826" width="40.33203125" style="191" bestFit="1" customWidth="1"/>
    <col min="13827" max="13827" width="16.33203125" style="191" bestFit="1" customWidth="1"/>
    <col min="13828" max="13828" width="39.5546875" style="191" bestFit="1" customWidth="1"/>
    <col min="13829" max="13829" width="13.5546875" style="191" bestFit="1" customWidth="1"/>
    <col min="13830" max="13830" width="16.33203125" style="191" bestFit="1" customWidth="1"/>
    <col min="13831" max="13831" width="15.5546875" style="191" bestFit="1" customWidth="1"/>
    <col min="13832" max="13832" width="8.88671875" style="191" customWidth="1"/>
    <col min="13833" max="14078" width="7.109375" style="191"/>
    <col min="14079" max="14079" width="4.109375" style="191" bestFit="1" customWidth="1"/>
    <col min="14080" max="14080" width="9.88671875" style="191" bestFit="1" customWidth="1"/>
    <col min="14081" max="14081" width="6.44140625" style="191" bestFit="1" customWidth="1"/>
    <col min="14082" max="14082" width="40.33203125" style="191" bestFit="1" customWidth="1"/>
    <col min="14083" max="14083" width="16.33203125" style="191" bestFit="1" customWidth="1"/>
    <col min="14084" max="14084" width="39.5546875" style="191" bestFit="1" customWidth="1"/>
    <col min="14085" max="14085" width="13.5546875" style="191" bestFit="1" customWidth="1"/>
    <col min="14086" max="14086" width="16.33203125" style="191" bestFit="1" customWidth="1"/>
    <col min="14087" max="14087" width="15.5546875" style="191" bestFit="1" customWidth="1"/>
    <col min="14088" max="14088" width="8.88671875" style="191" customWidth="1"/>
    <col min="14089" max="14334" width="7.109375" style="191"/>
    <col min="14335" max="14335" width="4.109375" style="191" bestFit="1" customWidth="1"/>
    <col min="14336" max="14336" width="9.88671875" style="191" bestFit="1" customWidth="1"/>
    <col min="14337" max="14337" width="6.44140625" style="191" bestFit="1" customWidth="1"/>
    <col min="14338" max="14338" width="40.33203125" style="191" bestFit="1" customWidth="1"/>
    <col min="14339" max="14339" width="16.33203125" style="191" bestFit="1" customWidth="1"/>
    <col min="14340" max="14340" width="39.5546875" style="191" bestFit="1" customWidth="1"/>
    <col min="14341" max="14341" width="13.5546875" style="191" bestFit="1" customWidth="1"/>
    <col min="14342" max="14342" width="16.33203125" style="191" bestFit="1" customWidth="1"/>
    <col min="14343" max="14343" width="15.5546875" style="191" bestFit="1" customWidth="1"/>
    <col min="14344" max="14344" width="8.88671875" style="191" customWidth="1"/>
    <col min="14345" max="14590" width="7.109375" style="191"/>
    <col min="14591" max="14591" width="4.109375" style="191" bestFit="1" customWidth="1"/>
    <col min="14592" max="14592" width="9.88671875" style="191" bestFit="1" customWidth="1"/>
    <col min="14593" max="14593" width="6.44140625" style="191" bestFit="1" customWidth="1"/>
    <col min="14594" max="14594" width="40.33203125" style="191" bestFit="1" customWidth="1"/>
    <col min="14595" max="14595" width="16.33203125" style="191" bestFit="1" customWidth="1"/>
    <col min="14596" max="14596" width="39.5546875" style="191" bestFit="1" customWidth="1"/>
    <col min="14597" max="14597" width="13.5546875" style="191" bestFit="1" customWidth="1"/>
    <col min="14598" max="14598" width="16.33203125" style="191" bestFit="1" customWidth="1"/>
    <col min="14599" max="14599" width="15.5546875" style="191" bestFit="1" customWidth="1"/>
    <col min="14600" max="14600" width="8.88671875" style="191" customWidth="1"/>
    <col min="14601" max="14846" width="7.109375" style="191"/>
    <col min="14847" max="14847" width="4.109375" style="191" bestFit="1" customWidth="1"/>
    <col min="14848" max="14848" width="9.88671875" style="191" bestFit="1" customWidth="1"/>
    <col min="14849" max="14849" width="6.44140625" style="191" bestFit="1" customWidth="1"/>
    <col min="14850" max="14850" width="40.33203125" style="191" bestFit="1" customWidth="1"/>
    <col min="14851" max="14851" width="16.33203125" style="191" bestFit="1" customWidth="1"/>
    <col min="14852" max="14852" width="39.5546875" style="191" bestFit="1" customWidth="1"/>
    <col min="14853" max="14853" width="13.5546875" style="191" bestFit="1" customWidth="1"/>
    <col min="14854" max="14854" width="16.33203125" style="191" bestFit="1" customWidth="1"/>
    <col min="14855" max="14855" width="15.5546875" style="191" bestFit="1" customWidth="1"/>
    <col min="14856" max="14856" width="8.88671875" style="191" customWidth="1"/>
    <col min="14857" max="15102" width="7.109375" style="191"/>
    <col min="15103" max="15103" width="4.109375" style="191" bestFit="1" customWidth="1"/>
    <col min="15104" max="15104" width="9.88671875" style="191" bestFit="1" customWidth="1"/>
    <col min="15105" max="15105" width="6.44140625" style="191" bestFit="1" customWidth="1"/>
    <col min="15106" max="15106" width="40.33203125" style="191" bestFit="1" customWidth="1"/>
    <col min="15107" max="15107" width="16.33203125" style="191" bestFit="1" customWidth="1"/>
    <col min="15108" max="15108" width="39.5546875" style="191" bestFit="1" customWidth="1"/>
    <col min="15109" max="15109" width="13.5546875" style="191" bestFit="1" customWidth="1"/>
    <col min="15110" max="15110" width="16.33203125" style="191" bestFit="1" customWidth="1"/>
    <col min="15111" max="15111" width="15.5546875" style="191" bestFit="1" customWidth="1"/>
    <col min="15112" max="15112" width="8.88671875" style="191" customWidth="1"/>
    <col min="15113" max="15358" width="7.109375" style="191"/>
    <col min="15359" max="15359" width="4.109375" style="191" bestFit="1" customWidth="1"/>
    <col min="15360" max="15360" width="9.88671875" style="191" bestFit="1" customWidth="1"/>
    <col min="15361" max="15361" width="6.44140625" style="191" bestFit="1" customWidth="1"/>
    <col min="15362" max="15362" width="40.33203125" style="191" bestFit="1" customWidth="1"/>
    <col min="15363" max="15363" width="16.33203125" style="191" bestFit="1" customWidth="1"/>
    <col min="15364" max="15364" width="39.5546875" style="191" bestFit="1" customWidth="1"/>
    <col min="15365" max="15365" width="13.5546875" style="191" bestFit="1" customWidth="1"/>
    <col min="15366" max="15366" width="16.33203125" style="191" bestFit="1" customWidth="1"/>
    <col min="15367" max="15367" width="15.5546875" style="191" bestFit="1" customWidth="1"/>
    <col min="15368" max="15368" width="8.88671875" style="191" customWidth="1"/>
    <col min="15369" max="15614" width="7.109375" style="191"/>
    <col min="15615" max="15615" width="4.109375" style="191" bestFit="1" customWidth="1"/>
    <col min="15616" max="15616" width="9.88671875" style="191" bestFit="1" customWidth="1"/>
    <col min="15617" max="15617" width="6.44140625" style="191" bestFit="1" customWidth="1"/>
    <col min="15618" max="15618" width="40.33203125" style="191" bestFit="1" customWidth="1"/>
    <col min="15619" max="15619" width="16.33203125" style="191" bestFit="1" customWidth="1"/>
    <col min="15620" max="15620" width="39.5546875" style="191" bestFit="1" customWidth="1"/>
    <col min="15621" max="15621" width="13.5546875" style="191" bestFit="1" customWidth="1"/>
    <col min="15622" max="15622" width="16.33203125" style="191" bestFit="1" customWidth="1"/>
    <col min="15623" max="15623" width="15.5546875" style="191" bestFit="1" customWidth="1"/>
    <col min="15624" max="15624" width="8.88671875" style="191" customWidth="1"/>
    <col min="15625" max="15870" width="7.109375" style="191"/>
    <col min="15871" max="15871" width="4.109375" style="191" bestFit="1" customWidth="1"/>
    <col min="15872" max="15872" width="9.88671875" style="191" bestFit="1" customWidth="1"/>
    <col min="15873" max="15873" width="6.44140625" style="191" bestFit="1" customWidth="1"/>
    <col min="15874" max="15874" width="40.33203125" style="191" bestFit="1" customWidth="1"/>
    <col min="15875" max="15875" width="16.33203125" style="191" bestFit="1" customWidth="1"/>
    <col min="15876" max="15876" width="39.5546875" style="191" bestFit="1" customWidth="1"/>
    <col min="15877" max="15877" width="13.5546875" style="191" bestFit="1" customWidth="1"/>
    <col min="15878" max="15878" width="16.33203125" style="191" bestFit="1" customWidth="1"/>
    <col min="15879" max="15879" width="15.5546875" style="191" bestFit="1" customWidth="1"/>
    <col min="15880" max="15880" width="8.88671875" style="191" customWidth="1"/>
    <col min="15881" max="16126" width="7.109375" style="191"/>
    <col min="16127" max="16127" width="4.109375" style="191" bestFit="1" customWidth="1"/>
    <col min="16128" max="16128" width="9.88671875" style="191" bestFit="1" customWidth="1"/>
    <col min="16129" max="16129" width="6.44140625" style="191" bestFit="1" customWidth="1"/>
    <col min="16130" max="16130" width="40.33203125" style="191" bestFit="1" customWidth="1"/>
    <col min="16131" max="16131" width="16.33203125" style="191" bestFit="1" customWidth="1"/>
    <col min="16132" max="16132" width="39.5546875" style="191" bestFit="1" customWidth="1"/>
    <col min="16133" max="16133" width="13.5546875" style="191" bestFit="1" customWidth="1"/>
    <col min="16134" max="16134" width="16.33203125" style="191" bestFit="1" customWidth="1"/>
    <col min="16135" max="16135" width="15.5546875" style="191" bestFit="1" customWidth="1"/>
    <col min="16136" max="16136" width="8.88671875" style="191" customWidth="1"/>
    <col min="16137" max="16384" width="7.109375" style="191"/>
  </cols>
  <sheetData>
    <row r="3" spans="1:8" x14ac:dyDescent="0.2">
      <c r="B3" s="191" t="s">
        <v>1041</v>
      </c>
    </row>
    <row r="7" spans="1:8" s="289" customFormat="1" ht="12.75" x14ac:dyDescent="0.2">
      <c r="A7" s="290" t="s">
        <v>842</v>
      </c>
      <c r="B7" s="290" t="s">
        <v>843</v>
      </c>
      <c r="C7" s="290" t="s">
        <v>844</v>
      </c>
      <c r="D7" s="290" t="s">
        <v>245</v>
      </c>
      <c r="E7" s="290" t="s">
        <v>845</v>
      </c>
      <c r="F7" s="290" t="s">
        <v>846</v>
      </c>
      <c r="G7" s="373" t="s">
        <v>854</v>
      </c>
      <c r="H7" s="368"/>
    </row>
    <row r="8" spans="1:8" x14ac:dyDescent="0.2">
      <c r="A8" s="191" t="s">
        <v>847</v>
      </c>
      <c r="B8" s="191" t="s">
        <v>848</v>
      </c>
      <c r="C8" s="191">
        <v>168678</v>
      </c>
      <c r="D8" s="191" t="s">
        <v>1042</v>
      </c>
      <c r="E8" s="191" t="s">
        <v>849</v>
      </c>
      <c r="F8" s="191" t="s">
        <v>853</v>
      </c>
      <c r="G8" s="371">
        <v>-68487.320000000007</v>
      </c>
      <c r="H8" s="372"/>
    </row>
    <row r="9" spans="1:8" x14ac:dyDescent="0.2">
      <c r="A9" s="191" t="s">
        <v>847</v>
      </c>
      <c r="B9" s="191" t="s">
        <v>850</v>
      </c>
      <c r="C9" s="191">
        <v>183063</v>
      </c>
      <c r="D9" s="191" t="s">
        <v>1043</v>
      </c>
      <c r="E9" s="191" t="s">
        <v>849</v>
      </c>
      <c r="F9" s="191" t="s">
        <v>853</v>
      </c>
      <c r="G9" s="371">
        <v>-52596.69</v>
      </c>
      <c r="H9" s="372"/>
    </row>
    <row r="10" spans="1:8" s="372" customFormat="1" x14ac:dyDescent="0.2">
      <c r="A10" s="191" t="s">
        <v>847</v>
      </c>
      <c r="B10" s="191" t="s">
        <v>851</v>
      </c>
      <c r="C10" s="191">
        <v>197193</v>
      </c>
      <c r="D10" s="191" t="s">
        <v>1044</v>
      </c>
      <c r="E10" s="191" t="s">
        <v>849</v>
      </c>
      <c r="F10" s="191" t="s">
        <v>853</v>
      </c>
      <c r="G10" s="371">
        <v>-67533.84</v>
      </c>
    </row>
    <row r="11" spans="1:8" s="372" customFormat="1" x14ac:dyDescent="0.2">
      <c r="A11" s="191" t="s">
        <v>847</v>
      </c>
      <c r="B11" s="191" t="s">
        <v>852</v>
      </c>
      <c r="C11" s="191">
        <v>208894</v>
      </c>
      <c r="D11" s="191" t="s">
        <v>1045</v>
      </c>
      <c r="E11" s="191" t="s">
        <v>849</v>
      </c>
      <c r="F11" s="191" t="s">
        <v>853</v>
      </c>
      <c r="G11" s="371">
        <v>-37042.29</v>
      </c>
    </row>
    <row r="12" spans="1:8" s="369" customFormat="1" x14ac:dyDescent="0.2">
      <c r="A12" s="370"/>
      <c r="B12" s="370"/>
      <c r="C12" s="191"/>
      <c r="D12" s="191"/>
      <c r="E12" s="191"/>
      <c r="F12" s="191"/>
      <c r="G12" s="191"/>
    </row>
    <row r="13" spans="1:8" s="369" customFormat="1" x14ac:dyDescent="0.2">
      <c r="A13" s="370"/>
      <c r="B13" s="370"/>
      <c r="C13" s="191"/>
      <c r="D13" s="191"/>
      <c r="E13" s="191"/>
      <c r="F13" s="191"/>
      <c r="G13" s="191"/>
    </row>
    <row r="14" spans="1:8" s="369" customFormat="1" x14ac:dyDescent="0.2">
      <c r="A14" s="370"/>
      <c r="B14" s="370"/>
      <c r="C14" s="191"/>
      <c r="D14" s="191"/>
      <c r="E14" s="191"/>
      <c r="F14" s="191"/>
      <c r="G14" s="191"/>
    </row>
    <row r="15" spans="1:8" s="369" customFormat="1" x14ac:dyDescent="0.2">
      <c r="A15" s="370"/>
      <c r="B15" s="370"/>
      <c r="C15" s="191"/>
      <c r="D15" s="191"/>
      <c r="E15" s="191"/>
      <c r="F15" s="191" t="s">
        <v>855</v>
      </c>
      <c r="G15" s="369">
        <f>SUM(-G8-G9-G10-G11)</f>
        <v>225660.14</v>
      </c>
    </row>
    <row r="16" spans="1:8" s="369" customFormat="1" x14ac:dyDescent="0.2">
      <c r="A16" s="370"/>
      <c r="B16" s="370"/>
      <c r="C16" s="191"/>
      <c r="D16" s="191"/>
      <c r="E16" s="191"/>
      <c r="F16" s="191"/>
    </row>
    <row r="17" spans="1:7" s="369" customFormat="1" x14ac:dyDescent="0.2">
      <c r="A17" s="370"/>
      <c r="B17" s="370"/>
      <c r="C17" s="191"/>
      <c r="D17" s="191"/>
      <c r="E17" s="191"/>
      <c r="F17" s="191" t="s">
        <v>857</v>
      </c>
      <c r="G17" s="369">
        <v>0.1</v>
      </c>
    </row>
    <row r="18" spans="1:7" s="369" customFormat="1" x14ac:dyDescent="0.2">
      <c r="A18" s="370"/>
      <c r="B18" s="370"/>
      <c r="C18" s="191"/>
      <c r="D18" s="191"/>
      <c r="E18" s="191"/>
      <c r="F18" s="191"/>
    </row>
    <row r="19" spans="1:7" s="369" customFormat="1" x14ac:dyDescent="0.2">
      <c r="A19" s="370"/>
      <c r="B19" s="370"/>
      <c r="C19" s="191"/>
      <c r="D19" s="191"/>
      <c r="E19" s="191"/>
      <c r="F19" s="191" t="s">
        <v>856</v>
      </c>
      <c r="G19" s="369">
        <f>+G15/G17</f>
        <v>2256601.4</v>
      </c>
    </row>
    <row r="20" spans="1:7" s="369" customFormat="1" x14ac:dyDescent="0.2">
      <c r="A20" s="370"/>
      <c r="B20" s="370"/>
      <c r="C20" s="191"/>
      <c r="D20" s="191"/>
      <c r="E20" s="191"/>
      <c r="F20" s="191"/>
      <c r="G20" s="191"/>
    </row>
    <row r="21" spans="1:7" s="369" customFormat="1" x14ac:dyDescent="0.2">
      <c r="A21" s="370"/>
      <c r="B21" s="370"/>
      <c r="C21" s="191"/>
      <c r="D21" s="191"/>
      <c r="E21" s="191"/>
      <c r="F21" s="191"/>
      <c r="G21" s="191"/>
    </row>
    <row r="22" spans="1:7" s="369" customFormat="1" x14ac:dyDescent="0.2">
      <c r="A22" s="370"/>
      <c r="B22" s="370"/>
      <c r="C22" s="191"/>
      <c r="D22" s="191"/>
      <c r="E22" s="191"/>
      <c r="F22" s="191"/>
      <c r="G22" s="191"/>
    </row>
    <row r="23" spans="1:7" s="369" customFormat="1" x14ac:dyDescent="0.2">
      <c r="A23" s="370"/>
      <c r="B23" s="370"/>
      <c r="C23" s="191"/>
      <c r="D23" s="191"/>
      <c r="E23" s="191"/>
      <c r="F23" s="191"/>
      <c r="G23" s="191"/>
    </row>
    <row r="24" spans="1:7" s="369" customFormat="1" x14ac:dyDescent="0.2">
      <c r="A24" s="370"/>
      <c r="B24" s="370"/>
      <c r="C24" s="191"/>
      <c r="D24" s="191"/>
      <c r="E24" s="191"/>
      <c r="F24" s="191"/>
      <c r="G24" s="191"/>
    </row>
    <row r="25" spans="1:7" s="369" customFormat="1" x14ac:dyDescent="0.2">
      <c r="A25" s="370"/>
      <c r="B25" s="370"/>
      <c r="C25" s="191"/>
      <c r="D25" s="191"/>
      <c r="E25" s="191"/>
      <c r="F25" s="191"/>
      <c r="G25" s="191"/>
    </row>
    <row r="26" spans="1:7" s="369" customFormat="1" x14ac:dyDescent="0.2">
      <c r="A26" s="370"/>
      <c r="B26" s="370"/>
      <c r="C26" s="191"/>
      <c r="D26" s="191"/>
      <c r="E26" s="191"/>
      <c r="F26" s="191"/>
      <c r="G26" s="191"/>
    </row>
    <row r="27" spans="1:7" s="369" customFormat="1" x14ac:dyDescent="0.2">
      <c r="A27" s="370"/>
      <c r="B27" s="370"/>
      <c r="C27" s="191"/>
      <c r="D27" s="191"/>
      <c r="E27" s="191"/>
      <c r="F27" s="191"/>
      <c r="G27" s="191"/>
    </row>
    <row r="28" spans="1:7" s="369" customFormat="1" x14ac:dyDescent="0.2">
      <c r="A28" s="370"/>
      <c r="B28" s="370"/>
      <c r="C28" s="191"/>
      <c r="D28" s="191"/>
      <c r="E28" s="191"/>
      <c r="F28" s="191"/>
      <c r="G28" s="191"/>
    </row>
    <row r="29" spans="1:7" s="369" customFormat="1" x14ac:dyDescent="0.2">
      <c r="A29" s="370"/>
      <c r="B29" s="370"/>
      <c r="C29" s="191"/>
      <c r="D29" s="191"/>
      <c r="E29" s="191"/>
      <c r="F29" s="191"/>
      <c r="G29" s="191"/>
    </row>
    <row r="30" spans="1:7" s="369" customFormat="1" x14ac:dyDescent="0.2">
      <c r="A30" s="370"/>
      <c r="B30" s="370"/>
      <c r="C30" s="191"/>
      <c r="D30" s="191"/>
      <c r="E30" s="191"/>
      <c r="F30" s="191"/>
      <c r="G30" s="191"/>
    </row>
  </sheetData>
  <autoFilter ref="A7:H11" xr:uid="{CB34A6A1-E81E-4513-83D3-79DE0C0FF1D1}"/>
  <pageMargins left="0.70866141732283472" right="0.70866141732283472" top="0.74803149606299213" bottom="0.74803149606299213" header="0.31496062992125984" footer="0.31496062992125984"/>
  <pageSetup scale="64" orientation="landscape" r:id="rId1"/>
  <headerFooter>
    <oddHeader>&amp;R&amp;A</oddHeader>
    <oddFooter>&amp;C&amp;Z&amp;F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B9C70-342D-4AD6-882E-559DCA71772B}">
  <sheetPr>
    <pageSetUpPr fitToPage="1"/>
  </sheetPr>
  <dimension ref="A5:R34"/>
  <sheetViews>
    <sheetView showGridLines="0" zoomScale="90" zoomScaleNormal="90" workbookViewId="0">
      <pane xSplit="2" ySplit="7" topLeftCell="C8" activePane="bottomRight" state="frozen"/>
      <selection activeCell="B65" sqref="B65"/>
      <selection pane="topRight" activeCell="B65" sqref="B65"/>
      <selection pane="bottomLeft" activeCell="B65" sqref="B65"/>
      <selection pane="bottomRight"/>
    </sheetView>
  </sheetViews>
  <sheetFormatPr baseColWidth="10" defaultColWidth="10.88671875" defaultRowHeight="12.75" x14ac:dyDescent="0.2"/>
  <cols>
    <col min="1" max="1" width="8.88671875" style="297" customWidth="1"/>
    <col min="2" max="2" width="28.5546875" style="297" customWidth="1"/>
    <col min="3" max="3" width="13.5546875" style="300" customWidth="1"/>
    <col min="4" max="4" width="12.109375" style="300" bestFit="1" customWidth="1"/>
    <col min="5" max="5" width="14.44140625" style="300" customWidth="1"/>
    <col min="6" max="6" width="15.44140625" style="300" customWidth="1"/>
    <col min="7" max="7" width="10.33203125" style="301" bestFit="1" customWidth="1"/>
    <col min="8" max="8" width="11.5546875" style="301" customWidth="1"/>
    <col min="9" max="9" width="12.109375" style="301" customWidth="1"/>
    <col min="10" max="10" width="12.5546875" style="301" customWidth="1"/>
    <col min="11" max="11" width="10.109375" style="301" customWidth="1"/>
    <col min="12" max="12" width="12.5546875" style="301" customWidth="1"/>
    <col min="13" max="13" width="11.5546875" style="301" customWidth="1"/>
    <col min="14" max="14" width="11.77734375" style="301" customWidth="1"/>
    <col min="15" max="15" width="13" style="301" customWidth="1"/>
    <col min="16" max="16" width="11.77734375" style="301" customWidth="1"/>
    <col min="17" max="17" width="7.109375" style="297" customWidth="1"/>
    <col min="18" max="18" width="9.77734375" style="297" customWidth="1"/>
    <col min="19" max="248" width="7.109375" style="297" customWidth="1"/>
    <col min="249" max="249" width="8.88671875" style="297" customWidth="1"/>
    <col min="250" max="250" width="25.44140625" style="297" customWidth="1"/>
    <col min="251" max="256" width="0" style="297" hidden="1" customWidth="1"/>
    <col min="257" max="259" width="10" style="297" customWidth="1"/>
    <col min="260" max="260" width="10" style="297" bestFit="1" customWidth="1"/>
    <col min="261" max="262" width="8.88671875" style="297" customWidth="1"/>
    <col min="263" max="504" width="7.109375" style="297" customWidth="1"/>
    <col min="505" max="505" width="8.88671875" style="297" customWidth="1"/>
    <col min="506" max="506" width="25.44140625" style="297" customWidth="1"/>
    <col min="507" max="512" width="0" style="297" hidden="1" customWidth="1"/>
    <col min="513" max="515" width="10" style="297" customWidth="1"/>
    <col min="516" max="516" width="10" style="297" bestFit="1" customWidth="1"/>
    <col min="517" max="518" width="8.88671875" style="297" customWidth="1"/>
    <col min="519" max="760" width="7.109375" style="297" customWidth="1"/>
    <col min="761" max="761" width="8.88671875" style="297" customWidth="1"/>
    <col min="762" max="762" width="25.44140625" style="297" customWidth="1"/>
    <col min="763" max="768" width="0" style="297" hidden="1" customWidth="1"/>
    <col min="769" max="771" width="10" style="297" customWidth="1"/>
    <col min="772" max="772" width="10" style="297" bestFit="1" customWidth="1"/>
    <col min="773" max="774" width="8.88671875" style="297" customWidth="1"/>
    <col min="775" max="1016" width="7.109375" style="297" customWidth="1"/>
    <col min="1017" max="1017" width="8.88671875" style="297" customWidth="1"/>
    <col min="1018" max="1018" width="25.44140625" style="297" customWidth="1"/>
    <col min="1019" max="1024" width="0" style="297" hidden="1" customWidth="1"/>
    <col min="1025" max="1027" width="10" style="297" customWidth="1"/>
    <col min="1028" max="1028" width="10" style="297" bestFit="1" customWidth="1"/>
    <col min="1029" max="1030" width="8.88671875" style="297" customWidth="1"/>
    <col min="1031" max="1272" width="7.109375" style="297" customWidth="1"/>
    <col min="1273" max="1273" width="8.88671875" style="297" customWidth="1"/>
    <col min="1274" max="1274" width="25.44140625" style="297" customWidth="1"/>
    <col min="1275" max="1280" width="0" style="297" hidden="1" customWidth="1"/>
    <col min="1281" max="1283" width="10" style="297" customWidth="1"/>
    <col min="1284" max="1284" width="10" style="297" bestFit="1" customWidth="1"/>
    <col min="1285" max="1286" width="8.88671875" style="297" customWidth="1"/>
    <col min="1287" max="1528" width="7.109375" style="297" customWidth="1"/>
    <col min="1529" max="1529" width="8.88671875" style="297" customWidth="1"/>
    <col min="1530" max="1530" width="25.44140625" style="297" customWidth="1"/>
    <col min="1531" max="1536" width="0" style="297" hidden="1" customWidth="1"/>
    <col min="1537" max="1539" width="10" style="297" customWidth="1"/>
    <col min="1540" max="1540" width="10" style="297" bestFit="1" customWidth="1"/>
    <col min="1541" max="1542" width="8.88671875" style="297" customWidth="1"/>
    <col min="1543" max="1784" width="7.109375" style="297" customWidth="1"/>
    <col min="1785" max="1785" width="8.88671875" style="297" customWidth="1"/>
    <col min="1786" max="1786" width="25.44140625" style="297" customWidth="1"/>
    <col min="1787" max="1792" width="0" style="297" hidden="1" customWidth="1"/>
    <col min="1793" max="1795" width="10" style="297" customWidth="1"/>
    <col min="1796" max="1796" width="10" style="297" bestFit="1" customWidth="1"/>
    <col min="1797" max="1798" width="8.88671875" style="297" customWidth="1"/>
    <col min="1799" max="2040" width="7.109375" style="297" customWidth="1"/>
    <col min="2041" max="2041" width="8.88671875" style="297" customWidth="1"/>
    <col min="2042" max="2042" width="25.44140625" style="297" customWidth="1"/>
    <col min="2043" max="2048" width="0" style="297" hidden="1" customWidth="1"/>
    <col min="2049" max="2051" width="10" style="297" customWidth="1"/>
    <col min="2052" max="2052" width="10" style="297" bestFit="1" customWidth="1"/>
    <col min="2053" max="2054" width="8.88671875" style="297" customWidth="1"/>
    <col min="2055" max="2296" width="7.109375" style="297" customWidth="1"/>
    <col min="2297" max="2297" width="8.88671875" style="297" customWidth="1"/>
    <col min="2298" max="2298" width="25.44140625" style="297" customWidth="1"/>
    <col min="2299" max="2304" width="0" style="297" hidden="1" customWidth="1"/>
    <col min="2305" max="2307" width="10" style="297" customWidth="1"/>
    <col min="2308" max="2308" width="10" style="297" bestFit="1" customWidth="1"/>
    <col min="2309" max="2310" width="8.88671875" style="297" customWidth="1"/>
    <col min="2311" max="2552" width="7.109375" style="297" customWidth="1"/>
    <col min="2553" max="2553" width="8.88671875" style="297" customWidth="1"/>
    <col min="2554" max="2554" width="25.44140625" style="297" customWidth="1"/>
    <col min="2555" max="2560" width="0" style="297" hidden="1" customWidth="1"/>
    <col min="2561" max="2563" width="10" style="297" customWidth="1"/>
    <col min="2564" max="2564" width="10" style="297" bestFit="1" customWidth="1"/>
    <col min="2565" max="2566" width="8.88671875" style="297" customWidth="1"/>
    <col min="2567" max="2808" width="7.109375" style="297" customWidth="1"/>
    <col min="2809" max="2809" width="8.88671875" style="297" customWidth="1"/>
    <col min="2810" max="2810" width="25.44140625" style="297" customWidth="1"/>
    <col min="2811" max="2816" width="0" style="297" hidden="1" customWidth="1"/>
    <col min="2817" max="2819" width="10" style="297" customWidth="1"/>
    <col min="2820" max="2820" width="10" style="297" bestFit="1" customWidth="1"/>
    <col min="2821" max="2822" width="8.88671875" style="297" customWidth="1"/>
    <col min="2823" max="3064" width="7.109375" style="297" customWidth="1"/>
    <col min="3065" max="3065" width="8.88671875" style="297" customWidth="1"/>
    <col min="3066" max="3066" width="25.44140625" style="297" customWidth="1"/>
    <col min="3067" max="3072" width="0" style="297" hidden="1" customWidth="1"/>
    <col min="3073" max="3075" width="10" style="297" customWidth="1"/>
    <col min="3076" max="3076" width="10" style="297" bestFit="1" customWidth="1"/>
    <col min="3077" max="3078" width="8.88671875" style="297" customWidth="1"/>
    <col min="3079" max="3320" width="7.109375" style="297" customWidth="1"/>
    <col min="3321" max="3321" width="8.88671875" style="297" customWidth="1"/>
    <col min="3322" max="3322" width="25.44140625" style="297" customWidth="1"/>
    <col min="3323" max="3328" width="0" style="297" hidden="1" customWidth="1"/>
    <col min="3329" max="3331" width="10" style="297" customWidth="1"/>
    <col min="3332" max="3332" width="10" style="297" bestFit="1" customWidth="1"/>
    <col min="3333" max="3334" width="8.88671875" style="297" customWidth="1"/>
    <col min="3335" max="3576" width="7.109375" style="297" customWidth="1"/>
    <col min="3577" max="3577" width="8.88671875" style="297" customWidth="1"/>
    <col min="3578" max="3578" width="25.44140625" style="297" customWidth="1"/>
    <col min="3579" max="3584" width="0" style="297" hidden="1" customWidth="1"/>
    <col min="3585" max="3587" width="10" style="297" customWidth="1"/>
    <col min="3588" max="3588" width="10" style="297" bestFit="1" customWidth="1"/>
    <col min="3589" max="3590" width="8.88671875" style="297" customWidth="1"/>
    <col min="3591" max="3832" width="7.109375" style="297" customWidth="1"/>
    <col min="3833" max="3833" width="8.88671875" style="297" customWidth="1"/>
    <col min="3834" max="3834" width="25.44140625" style="297" customWidth="1"/>
    <col min="3835" max="3840" width="0" style="297" hidden="1" customWidth="1"/>
    <col min="3841" max="3843" width="10" style="297" customWidth="1"/>
    <col min="3844" max="3844" width="10" style="297" bestFit="1" customWidth="1"/>
    <col min="3845" max="3846" width="8.88671875" style="297" customWidth="1"/>
    <col min="3847" max="4088" width="7.109375" style="297" customWidth="1"/>
    <col min="4089" max="4089" width="8.88671875" style="297" customWidth="1"/>
    <col min="4090" max="4090" width="25.44140625" style="297" customWidth="1"/>
    <col min="4091" max="4096" width="0" style="297" hidden="1" customWidth="1"/>
    <col min="4097" max="4099" width="10" style="297" customWidth="1"/>
    <col min="4100" max="4100" width="10" style="297" bestFit="1" customWidth="1"/>
    <col min="4101" max="4102" width="8.88671875" style="297" customWidth="1"/>
    <col min="4103" max="4344" width="7.109375" style="297" customWidth="1"/>
    <col min="4345" max="4345" width="8.88671875" style="297" customWidth="1"/>
    <col min="4346" max="4346" width="25.44140625" style="297" customWidth="1"/>
    <col min="4347" max="4352" width="0" style="297" hidden="1" customWidth="1"/>
    <col min="4353" max="4355" width="10" style="297" customWidth="1"/>
    <col min="4356" max="4356" width="10" style="297" bestFit="1" customWidth="1"/>
    <col min="4357" max="4358" width="8.88671875" style="297" customWidth="1"/>
    <col min="4359" max="4600" width="7.109375" style="297" customWidth="1"/>
    <col min="4601" max="4601" width="8.88671875" style="297" customWidth="1"/>
    <col min="4602" max="4602" width="25.44140625" style="297" customWidth="1"/>
    <col min="4603" max="4608" width="0" style="297" hidden="1" customWidth="1"/>
    <col min="4609" max="4611" width="10" style="297" customWidth="1"/>
    <col min="4612" max="4612" width="10" style="297" bestFit="1" customWidth="1"/>
    <col min="4613" max="4614" width="8.88671875" style="297" customWidth="1"/>
    <col min="4615" max="4856" width="7.109375" style="297" customWidth="1"/>
    <col min="4857" max="4857" width="8.88671875" style="297" customWidth="1"/>
    <col min="4858" max="4858" width="25.44140625" style="297" customWidth="1"/>
    <col min="4859" max="4864" width="0" style="297" hidden="1" customWidth="1"/>
    <col min="4865" max="4867" width="10" style="297" customWidth="1"/>
    <col min="4868" max="4868" width="10" style="297" bestFit="1" customWidth="1"/>
    <col min="4869" max="4870" width="8.88671875" style="297" customWidth="1"/>
    <col min="4871" max="5112" width="7.109375" style="297" customWidth="1"/>
    <col min="5113" max="5113" width="8.88671875" style="297" customWidth="1"/>
    <col min="5114" max="5114" width="25.44140625" style="297" customWidth="1"/>
    <col min="5115" max="5120" width="0" style="297" hidden="1" customWidth="1"/>
    <col min="5121" max="5123" width="10" style="297" customWidth="1"/>
    <col min="5124" max="5124" width="10" style="297" bestFit="1" customWidth="1"/>
    <col min="5125" max="5126" width="8.88671875" style="297" customWidth="1"/>
    <col min="5127" max="5368" width="7.109375" style="297" customWidth="1"/>
    <col min="5369" max="5369" width="8.88671875" style="297" customWidth="1"/>
    <col min="5370" max="5370" width="25.44140625" style="297" customWidth="1"/>
    <col min="5371" max="5376" width="0" style="297" hidden="1" customWidth="1"/>
    <col min="5377" max="5379" width="10" style="297" customWidth="1"/>
    <col min="5380" max="5380" width="10" style="297" bestFit="1" customWidth="1"/>
    <col min="5381" max="5382" width="8.88671875" style="297" customWidth="1"/>
    <col min="5383" max="5624" width="7.109375" style="297" customWidth="1"/>
    <col min="5625" max="5625" width="8.88671875" style="297" customWidth="1"/>
    <col min="5626" max="5626" width="25.44140625" style="297" customWidth="1"/>
    <col min="5627" max="5632" width="0" style="297" hidden="1" customWidth="1"/>
    <col min="5633" max="5635" width="10" style="297" customWidth="1"/>
    <col min="5636" max="5636" width="10" style="297" bestFit="1" customWidth="1"/>
    <col min="5637" max="5638" width="8.88671875" style="297" customWidth="1"/>
    <col min="5639" max="5880" width="7.109375" style="297" customWidth="1"/>
    <col min="5881" max="5881" width="8.88671875" style="297" customWidth="1"/>
    <col min="5882" max="5882" width="25.44140625" style="297" customWidth="1"/>
    <col min="5883" max="5888" width="0" style="297" hidden="1" customWidth="1"/>
    <col min="5889" max="5891" width="10" style="297" customWidth="1"/>
    <col min="5892" max="5892" width="10" style="297" bestFit="1" customWidth="1"/>
    <col min="5893" max="5894" width="8.88671875" style="297" customWidth="1"/>
    <col min="5895" max="6136" width="7.109375" style="297" customWidth="1"/>
    <col min="6137" max="6137" width="8.88671875" style="297" customWidth="1"/>
    <col min="6138" max="6138" width="25.44140625" style="297" customWidth="1"/>
    <col min="6139" max="6144" width="0" style="297" hidden="1" customWidth="1"/>
    <col min="6145" max="6147" width="10" style="297" customWidth="1"/>
    <col min="6148" max="6148" width="10" style="297" bestFit="1" customWidth="1"/>
    <col min="6149" max="6150" width="8.88671875" style="297" customWidth="1"/>
    <col min="6151" max="6392" width="7.109375" style="297" customWidth="1"/>
    <col min="6393" max="6393" width="8.88671875" style="297" customWidth="1"/>
    <col min="6394" max="6394" width="25.44140625" style="297" customWidth="1"/>
    <col min="6395" max="6400" width="0" style="297" hidden="1" customWidth="1"/>
    <col min="6401" max="6403" width="10" style="297" customWidth="1"/>
    <col min="6404" max="6404" width="10" style="297" bestFit="1" customWidth="1"/>
    <col min="6405" max="6406" width="8.88671875" style="297" customWidth="1"/>
    <col min="6407" max="6648" width="7.109375" style="297" customWidth="1"/>
    <col min="6649" max="6649" width="8.88671875" style="297" customWidth="1"/>
    <col min="6650" max="6650" width="25.44140625" style="297" customWidth="1"/>
    <col min="6651" max="6656" width="0" style="297" hidden="1" customWidth="1"/>
    <col min="6657" max="6659" width="10" style="297" customWidth="1"/>
    <col min="6660" max="6660" width="10" style="297" bestFit="1" customWidth="1"/>
    <col min="6661" max="6662" width="8.88671875" style="297" customWidth="1"/>
    <col min="6663" max="6904" width="7.109375" style="297" customWidth="1"/>
    <col min="6905" max="6905" width="8.88671875" style="297" customWidth="1"/>
    <col min="6906" max="6906" width="25.44140625" style="297" customWidth="1"/>
    <col min="6907" max="6912" width="0" style="297" hidden="1" customWidth="1"/>
    <col min="6913" max="6915" width="10" style="297" customWidth="1"/>
    <col min="6916" max="6916" width="10" style="297" bestFit="1" customWidth="1"/>
    <col min="6917" max="6918" width="8.88671875" style="297" customWidth="1"/>
    <col min="6919" max="7160" width="7.109375" style="297" customWidth="1"/>
    <col min="7161" max="7161" width="8.88671875" style="297" customWidth="1"/>
    <col min="7162" max="7162" width="25.44140625" style="297" customWidth="1"/>
    <col min="7163" max="7168" width="0" style="297" hidden="1" customWidth="1"/>
    <col min="7169" max="7171" width="10" style="297" customWidth="1"/>
    <col min="7172" max="7172" width="10" style="297" bestFit="1" customWidth="1"/>
    <col min="7173" max="7174" width="8.88671875" style="297" customWidth="1"/>
    <col min="7175" max="7416" width="7.109375" style="297" customWidth="1"/>
    <col min="7417" max="7417" width="8.88671875" style="297" customWidth="1"/>
    <col min="7418" max="7418" width="25.44140625" style="297" customWidth="1"/>
    <col min="7419" max="7424" width="0" style="297" hidden="1" customWidth="1"/>
    <col min="7425" max="7427" width="10" style="297" customWidth="1"/>
    <col min="7428" max="7428" width="10" style="297" bestFit="1" customWidth="1"/>
    <col min="7429" max="7430" width="8.88671875" style="297" customWidth="1"/>
    <col min="7431" max="7672" width="7.109375" style="297" customWidth="1"/>
    <col min="7673" max="7673" width="8.88671875" style="297" customWidth="1"/>
    <col min="7674" max="7674" width="25.44140625" style="297" customWidth="1"/>
    <col min="7675" max="7680" width="0" style="297" hidden="1" customWidth="1"/>
    <col min="7681" max="7683" width="10" style="297" customWidth="1"/>
    <col min="7684" max="7684" width="10" style="297" bestFit="1" customWidth="1"/>
    <col min="7685" max="7686" width="8.88671875" style="297" customWidth="1"/>
    <col min="7687" max="7928" width="7.109375" style="297" customWidth="1"/>
    <col min="7929" max="7929" width="8.88671875" style="297" customWidth="1"/>
    <col min="7930" max="7930" width="25.44140625" style="297" customWidth="1"/>
    <col min="7931" max="7936" width="0" style="297" hidden="1" customWidth="1"/>
    <col min="7937" max="7939" width="10" style="297" customWidth="1"/>
    <col min="7940" max="7940" width="10" style="297" bestFit="1" customWidth="1"/>
    <col min="7941" max="7942" width="8.88671875" style="297" customWidth="1"/>
    <col min="7943" max="8184" width="7.109375" style="297" customWidth="1"/>
    <col min="8185" max="8185" width="8.88671875" style="297" customWidth="1"/>
    <col min="8186" max="8186" width="25.44140625" style="297" customWidth="1"/>
    <col min="8187" max="8192" width="0" style="297" hidden="1" customWidth="1"/>
    <col min="8193" max="8195" width="10" style="297" customWidth="1"/>
    <col min="8196" max="8196" width="10" style="297" bestFit="1" customWidth="1"/>
    <col min="8197" max="8198" width="8.88671875" style="297" customWidth="1"/>
    <col min="8199" max="8440" width="7.109375" style="297" customWidth="1"/>
    <col min="8441" max="8441" width="8.88671875" style="297" customWidth="1"/>
    <col min="8442" max="8442" width="25.44140625" style="297" customWidth="1"/>
    <col min="8443" max="8448" width="0" style="297" hidden="1" customWidth="1"/>
    <col min="8449" max="8451" width="10" style="297" customWidth="1"/>
    <col min="8452" max="8452" width="10" style="297" bestFit="1" customWidth="1"/>
    <col min="8453" max="8454" width="8.88671875" style="297" customWidth="1"/>
    <col min="8455" max="8696" width="7.109375" style="297" customWidth="1"/>
    <col min="8697" max="8697" width="8.88671875" style="297" customWidth="1"/>
    <col min="8698" max="8698" width="25.44140625" style="297" customWidth="1"/>
    <col min="8699" max="8704" width="0" style="297" hidden="1" customWidth="1"/>
    <col min="8705" max="8707" width="10" style="297" customWidth="1"/>
    <col min="8708" max="8708" width="10" style="297" bestFit="1" customWidth="1"/>
    <col min="8709" max="8710" width="8.88671875" style="297" customWidth="1"/>
    <col min="8711" max="8952" width="7.109375" style="297" customWidth="1"/>
    <col min="8953" max="8953" width="8.88671875" style="297" customWidth="1"/>
    <col min="8954" max="8954" width="25.44140625" style="297" customWidth="1"/>
    <col min="8955" max="8960" width="0" style="297" hidden="1" customWidth="1"/>
    <col min="8961" max="8963" width="10" style="297" customWidth="1"/>
    <col min="8964" max="8964" width="10" style="297" bestFit="1" customWidth="1"/>
    <col min="8965" max="8966" width="8.88671875" style="297" customWidth="1"/>
    <col min="8967" max="9208" width="7.109375" style="297" customWidth="1"/>
    <col min="9209" max="9209" width="8.88671875" style="297" customWidth="1"/>
    <col min="9210" max="9210" width="25.44140625" style="297" customWidth="1"/>
    <col min="9211" max="9216" width="0" style="297" hidden="1" customWidth="1"/>
    <col min="9217" max="9219" width="10" style="297" customWidth="1"/>
    <col min="9220" max="9220" width="10" style="297" bestFit="1" customWidth="1"/>
    <col min="9221" max="9222" width="8.88671875" style="297" customWidth="1"/>
    <col min="9223" max="9464" width="7.109375" style="297" customWidth="1"/>
    <col min="9465" max="9465" width="8.88671875" style="297" customWidth="1"/>
    <col min="9466" max="9466" width="25.44140625" style="297" customWidth="1"/>
    <col min="9467" max="9472" width="0" style="297" hidden="1" customWidth="1"/>
    <col min="9473" max="9475" width="10" style="297" customWidth="1"/>
    <col min="9476" max="9476" width="10" style="297" bestFit="1" customWidth="1"/>
    <col min="9477" max="9478" width="8.88671875" style="297" customWidth="1"/>
    <col min="9479" max="9720" width="7.109375" style="297" customWidth="1"/>
    <col min="9721" max="9721" width="8.88671875" style="297" customWidth="1"/>
    <col min="9722" max="9722" width="25.44140625" style="297" customWidth="1"/>
    <col min="9723" max="9728" width="0" style="297" hidden="1" customWidth="1"/>
    <col min="9729" max="9731" width="10" style="297" customWidth="1"/>
    <col min="9732" max="9732" width="10" style="297" bestFit="1" customWidth="1"/>
    <col min="9733" max="9734" width="8.88671875" style="297" customWidth="1"/>
    <col min="9735" max="9976" width="7.109375" style="297" customWidth="1"/>
    <col min="9977" max="9977" width="8.88671875" style="297" customWidth="1"/>
    <col min="9978" max="9978" width="25.44140625" style="297" customWidth="1"/>
    <col min="9979" max="9984" width="0" style="297" hidden="1" customWidth="1"/>
    <col min="9985" max="9987" width="10" style="297" customWidth="1"/>
    <col min="9988" max="9988" width="10" style="297" bestFit="1" customWidth="1"/>
    <col min="9989" max="9990" width="8.88671875" style="297" customWidth="1"/>
    <col min="9991" max="10232" width="7.109375" style="297" customWidth="1"/>
    <col min="10233" max="10233" width="8.88671875" style="297" customWidth="1"/>
    <col min="10234" max="10234" width="25.44140625" style="297" customWidth="1"/>
    <col min="10235" max="10240" width="0" style="297" hidden="1" customWidth="1"/>
    <col min="10241" max="10243" width="10" style="297" customWidth="1"/>
    <col min="10244" max="10244" width="10" style="297" bestFit="1" customWidth="1"/>
    <col min="10245" max="10246" width="8.88671875" style="297" customWidth="1"/>
    <col min="10247" max="10488" width="7.109375" style="297" customWidth="1"/>
    <col min="10489" max="10489" width="8.88671875" style="297" customWidth="1"/>
    <col min="10490" max="10490" width="25.44140625" style="297" customWidth="1"/>
    <col min="10491" max="10496" width="0" style="297" hidden="1" customWidth="1"/>
    <col min="10497" max="10499" width="10" style="297" customWidth="1"/>
    <col min="10500" max="10500" width="10" style="297" bestFit="1" customWidth="1"/>
    <col min="10501" max="10502" width="8.88671875" style="297" customWidth="1"/>
    <col min="10503" max="10744" width="7.109375" style="297" customWidth="1"/>
    <col min="10745" max="10745" width="8.88671875" style="297" customWidth="1"/>
    <col min="10746" max="10746" width="25.44140625" style="297" customWidth="1"/>
    <col min="10747" max="10752" width="0" style="297" hidden="1" customWidth="1"/>
    <col min="10753" max="10755" width="10" style="297" customWidth="1"/>
    <col min="10756" max="10756" width="10" style="297" bestFit="1" customWidth="1"/>
    <col min="10757" max="10758" width="8.88671875" style="297" customWidth="1"/>
    <col min="10759" max="11000" width="7.109375" style="297" customWidth="1"/>
    <col min="11001" max="11001" width="8.88671875" style="297" customWidth="1"/>
    <col min="11002" max="11002" width="25.44140625" style="297" customWidth="1"/>
    <col min="11003" max="11008" width="0" style="297" hidden="1" customWidth="1"/>
    <col min="11009" max="11011" width="10" style="297" customWidth="1"/>
    <col min="11012" max="11012" width="10" style="297" bestFit="1" customWidth="1"/>
    <col min="11013" max="11014" width="8.88671875" style="297" customWidth="1"/>
    <col min="11015" max="11256" width="7.109375" style="297" customWidth="1"/>
    <col min="11257" max="11257" width="8.88671875" style="297" customWidth="1"/>
    <col min="11258" max="11258" width="25.44140625" style="297" customWidth="1"/>
    <col min="11259" max="11264" width="0" style="297" hidden="1" customWidth="1"/>
    <col min="11265" max="11267" width="10" style="297" customWidth="1"/>
    <col min="11268" max="11268" width="10" style="297" bestFit="1" customWidth="1"/>
    <col min="11269" max="11270" width="8.88671875" style="297" customWidth="1"/>
    <col min="11271" max="11512" width="7.109375" style="297" customWidth="1"/>
    <col min="11513" max="11513" width="8.88671875" style="297" customWidth="1"/>
    <col min="11514" max="11514" width="25.44140625" style="297" customWidth="1"/>
    <col min="11515" max="11520" width="0" style="297" hidden="1" customWidth="1"/>
    <col min="11521" max="11523" width="10" style="297" customWidth="1"/>
    <col min="11524" max="11524" width="10" style="297" bestFit="1" customWidth="1"/>
    <col min="11525" max="11526" width="8.88671875" style="297" customWidth="1"/>
    <col min="11527" max="11768" width="7.109375" style="297" customWidth="1"/>
    <col min="11769" max="11769" width="8.88671875" style="297" customWidth="1"/>
    <col min="11770" max="11770" width="25.44140625" style="297" customWidth="1"/>
    <col min="11771" max="11776" width="0" style="297" hidden="1" customWidth="1"/>
    <col min="11777" max="11779" width="10" style="297" customWidth="1"/>
    <col min="11780" max="11780" width="10" style="297" bestFit="1" customWidth="1"/>
    <col min="11781" max="11782" width="8.88671875" style="297" customWidth="1"/>
    <col min="11783" max="12024" width="7.109375" style="297" customWidth="1"/>
    <col min="12025" max="12025" width="8.88671875" style="297" customWidth="1"/>
    <col min="12026" max="12026" width="25.44140625" style="297" customWidth="1"/>
    <col min="12027" max="12032" width="0" style="297" hidden="1" customWidth="1"/>
    <col min="12033" max="12035" width="10" style="297" customWidth="1"/>
    <col min="12036" max="12036" width="10" style="297" bestFit="1" customWidth="1"/>
    <col min="12037" max="12038" width="8.88671875" style="297" customWidth="1"/>
    <col min="12039" max="12280" width="7.109375" style="297" customWidth="1"/>
    <col min="12281" max="12281" width="8.88671875" style="297" customWidth="1"/>
    <col min="12282" max="12282" width="25.44140625" style="297" customWidth="1"/>
    <col min="12283" max="12288" width="0" style="297" hidden="1" customWidth="1"/>
    <col min="12289" max="12291" width="10" style="297" customWidth="1"/>
    <col min="12292" max="12292" width="10" style="297" bestFit="1" customWidth="1"/>
    <col min="12293" max="12294" width="8.88671875" style="297" customWidth="1"/>
    <col min="12295" max="12536" width="7.109375" style="297" customWidth="1"/>
    <col min="12537" max="12537" width="8.88671875" style="297" customWidth="1"/>
    <col min="12538" max="12538" width="25.44140625" style="297" customWidth="1"/>
    <col min="12539" max="12544" width="0" style="297" hidden="1" customWidth="1"/>
    <col min="12545" max="12547" width="10" style="297" customWidth="1"/>
    <col min="12548" max="12548" width="10" style="297" bestFit="1" customWidth="1"/>
    <col min="12549" max="12550" width="8.88671875" style="297" customWidth="1"/>
    <col min="12551" max="12792" width="7.109375" style="297" customWidth="1"/>
    <col min="12793" max="12793" width="8.88671875" style="297" customWidth="1"/>
    <col min="12794" max="12794" width="25.44140625" style="297" customWidth="1"/>
    <col min="12795" max="12800" width="0" style="297" hidden="1" customWidth="1"/>
    <col min="12801" max="12803" width="10" style="297" customWidth="1"/>
    <col min="12804" max="12804" width="10" style="297" bestFit="1" customWidth="1"/>
    <col min="12805" max="12806" width="8.88671875" style="297" customWidth="1"/>
    <col min="12807" max="13048" width="7.109375" style="297" customWidth="1"/>
    <col min="13049" max="13049" width="8.88671875" style="297" customWidth="1"/>
    <col min="13050" max="13050" width="25.44140625" style="297" customWidth="1"/>
    <col min="13051" max="13056" width="0" style="297" hidden="1" customWidth="1"/>
    <col min="13057" max="13059" width="10" style="297" customWidth="1"/>
    <col min="13060" max="13060" width="10" style="297" bestFit="1" customWidth="1"/>
    <col min="13061" max="13062" width="8.88671875" style="297" customWidth="1"/>
    <col min="13063" max="13304" width="7.109375" style="297" customWidth="1"/>
    <col min="13305" max="13305" width="8.88671875" style="297" customWidth="1"/>
    <col min="13306" max="13306" width="25.44140625" style="297" customWidth="1"/>
    <col min="13307" max="13312" width="0" style="297" hidden="1" customWidth="1"/>
    <col min="13313" max="13315" width="10" style="297" customWidth="1"/>
    <col min="13316" max="13316" width="10" style="297" bestFit="1" customWidth="1"/>
    <col min="13317" max="13318" width="8.88671875" style="297" customWidth="1"/>
    <col min="13319" max="13560" width="7.109375" style="297" customWidth="1"/>
    <col min="13561" max="13561" width="8.88671875" style="297" customWidth="1"/>
    <col min="13562" max="13562" width="25.44140625" style="297" customWidth="1"/>
    <col min="13563" max="13568" width="0" style="297" hidden="1" customWidth="1"/>
    <col min="13569" max="13571" width="10" style="297" customWidth="1"/>
    <col min="13572" max="13572" width="10" style="297" bestFit="1" customWidth="1"/>
    <col min="13573" max="13574" width="8.88671875" style="297" customWidth="1"/>
    <col min="13575" max="13816" width="7.109375" style="297" customWidth="1"/>
    <col min="13817" max="13817" width="8.88671875" style="297" customWidth="1"/>
    <col min="13818" max="13818" width="25.44140625" style="297" customWidth="1"/>
    <col min="13819" max="13824" width="0" style="297" hidden="1" customWidth="1"/>
    <col min="13825" max="13827" width="10" style="297" customWidth="1"/>
    <col min="13828" max="13828" width="10" style="297" bestFit="1" customWidth="1"/>
    <col min="13829" max="13830" width="8.88671875" style="297" customWidth="1"/>
    <col min="13831" max="14072" width="7.109375" style="297" customWidth="1"/>
    <col min="14073" max="14073" width="8.88671875" style="297" customWidth="1"/>
    <col min="14074" max="14074" width="25.44140625" style="297" customWidth="1"/>
    <col min="14075" max="14080" width="0" style="297" hidden="1" customWidth="1"/>
    <col min="14081" max="14083" width="10" style="297" customWidth="1"/>
    <col min="14084" max="14084" width="10" style="297" bestFit="1" customWidth="1"/>
    <col min="14085" max="14086" width="8.88671875" style="297" customWidth="1"/>
    <col min="14087" max="14328" width="7.109375" style="297" customWidth="1"/>
    <col min="14329" max="14329" width="8.88671875" style="297" customWidth="1"/>
    <col min="14330" max="14330" width="25.44140625" style="297" customWidth="1"/>
    <col min="14331" max="14336" width="0" style="297" hidden="1" customWidth="1"/>
    <col min="14337" max="14339" width="10" style="297" customWidth="1"/>
    <col min="14340" max="14340" width="10" style="297" bestFit="1" customWidth="1"/>
    <col min="14341" max="14342" width="8.88671875" style="297" customWidth="1"/>
    <col min="14343" max="14584" width="7.109375" style="297" customWidth="1"/>
    <col min="14585" max="14585" width="8.88671875" style="297" customWidth="1"/>
    <col min="14586" max="14586" width="25.44140625" style="297" customWidth="1"/>
    <col min="14587" max="14592" width="0" style="297" hidden="1" customWidth="1"/>
    <col min="14593" max="14595" width="10" style="297" customWidth="1"/>
    <col min="14596" max="14596" width="10" style="297" bestFit="1" customWidth="1"/>
    <col min="14597" max="14598" width="8.88671875" style="297" customWidth="1"/>
    <col min="14599" max="14840" width="7.109375" style="297" customWidth="1"/>
    <col min="14841" max="14841" width="8.88671875" style="297" customWidth="1"/>
    <col min="14842" max="14842" width="25.44140625" style="297" customWidth="1"/>
    <col min="14843" max="14848" width="0" style="297" hidden="1" customWidth="1"/>
    <col min="14849" max="14851" width="10" style="297" customWidth="1"/>
    <col min="14852" max="14852" width="10" style="297" bestFit="1" customWidth="1"/>
    <col min="14853" max="14854" width="8.88671875" style="297" customWidth="1"/>
    <col min="14855" max="15096" width="7.109375" style="297" customWidth="1"/>
    <col min="15097" max="15097" width="8.88671875" style="297" customWidth="1"/>
    <col min="15098" max="15098" width="25.44140625" style="297" customWidth="1"/>
    <col min="15099" max="15104" width="0" style="297" hidden="1" customWidth="1"/>
    <col min="15105" max="15107" width="10" style="297" customWidth="1"/>
    <col min="15108" max="15108" width="10" style="297" bestFit="1" customWidth="1"/>
    <col min="15109" max="15110" width="8.88671875" style="297" customWidth="1"/>
    <col min="15111" max="15352" width="7.109375" style="297" customWidth="1"/>
    <col min="15353" max="15353" width="8.88671875" style="297" customWidth="1"/>
    <col min="15354" max="15354" width="25.44140625" style="297" customWidth="1"/>
    <col min="15355" max="15360" width="0" style="297" hidden="1" customWidth="1"/>
    <col min="15361" max="15363" width="10" style="297" customWidth="1"/>
    <col min="15364" max="15364" width="10" style="297" bestFit="1" customWidth="1"/>
    <col min="15365" max="15366" width="8.88671875" style="297" customWidth="1"/>
    <col min="15367" max="15608" width="7.109375" style="297" customWidth="1"/>
    <col min="15609" max="15609" width="8.88671875" style="297" customWidth="1"/>
    <col min="15610" max="15610" width="25.44140625" style="297" customWidth="1"/>
    <col min="15611" max="15616" width="0" style="297" hidden="1" customWidth="1"/>
    <col min="15617" max="15619" width="10" style="297" customWidth="1"/>
    <col min="15620" max="15620" width="10" style="297" bestFit="1" customWidth="1"/>
    <col min="15621" max="15622" width="8.88671875" style="297" customWidth="1"/>
    <col min="15623" max="15864" width="7.109375" style="297" customWidth="1"/>
    <col min="15865" max="15865" width="8.88671875" style="297" customWidth="1"/>
    <col min="15866" max="15866" width="25.44140625" style="297" customWidth="1"/>
    <col min="15867" max="15872" width="0" style="297" hidden="1" customWidth="1"/>
    <col min="15873" max="15875" width="10" style="297" customWidth="1"/>
    <col min="15876" max="15876" width="10" style="297" bestFit="1" customWidth="1"/>
    <col min="15877" max="15878" width="8.88671875" style="297" customWidth="1"/>
    <col min="15879" max="16120" width="7.109375" style="297" customWidth="1"/>
    <col min="16121" max="16121" width="8.88671875" style="297" customWidth="1"/>
    <col min="16122" max="16122" width="25.44140625" style="297" customWidth="1"/>
    <col min="16123" max="16128" width="0" style="297" hidden="1" customWidth="1"/>
    <col min="16129" max="16131" width="10" style="297" customWidth="1"/>
    <col min="16132" max="16132" width="10" style="297" bestFit="1" customWidth="1"/>
    <col min="16133" max="16134" width="8.88671875" style="297" customWidth="1"/>
    <col min="16135" max="16384" width="7.109375" style="297" customWidth="1"/>
  </cols>
  <sheetData>
    <row r="5" spans="1:18" x14ac:dyDescent="0.2">
      <c r="A5" s="299" t="s">
        <v>730</v>
      </c>
    </row>
    <row r="6" spans="1:18" x14ac:dyDescent="0.2"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302"/>
    </row>
    <row r="7" spans="1:18" x14ac:dyDescent="0.2">
      <c r="C7" s="303" t="s">
        <v>731</v>
      </c>
      <c r="D7" s="303" t="s">
        <v>732</v>
      </c>
      <c r="E7" s="303" t="s">
        <v>733</v>
      </c>
      <c r="F7" s="303" t="s">
        <v>734</v>
      </c>
      <c r="G7" s="303" t="s">
        <v>735</v>
      </c>
      <c r="H7" s="303" t="s">
        <v>736</v>
      </c>
      <c r="I7" s="303" t="s">
        <v>737</v>
      </c>
      <c r="J7" s="303" t="s">
        <v>738</v>
      </c>
      <c r="K7" s="303" t="s">
        <v>739</v>
      </c>
      <c r="L7" s="303" t="s">
        <v>740</v>
      </c>
      <c r="M7" s="303" t="s">
        <v>741</v>
      </c>
      <c r="N7" s="303" t="s">
        <v>742</v>
      </c>
      <c r="O7" s="303" t="s">
        <v>743</v>
      </c>
      <c r="P7" s="304" t="s">
        <v>744</v>
      </c>
      <c r="Q7" s="305"/>
    </row>
    <row r="8" spans="1:18" x14ac:dyDescent="0.2">
      <c r="A8" s="297">
        <v>11080001</v>
      </c>
      <c r="B8" s="297" t="s">
        <v>20</v>
      </c>
      <c r="C8" s="300">
        <f>-VLOOKUP(A8,'I. Balanza'!$C$8:$E$620,3,0)</f>
        <v>247882.17</v>
      </c>
      <c r="D8" s="301">
        <f>-VLOOKUP(A8,'I. Balanza'!$C$8:$F$620,4,0)</f>
        <v>247882.17</v>
      </c>
      <c r="E8" s="301">
        <f>-VLOOKUP(A8,'I. Balanza'!$C$8:$G$620,5,0)</f>
        <v>247882.17</v>
      </c>
      <c r="F8" s="301">
        <f>-VLOOKUP(A8,'I. Balanza'!$C$8:$H$620,6,0)</f>
        <v>921843.99</v>
      </c>
      <c r="G8" s="301">
        <f>-VLOOKUP(A8,'I. Balanza'!$C$8:$I$620,7,0)</f>
        <v>921843.99</v>
      </c>
      <c r="H8" s="301">
        <f>-VLOOKUP(A8,'I. Balanza'!$C$8:$J$620,8,0)</f>
        <v>906210.96</v>
      </c>
      <c r="I8" s="301">
        <f>-VLOOKUP(A8,'I. Balanza'!$C$8:$K$620,9,0)</f>
        <v>1042695.84</v>
      </c>
      <c r="J8" s="301">
        <f>-VLOOKUP(A8,'I. Balanza'!$C$8:$M$620,10,0)</f>
        <v>1042695.84</v>
      </c>
      <c r="K8" s="301">
        <f>-VLOOKUP(A8,'I. Balanza'!$C$8:$M$620,11,0)</f>
        <v>1042695.84</v>
      </c>
      <c r="L8" s="301">
        <f>-VLOOKUP(A8,'I. Balanza'!$C$8:$N$620,12,0)</f>
        <v>606534.77</v>
      </c>
      <c r="M8" s="301">
        <f>-VLOOKUP(A8,'I. Balanza'!$C$8:$O$620,13,0)</f>
        <v>606534.77</v>
      </c>
      <c r="N8" s="301">
        <f>-VLOOKUP(A8,'I. Balanza'!$C$8:$P$620,14,0)</f>
        <v>606534.77</v>
      </c>
      <c r="O8" s="301">
        <f>-VLOOKUP(A8,'I. Balanza'!$C$8:$Q$620,15,0)</f>
        <v>339716.6</v>
      </c>
      <c r="P8" s="300">
        <f t="shared" ref="P8:P16" si="0">+O8-C8</f>
        <v>91834.429999999964</v>
      </c>
      <c r="Q8" s="306"/>
      <c r="R8" s="301"/>
    </row>
    <row r="9" spans="1:18" x14ac:dyDescent="0.2">
      <c r="A9" s="297">
        <v>11180001</v>
      </c>
      <c r="B9" s="191" t="s">
        <v>36</v>
      </c>
      <c r="C9" s="300">
        <f>-VLOOKUP(A9,'I. Balanza'!$C$8:$E$620,3,0)</f>
        <v>5860176.4800000004</v>
      </c>
      <c r="D9" s="301">
        <f>-VLOOKUP(A9,'I. Balanza'!$C$8:$F$620,4,0)</f>
        <v>5860176.4800000004</v>
      </c>
      <c r="E9" s="301">
        <f>-VLOOKUP(A9,'I. Balanza'!$C$8:$G$620,5,0)</f>
        <v>5860176.4800000004</v>
      </c>
      <c r="F9" s="301">
        <f>-VLOOKUP(A9,'I. Balanza'!$C$8:$H$620,6,0)</f>
        <v>4867742.4800000004</v>
      </c>
      <c r="G9" s="301">
        <f>-VLOOKUP(A9,'I. Balanza'!$C$8:$I$620,7,0)</f>
        <v>4867742.4800000004</v>
      </c>
      <c r="H9" s="301">
        <f>-VLOOKUP(A9,'I. Balanza'!$C$8:$J$620,8,0)</f>
        <v>4222280.79</v>
      </c>
      <c r="I9" s="301">
        <f>-VLOOKUP(A9,'I. Balanza'!$C$8:$K$620,9,0)</f>
        <v>4387324.21</v>
      </c>
      <c r="J9" s="301">
        <f>-VLOOKUP(A9,'I. Balanza'!$C$8:$M$620,10,0)</f>
        <v>4387324.21</v>
      </c>
      <c r="K9" s="301">
        <f>-VLOOKUP(A9,'I. Balanza'!$C$8:$M$620,11,0)</f>
        <v>4387324.21</v>
      </c>
      <c r="L9" s="301">
        <f>-VLOOKUP(A9,'I. Balanza'!$C$8:$N$620,12,0)</f>
        <v>3701912.21</v>
      </c>
      <c r="M9" s="301">
        <f>-VLOOKUP(A9,'I. Balanza'!$C$8:$O$620,13,0)</f>
        <v>3701912.21</v>
      </c>
      <c r="N9" s="301">
        <f>-VLOOKUP(A9,'I. Balanza'!$C$8:$P$620,14,0)</f>
        <v>3701912.21</v>
      </c>
      <c r="O9" s="301">
        <f>-VLOOKUP(A9,'I. Balanza'!$C$8:$Q$620,15,0)</f>
        <v>1533803.21</v>
      </c>
      <c r="P9" s="300">
        <f t="shared" si="0"/>
        <v>-4326373.2700000005</v>
      </c>
      <c r="Q9" s="306"/>
      <c r="R9" s="301"/>
    </row>
    <row r="10" spans="1:18" x14ac:dyDescent="0.2">
      <c r="A10" s="399">
        <v>21010001</v>
      </c>
      <c r="B10" s="297" t="s">
        <v>83</v>
      </c>
      <c r="C10" s="300">
        <f>-VLOOKUP(A10,'I. Balanza'!$C$8:$E$620,3,0)</f>
        <v>64144</v>
      </c>
      <c r="D10" s="301">
        <f>-VLOOKUP(A10,'I. Balanza'!$C$8:$F$620,4,0)</f>
        <v>81104</v>
      </c>
      <c r="E10" s="301">
        <f>-VLOOKUP(A10,'I. Balanza'!$C$8:$G$620,5,0)</f>
        <v>72711</v>
      </c>
      <c r="F10" s="301">
        <f>-VLOOKUP(A10,'I. Balanza'!$C$8:$H$620,6,0)</f>
        <v>64679</v>
      </c>
      <c r="G10" s="301">
        <f>-VLOOKUP(A10,'I. Balanza'!$C$8:$I$620,7,0)</f>
        <v>64644</v>
      </c>
      <c r="H10" s="301">
        <f>-VLOOKUP(A10,'I. Balanza'!$C$8:$J$620,8,0)</f>
        <v>64235</v>
      </c>
      <c r="I10" s="301">
        <f>-VLOOKUP(A10,'I. Balanza'!$C$8:$K$620,9,0)</f>
        <v>59903</v>
      </c>
      <c r="J10" s="301">
        <f>-VLOOKUP(A10,'I. Balanza'!$C$8:$M$620,10,0)</f>
        <v>66873</v>
      </c>
      <c r="K10" s="301">
        <f>-VLOOKUP(A10,'I. Balanza'!$C$8:$M$620,11,0)</f>
        <v>61742</v>
      </c>
      <c r="L10" s="301">
        <f>-VLOOKUP(A10,'I. Balanza'!$C$8:$N$620,12,0)</f>
        <v>69684</v>
      </c>
      <c r="M10" s="301">
        <f>-VLOOKUP(A10,'I. Balanza'!$C$8:$O$620,13,0)</f>
        <v>58553</v>
      </c>
      <c r="N10" s="301">
        <f>-VLOOKUP(A10,'I. Balanza'!$C$8:$P$620,14,0)</f>
        <v>60111</v>
      </c>
      <c r="O10" s="301">
        <f>-VLOOKUP(A10,'I. Balanza'!$C$8:$Q$620,15,0)</f>
        <v>0</v>
      </c>
      <c r="P10" s="300">
        <f t="shared" si="0"/>
        <v>-64144</v>
      </c>
      <c r="Q10" s="306"/>
      <c r="R10" s="301"/>
    </row>
    <row r="11" spans="1:18" x14ac:dyDescent="0.2">
      <c r="A11" s="400">
        <v>13030001</v>
      </c>
      <c r="B11" s="297" t="s">
        <v>74</v>
      </c>
      <c r="C11" s="300">
        <f>-VLOOKUP(A11,'I. Balanza'!$C$8:$E$620,3,0)</f>
        <v>-149443.73000000001</v>
      </c>
      <c r="D11" s="301">
        <f>-VLOOKUP(A11,'I. Balanza'!$C$8:$F$620,4,0)</f>
        <v>-763092.79</v>
      </c>
      <c r="E11" s="301">
        <f>-VLOOKUP(A11,'I. Balanza'!$C$8:$G$620,5,0)</f>
        <v>-645953.57999999996</v>
      </c>
      <c r="F11" s="301">
        <f>-VLOOKUP(A11,'I. Balanza'!$C$8:$H$620,6,0)</f>
        <v>-699714.3</v>
      </c>
      <c r="G11" s="301">
        <f>-VLOOKUP(A11,'I. Balanza'!$C$8:$I$620,7,0)</f>
        <v>-1089748.42</v>
      </c>
      <c r="H11" s="301">
        <f>-VLOOKUP(A11,'I. Balanza'!$C$8:$J$620,8,0)</f>
        <v>-826381.3</v>
      </c>
      <c r="I11" s="301">
        <f>-VLOOKUP(A11,'I. Balanza'!$C$8:$K$620,9,0)</f>
        <v>-780752.69</v>
      </c>
      <c r="J11" s="301">
        <f>-VLOOKUP(A11,'I. Balanza'!$C$8:$M$620,10,0)</f>
        <v>-932780.87</v>
      </c>
      <c r="K11" s="301">
        <f>-VLOOKUP(A11,'I. Balanza'!$C$8:$M$620,11,0)</f>
        <v>-687749.19</v>
      </c>
      <c r="L11" s="301">
        <f>-VLOOKUP(A11,'I. Balanza'!$C$8:$N$620,12,0)</f>
        <v>-372981.91</v>
      </c>
      <c r="M11" s="301">
        <f>-VLOOKUP(A11,'I. Balanza'!$C$8:$O$620,13,0)</f>
        <v>-627245.27</v>
      </c>
      <c r="N11" s="301">
        <f>-VLOOKUP(A11,'I. Balanza'!$C$8:$P$620,14,0)</f>
        <v>-486508.03</v>
      </c>
      <c r="O11" s="301">
        <f>-VLOOKUP(A11,'I. Balanza'!$C$8:$Q$620,15,0)</f>
        <v>-345198.15</v>
      </c>
      <c r="P11" s="300">
        <f>+O11-C11</f>
        <v>-195754.42</v>
      </c>
      <c r="Q11" s="306"/>
      <c r="R11" s="301"/>
    </row>
    <row r="12" spans="1:18" x14ac:dyDescent="0.2">
      <c r="A12" s="400">
        <v>21020005</v>
      </c>
      <c r="B12" s="297" t="s">
        <v>520</v>
      </c>
      <c r="C12" s="300">
        <f>-VLOOKUP(A12,'I. Balanza'!$C$8:$E$620,3,0)</f>
        <v>841796.99</v>
      </c>
      <c r="D12" s="301">
        <f>-VLOOKUP(A12,'I. Balanza'!$C$8:$F$620,4,0)</f>
        <v>653044.93999999994</v>
      </c>
      <c r="E12" s="301">
        <f>-VLOOKUP(A12,'I. Balanza'!$C$8:$G$620,5,0)</f>
        <v>682070.56</v>
      </c>
      <c r="F12" s="301">
        <f>-VLOOKUP(A12,'I. Balanza'!$C$8:$H$620,6,0)</f>
        <v>550049.51</v>
      </c>
      <c r="G12" s="301">
        <f>-VLOOKUP(A12,'I. Balanza'!$C$8:$I$620,7,0)</f>
        <v>512194.51</v>
      </c>
      <c r="H12" s="301">
        <f>-VLOOKUP(A12,'I. Balanza'!$C$8:$J$620,8,0)</f>
        <v>763932.8</v>
      </c>
      <c r="I12" s="301">
        <f>-VLOOKUP(A12,'I. Balanza'!$C$8:$K$620,9,0)</f>
        <v>470950.86</v>
      </c>
      <c r="J12" s="301">
        <f>-VLOOKUP(A12,'I. Balanza'!$C$8:$M$620,10,0)</f>
        <v>343024.83</v>
      </c>
      <c r="K12" s="301">
        <f>-VLOOKUP(A12,'I. Balanza'!$C$8:$M$620,11,0)</f>
        <v>420787.7</v>
      </c>
      <c r="L12" s="301">
        <f>-VLOOKUP(A12,'I. Balanza'!$C$8:$N$620,12,0)</f>
        <v>768823.7</v>
      </c>
      <c r="M12" s="301">
        <f>-VLOOKUP(A12,'I. Balanza'!$C$8:$O$620,13,0)</f>
        <v>451929.68</v>
      </c>
      <c r="N12" s="301">
        <f>-VLOOKUP(A12,'I. Balanza'!$C$8:$P$620,14,0)</f>
        <v>410570.22</v>
      </c>
      <c r="O12" s="301">
        <f>-VLOOKUP(A12,'I. Balanza'!$C$8:$Q$620,15,0)</f>
        <v>3072.38</v>
      </c>
      <c r="P12" s="300">
        <f>+O12-C12</f>
        <v>-838724.61</v>
      </c>
      <c r="Q12" s="306"/>
      <c r="R12" s="301"/>
    </row>
    <row r="13" spans="1:18" x14ac:dyDescent="0.2">
      <c r="A13" s="297">
        <v>21010002</v>
      </c>
      <c r="B13" s="297" t="s">
        <v>84</v>
      </c>
      <c r="C13" s="300">
        <f>-VLOOKUP(A13,'I. Balanza'!$C$8:$E$620,3,0)</f>
        <v>0</v>
      </c>
      <c r="D13" s="301">
        <f>-VLOOKUP(A13,'I. Balanza'!$C$8:$F$620,4,0)</f>
        <v>120378.12</v>
      </c>
      <c r="E13" s="301">
        <f>-VLOOKUP(A13,'I. Balanza'!$C$8:$G$620,5,0)</f>
        <v>247053.09</v>
      </c>
      <c r="F13" s="301">
        <f>-VLOOKUP(A13,'I. Balanza'!$C$8:$H$620,6,0)</f>
        <v>0</v>
      </c>
      <c r="G13" s="301">
        <f>-VLOOKUP(A13,'I. Balanza'!$C$8:$I$620,7,0)</f>
        <v>0</v>
      </c>
      <c r="H13" s="301">
        <f>-VLOOKUP(A13,'I. Balanza'!$C$8:$J$620,8,0)</f>
        <v>38465.769999999997</v>
      </c>
      <c r="I13" s="301">
        <f>-VLOOKUP(A13,'I. Balanza'!$C$8:$K$620,9,0)</f>
        <v>121499.93</v>
      </c>
      <c r="J13" s="301">
        <f>-VLOOKUP(A13,'I. Balanza'!$C$8:$M$620,10,0)</f>
        <v>0</v>
      </c>
      <c r="K13" s="301">
        <f>-VLOOKUP(A13,'I. Balanza'!$C$8:$M$620,11,0)</f>
        <v>121990.47</v>
      </c>
      <c r="L13" s="301">
        <f>-VLOOKUP(A13,'I. Balanza'!$C$8:$N$620,12,0)</f>
        <v>235100.6</v>
      </c>
      <c r="M13" s="301">
        <f>-VLOOKUP(A13,'I. Balanza'!$C$8:$O$620,13,0)</f>
        <v>352206.88</v>
      </c>
      <c r="N13" s="301">
        <f>-VLOOKUP(A13,'I. Balanza'!$C$8:$P$620,14,0)</f>
        <v>468403.45</v>
      </c>
      <c r="O13" s="301">
        <f>-VLOOKUP(A13,'I. Balanza'!$C$8:$Q$620,15,0)</f>
        <v>0</v>
      </c>
      <c r="P13" s="300">
        <f t="shared" si="0"/>
        <v>0</v>
      </c>
      <c r="Q13" s="306"/>
      <c r="R13" s="301"/>
    </row>
    <row r="14" spans="1:18" x14ac:dyDescent="0.2">
      <c r="A14" s="297">
        <v>21010003</v>
      </c>
      <c r="B14" s="297" t="s">
        <v>85</v>
      </c>
      <c r="C14" s="300">
        <f>-VLOOKUP(A14,'I. Balanza'!$C$8:$E$620,3,0)</f>
        <v>2228476.23</v>
      </c>
      <c r="D14" s="301">
        <f>-VLOOKUP(A14,'I. Balanza'!$C$8:$F$620,4,0)</f>
        <v>2499475.6800000002</v>
      </c>
      <c r="E14" s="301">
        <f>-VLOOKUP(A14,'I. Balanza'!$C$8:$G$620,5,0)</f>
        <v>2793028.86</v>
      </c>
      <c r="F14" s="301">
        <f>-VLOOKUP(A14,'I. Balanza'!$C$8:$H$620,6,0)</f>
        <v>901178.95</v>
      </c>
      <c r="G14" s="301">
        <f>-VLOOKUP(A14,'I. Balanza'!$C$8:$I$620,7,0)</f>
        <v>1144278.8899999999</v>
      </c>
      <c r="H14" s="301">
        <f>-VLOOKUP(A14,'I. Balanza'!$C$8:$J$620,8,0)</f>
        <v>1206855.6599999999</v>
      </c>
      <c r="I14" s="301">
        <f>-VLOOKUP(A14,'I. Balanza'!$C$8:$K$620,9,0)</f>
        <v>1469553.38</v>
      </c>
      <c r="J14" s="301">
        <f>-VLOOKUP(A14,'I. Balanza'!$C$8:$M$620,10,0)</f>
        <v>2073977.08</v>
      </c>
      <c r="K14" s="301">
        <f>-VLOOKUP(A14,'I. Balanza'!$C$8:$M$620,11,0)</f>
        <v>2661991.7400000002</v>
      </c>
      <c r="L14" s="301">
        <f>-VLOOKUP(A14,'I. Balanza'!$C$8:$N$620,12,0)</f>
        <v>3952778.36</v>
      </c>
      <c r="M14" s="301">
        <f>-VLOOKUP(A14,'I. Balanza'!$C$8:$O$620,13,0)</f>
        <v>4379694.75</v>
      </c>
      <c r="N14" s="301">
        <f>-VLOOKUP(A14,'I. Balanza'!$C$8:$P$620,14,0)</f>
        <v>4798621.07</v>
      </c>
      <c r="O14" s="301">
        <f>-VLOOKUP(A14,'I. Balanza'!$C$8:$Q$620,15,0)</f>
        <v>0</v>
      </c>
      <c r="P14" s="300">
        <f t="shared" si="0"/>
        <v>-2228476.23</v>
      </c>
      <c r="Q14" s="306"/>
      <c r="R14" s="301"/>
    </row>
    <row r="15" spans="1:18" x14ac:dyDescent="0.2">
      <c r="A15" s="297">
        <v>21070002</v>
      </c>
      <c r="B15" s="297" t="s">
        <v>115</v>
      </c>
      <c r="C15" s="300">
        <f>-VLOOKUP(A15,'I. Balanza'!$C$8:$E$620,3,0)</f>
        <v>-83843906</v>
      </c>
      <c r="D15" s="301">
        <f>-VLOOKUP(A15,'I. Balanza'!$C$8:$F$620,4,0)</f>
        <v>-84908373</v>
      </c>
      <c r="E15" s="301">
        <f>-VLOOKUP(A15,'I. Balanza'!$C$8:$G$620,5,0)</f>
        <v>-85579869</v>
      </c>
      <c r="F15" s="301">
        <f>-VLOOKUP(A15,'I. Balanza'!$C$8:$H$620,6,0)</f>
        <v>-89439290</v>
      </c>
      <c r="G15" s="301">
        <f>-VLOOKUP(A15,'I. Balanza'!$C$8:$I$620,7,0)</f>
        <v>-90774667</v>
      </c>
      <c r="H15" s="301">
        <f>-VLOOKUP(A15,'I. Balanza'!$C$8:$J$620,8,0)</f>
        <v>-91896162</v>
      </c>
      <c r="I15" s="301">
        <f>-VLOOKUP(A15,'I. Balanza'!$C$8:$K$620,9,0)</f>
        <v>-92653932</v>
      </c>
      <c r="J15" s="301">
        <f>-VLOOKUP(A15,'I. Balanza'!$C$8:$M$620,10,0)</f>
        <v>-94028821</v>
      </c>
      <c r="K15" s="301">
        <f>-VLOOKUP(A15,'I. Balanza'!$C$8:$M$620,11,0)</f>
        <v>-95128936</v>
      </c>
      <c r="L15" s="301">
        <f>-VLOOKUP(A15,'I. Balanza'!$C$8:$N$620,12,0)</f>
        <v>-95819047</v>
      </c>
      <c r="M15" s="301">
        <f>-VLOOKUP(A15,'I. Balanza'!$C$8:$O$620,13,0)</f>
        <v>-97076033</v>
      </c>
      <c r="N15" s="301">
        <f>-VLOOKUP(A15,'I. Balanza'!$C$8:$P$620,14,0)</f>
        <v>-97717169</v>
      </c>
      <c r="O15" s="301">
        <f>-VLOOKUP(A15,'I. Balanza'!$C$8:$Q$620,15,0)</f>
        <v>-98518383</v>
      </c>
      <c r="P15" s="300">
        <f t="shared" si="0"/>
        <v>-14674477</v>
      </c>
      <c r="Q15" s="306"/>
      <c r="R15" s="301"/>
    </row>
    <row r="16" spans="1:18" x14ac:dyDescent="0.2">
      <c r="A16" s="297">
        <v>21100001</v>
      </c>
      <c r="B16" s="297" t="s">
        <v>118</v>
      </c>
      <c r="C16" s="300">
        <f>-VLOOKUP(A16,'I. Balanza'!$C$8:$E$620,3,0)</f>
        <v>385296.81</v>
      </c>
      <c r="D16" s="301">
        <f>-VLOOKUP(A16,'I. Balanza'!$C$8:$F$620,4,0)</f>
        <v>385296.81</v>
      </c>
      <c r="E16" s="301">
        <f>-VLOOKUP(A16,'I. Balanza'!$C$8:$G$620,5,0)</f>
        <v>385296.81</v>
      </c>
      <c r="F16" s="301">
        <f>-VLOOKUP(A16,'I. Balanza'!$C$8:$H$620,6,0)</f>
        <v>211043.81</v>
      </c>
      <c r="G16" s="301">
        <f>-VLOOKUP(A16,'I. Balanza'!$C$8:$I$620,7,0)</f>
        <v>211043.81</v>
      </c>
      <c r="H16" s="301">
        <f>-VLOOKUP(A16,'I. Balanza'!$C$8:$J$620,8,0)</f>
        <v>211043.81</v>
      </c>
      <c r="I16" s="301">
        <f>-VLOOKUP(A16,'I. Balanza'!$C$8:$K$620,9,0)</f>
        <v>214555.86</v>
      </c>
      <c r="J16" s="301">
        <f>-VLOOKUP(A16,'I. Balanza'!$C$8:$M$620,10,0)</f>
        <v>214555.86</v>
      </c>
      <c r="K16" s="301">
        <f>-VLOOKUP(A16,'I. Balanza'!$C$8:$M$620,11,0)</f>
        <v>214555.86</v>
      </c>
      <c r="L16" s="301">
        <f>-VLOOKUP(A16,'I. Balanza'!$C$8:$N$620,12,0)</f>
        <v>352107.43</v>
      </c>
      <c r="M16" s="301">
        <f>-VLOOKUP(A16,'I. Balanza'!$C$8:$O$620,13,0)</f>
        <v>352107.43</v>
      </c>
      <c r="N16" s="301">
        <f>-VLOOKUP(A16,'I. Balanza'!$C$8:$P$620,14,0)</f>
        <v>352107.43</v>
      </c>
      <c r="O16" s="301">
        <f>-VLOOKUP(A16,'I. Balanza'!$C$8:$Q$620,15,0)</f>
        <v>343485.43</v>
      </c>
      <c r="P16" s="300">
        <f t="shared" si="0"/>
        <v>-41811.380000000005</v>
      </c>
      <c r="Q16" s="306"/>
      <c r="R16" s="301"/>
    </row>
    <row r="17" spans="1:18" x14ac:dyDescent="0.2">
      <c r="A17" s="297">
        <v>21100020</v>
      </c>
      <c r="B17" s="297" t="s">
        <v>257</v>
      </c>
      <c r="C17" s="300">
        <f>-VLOOKUP(A17,'I. Balanza'!$C$8:$E$620,3,0)</f>
        <v>811640.48</v>
      </c>
      <c r="D17" s="301">
        <f>-VLOOKUP(A17,'I. Balanza'!$C$8:$F$620,4,0)</f>
        <v>1135088.77</v>
      </c>
      <c r="E17" s="301">
        <f>-VLOOKUP(A17,'I. Balanza'!$C$8:$G$620,5,0)</f>
        <v>728519.26</v>
      </c>
      <c r="F17" s="301">
        <f>-VLOOKUP(A17,'I. Balanza'!$C$8:$H$620,6,0)</f>
        <v>654458.93999999994</v>
      </c>
      <c r="G17" s="301">
        <f>-VLOOKUP(A17,'I. Balanza'!$C$8:$I$620,7,0)</f>
        <v>724003.59</v>
      </c>
      <c r="H17" s="301">
        <f>-VLOOKUP(A17,'I. Balanza'!$C$8:$J$620,8,0)</f>
        <v>807545.74</v>
      </c>
      <c r="I17" s="301">
        <f>-VLOOKUP(A17,'I. Balanza'!$C$8:$K$620,9,0)</f>
        <v>1066255.19</v>
      </c>
      <c r="J17" s="301">
        <f>-VLOOKUP(A17,'I. Balanza'!$C$8:$M$620,10,0)</f>
        <v>1218312.8700000001</v>
      </c>
      <c r="K17" s="301">
        <f>-VLOOKUP(A17,'I. Balanza'!$C$8:$M$620,11,0)</f>
        <v>1139749.1299999999</v>
      </c>
      <c r="L17" s="301">
        <f>-VLOOKUP(A17,'I. Balanza'!$C$8:$N$620,12,0)</f>
        <v>1242378.3600000001</v>
      </c>
      <c r="M17" s="301">
        <f>-VLOOKUP(A17,'I. Balanza'!$C$8:$O$620,13,0)</f>
        <v>867991.63</v>
      </c>
      <c r="N17" s="301">
        <f>-VLOOKUP(A17,'I. Balanza'!$C$8:$P$620,14,0)</f>
        <v>713985.43</v>
      </c>
      <c r="O17" s="301">
        <f>-VLOOKUP(A17,'I. Balanza'!$C$8:$Q$620,15,0)</f>
        <v>703109.06</v>
      </c>
      <c r="P17" s="300">
        <f t="shared" ref="P17:P31" si="1">+O17-C17</f>
        <v>-108531.41999999993</v>
      </c>
      <c r="Q17" s="306"/>
      <c r="R17" s="301"/>
    </row>
    <row r="18" spans="1:18" x14ac:dyDescent="0.2">
      <c r="B18" s="297" t="s">
        <v>705</v>
      </c>
      <c r="C18" s="300">
        <v>0</v>
      </c>
      <c r="G18" s="300"/>
      <c r="H18" s="300"/>
      <c r="I18" s="300">
        <v>33744.83</v>
      </c>
      <c r="J18" s="300">
        <v>111344.27</v>
      </c>
      <c r="K18" s="300">
        <v>0</v>
      </c>
      <c r="L18" s="300">
        <v>0</v>
      </c>
      <c r="M18" s="300">
        <v>146092.82999999999</v>
      </c>
      <c r="N18" s="300">
        <v>188495.39</v>
      </c>
      <c r="O18" s="300">
        <v>239256.38</v>
      </c>
      <c r="P18" s="300">
        <f t="shared" si="1"/>
        <v>239256.38</v>
      </c>
      <c r="Q18" s="306"/>
    </row>
    <row r="19" spans="1:18" x14ac:dyDescent="0.2">
      <c r="B19" s="297" t="s">
        <v>745</v>
      </c>
      <c r="C19" s="300">
        <v>0</v>
      </c>
      <c r="D19" s="300">
        <v>20000</v>
      </c>
      <c r="E19" s="300">
        <v>40000</v>
      </c>
      <c r="F19" s="300">
        <v>60000</v>
      </c>
      <c r="G19" s="300">
        <v>80000</v>
      </c>
      <c r="H19" s="300">
        <v>100000</v>
      </c>
      <c r="I19" s="300">
        <v>120000</v>
      </c>
      <c r="J19" s="300">
        <v>155000</v>
      </c>
      <c r="K19" s="300">
        <v>190000</v>
      </c>
      <c r="L19" s="300">
        <v>225000</v>
      </c>
      <c r="M19" s="300">
        <v>260000</v>
      </c>
      <c r="N19" s="300">
        <v>68170.100000000006</v>
      </c>
      <c r="O19" s="300">
        <v>0</v>
      </c>
      <c r="P19" s="300">
        <f t="shared" si="1"/>
        <v>0</v>
      </c>
      <c r="Q19" s="306"/>
    </row>
    <row r="20" spans="1:18" x14ac:dyDescent="0.2">
      <c r="B20" s="297" t="s">
        <v>702</v>
      </c>
      <c r="C20" s="300">
        <v>160844.10999999999</v>
      </c>
      <c r="D20" s="300">
        <v>184111.77</v>
      </c>
      <c r="E20" s="300">
        <v>207379.43</v>
      </c>
      <c r="F20" s="300">
        <v>123258.08999999997</v>
      </c>
      <c r="G20" s="300">
        <v>146525.75</v>
      </c>
      <c r="H20" s="300">
        <v>169793.40999999997</v>
      </c>
      <c r="I20" s="300">
        <v>139366.06999999995</v>
      </c>
      <c r="J20" s="300">
        <v>162633.72999999998</v>
      </c>
      <c r="K20" s="300">
        <v>185901.39</v>
      </c>
      <c r="L20" s="300">
        <v>207155.36</v>
      </c>
      <c r="M20" s="300">
        <v>231541.74</v>
      </c>
      <c r="N20" s="300">
        <v>254809.40000000002</v>
      </c>
      <c r="O20" s="300">
        <v>278077.06</v>
      </c>
      <c r="P20" s="300">
        <f>+O20-C20</f>
        <v>117232.95000000001</v>
      </c>
      <c r="Q20" s="306"/>
    </row>
    <row r="21" spans="1:18" x14ac:dyDescent="0.2">
      <c r="B21" s="297" t="s">
        <v>703</v>
      </c>
      <c r="C21" s="300">
        <v>6109.61</v>
      </c>
      <c r="D21" s="300">
        <v>12038.83</v>
      </c>
      <c r="E21" s="300">
        <v>25050.98</v>
      </c>
      <c r="F21" s="300">
        <v>11080.95</v>
      </c>
      <c r="G21" s="300">
        <v>34584.33</v>
      </c>
      <c r="H21" s="300">
        <v>14498.01</v>
      </c>
      <c r="I21" s="300">
        <v>6374.19</v>
      </c>
      <c r="J21" s="300">
        <v>12008.44</v>
      </c>
      <c r="K21" s="300">
        <v>21358.959999999999</v>
      </c>
      <c r="L21" s="300">
        <v>21351.19</v>
      </c>
      <c r="M21" s="300">
        <v>56576.639999999999</v>
      </c>
      <c r="N21" s="300">
        <v>28730.12</v>
      </c>
      <c r="O21" s="300">
        <v>11995.2</v>
      </c>
      <c r="P21" s="300">
        <f t="shared" si="1"/>
        <v>5885.5900000000011</v>
      </c>
      <c r="Q21" s="306"/>
    </row>
    <row r="22" spans="1:18" x14ac:dyDescent="0.2">
      <c r="B22" s="297" t="s">
        <v>746</v>
      </c>
      <c r="C22" s="300">
        <v>0</v>
      </c>
      <c r="D22" s="300">
        <v>466253</v>
      </c>
      <c r="E22" s="300">
        <v>0</v>
      </c>
      <c r="G22" s="300">
        <v>0</v>
      </c>
      <c r="H22" s="300">
        <v>55595.61</v>
      </c>
      <c r="I22" s="300">
        <v>150000</v>
      </c>
      <c r="J22" s="300">
        <v>140775.39000000001</v>
      </c>
      <c r="K22" s="300">
        <v>93698.43</v>
      </c>
      <c r="L22" s="300">
        <v>140725.44</v>
      </c>
      <c r="M22" s="300">
        <v>0</v>
      </c>
      <c r="N22" s="300">
        <v>0</v>
      </c>
      <c r="O22" s="300">
        <v>0</v>
      </c>
      <c r="P22" s="300">
        <f t="shared" si="1"/>
        <v>0</v>
      </c>
      <c r="Q22" s="306"/>
    </row>
    <row r="23" spans="1:18" x14ac:dyDescent="0.2">
      <c r="B23" s="297" t="s">
        <v>704</v>
      </c>
      <c r="C23" s="300">
        <v>230403.66</v>
      </c>
      <c r="D23" s="300">
        <v>35198.03</v>
      </c>
      <c r="E23" s="300">
        <v>35198.03</v>
      </c>
      <c r="F23" s="300">
        <v>35198.03</v>
      </c>
      <c r="G23" s="300">
        <v>35198.03</v>
      </c>
      <c r="H23" s="300">
        <v>35198.03</v>
      </c>
      <c r="I23" s="300">
        <v>173780.43</v>
      </c>
      <c r="J23" s="300">
        <v>173780.43</v>
      </c>
      <c r="K23" s="300">
        <v>173780.43</v>
      </c>
      <c r="L23" s="300">
        <v>173780.43</v>
      </c>
      <c r="M23" s="300">
        <v>173780.43</v>
      </c>
      <c r="N23" s="300">
        <v>173780.43</v>
      </c>
      <c r="O23" s="300">
        <v>173780.43</v>
      </c>
      <c r="P23" s="300">
        <f t="shared" si="1"/>
        <v>-56623.23000000001</v>
      </c>
      <c r="Q23" s="306"/>
    </row>
    <row r="24" spans="1:18" x14ac:dyDescent="0.2">
      <c r="B24" s="297" t="s">
        <v>704</v>
      </c>
      <c r="C24" s="300">
        <v>414283.1</v>
      </c>
      <c r="D24" s="300">
        <v>417487.1</v>
      </c>
      <c r="E24" s="300">
        <v>420890.82</v>
      </c>
      <c r="F24" s="300">
        <v>424921.83</v>
      </c>
      <c r="G24" s="300">
        <v>427695.44</v>
      </c>
      <c r="H24" s="300">
        <v>432460.64</v>
      </c>
      <c r="I24" s="300">
        <v>442989.67</v>
      </c>
      <c r="J24" s="300">
        <v>462770.61</v>
      </c>
      <c r="K24" s="300">
        <v>475009.93</v>
      </c>
      <c r="L24" s="300">
        <v>474365.94</v>
      </c>
      <c r="M24" s="300">
        <v>0</v>
      </c>
      <c r="N24" s="300">
        <v>0</v>
      </c>
      <c r="O24" s="300"/>
      <c r="P24" s="300">
        <f t="shared" si="1"/>
        <v>-414283.1</v>
      </c>
      <c r="Q24" s="306"/>
    </row>
    <row r="25" spans="1:18" x14ac:dyDescent="0.2">
      <c r="A25" s="297">
        <v>21110001</v>
      </c>
      <c r="B25" s="297" t="s">
        <v>121</v>
      </c>
      <c r="C25" s="300">
        <f>-VLOOKUP(A25,'I. Balanza'!$C$8:$E$620,3,0)</f>
        <v>0</v>
      </c>
      <c r="D25" s="301">
        <f>-VLOOKUP(A25,'I. Balanza'!$C$8:$F$620,4,0)</f>
        <v>4607589</v>
      </c>
      <c r="E25" s="301">
        <f>-VLOOKUP(A25,'I. Balanza'!$C$8:$G$620,5,0)</f>
        <v>5006137</v>
      </c>
      <c r="F25" s="301">
        <f>-VLOOKUP(A25,'I. Balanza'!$C$8:$H$620,6,0)</f>
        <v>4607589</v>
      </c>
      <c r="G25" s="301">
        <f>-VLOOKUP(A25,'I. Balanza'!$C$8:$I$620,7,0)</f>
        <v>4607589</v>
      </c>
      <c r="H25" s="301">
        <f>-VLOOKUP(A25,'I. Balanza'!$C$8:$J$620,8,0)</f>
        <v>0</v>
      </c>
      <c r="I25" s="301">
        <f>-VLOOKUP(A25,'I. Balanza'!$C$8:$K$620,9,0)</f>
        <v>0</v>
      </c>
      <c r="J25" s="301">
        <f>-VLOOKUP(A25,'I. Balanza'!$C$8:$M$620,10,0)</f>
        <v>0</v>
      </c>
      <c r="K25" s="301">
        <f>-VLOOKUP(A25,'I. Balanza'!$C$8:$M$620,11,0)</f>
        <v>0</v>
      </c>
      <c r="L25" s="301">
        <f>-VLOOKUP(A25,'I. Balanza'!$C$8:$N$620,12,0)</f>
        <v>0</v>
      </c>
      <c r="M25" s="301">
        <f>-VLOOKUP(A25,'I. Balanza'!$C$8:$O$620,13,0)</f>
        <v>0</v>
      </c>
      <c r="N25" s="301">
        <f>-VLOOKUP(A25,'I. Balanza'!$C$8:$P$620,14,0)</f>
        <v>0</v>
      </c>
      <c r="O25" s="301">
        <f>-VLOOKUP(A25,'I. Balanza'!$C$8:$Q$620,15,0)</f>
        <v>0</v>
      </c>
      <c r="P25" s="300">
        <f t="shared" ref="P25" si="2">+O25-C25</f>
        <v>0</v>
      </c>
      <c r="Q25" s="306"/>
    </row>
    <row r="26" spans="1:18" x14ac:dyDescent="0.2">
      <c r="A26" s="297">
        <v>21110002</v>
      </c>
      <c r="B26" s="297" t="s">
        <v>122</v>
      </c>
      <c r="C26" s="300">
        <f>-VLOOKUP(A26,'I. Balanza'!$C$8:$E$620,3,0)</f>
        <v>4607589</v>
      </c>
      <c r="D26" s="301">
        <f>-VLOOKUP(A26,'I. Balanza'!$C$8:$F$620,4,0)</f>
        <v>107332</v>
      </c>
      <c r="E26" s="301">
        <f>-VLOOKUP(A26,'I. Balanza'!$C$8:$G$620,5,0)</f>
        <v>107332</v>
      </c>
      <c r="F26" s="301">
        <f>-VLOOKUP(A26,'I. Balanza'!$C$8:$H$620,6,0)</f>
        <v>899988</v>
      </c>
      <c r="G26" s="301">
        <f>-VLOOKUP(A26,'I. Balanza'!$C$8:$I$620,7,0)</f>
        <v>1212947</v>
      </c>
      <c r="H26" s="301">
        <f>-VLOOKUP(A26,'I. Balanza'!$C$8:$J$620,8,0)</f>
        <v>1540187</v>
      </c>
      <c r="I26" s="301">
        <f>-VLOOKUP(A26,'I. Balanza'!$C$8:$K$620,9,0)</f>
        <v>2506533</v>
      </c>
      <c r="J26" s="301">
        <f>-VLOOKUP(A26,'I. Balanza'!$C$8:$M$620,10,0)</f>
        <v>3123299</v>
      </c>
      <c r="K26" s="301">
        <f>-VLOOKUP(A26,'I. Balanza'!$C$8:$M$620,11,0)</f>
        <v>3454328</v>
      </c>
      <c r="L26" s="301">
        <f>-VLOOKUP(A26,'I. Balanza'!$C$8:$N$620,12,0)</f>
        <v>4107194</v>
      </c>
      <c r="M26" s="301">
        <f>-VLOOKUP(A26,'I. Balanza'!$C$8:$O$620,13,0)</f>
        <v>4296002.2</v>
      </c>
      <c r="N26" s="301">
        <f>-VLOOKUP(A26,'I. Balanza'!$C$8:$P$620,14,0)</f>
        <v>4584704.2</v>
      </c>
      <c r="O26" s="301">
        <f>-VLOOKUP(A26,'I. Balanza'!$C$8:$Q$620,15,0)</f>
        <v>5476644.3899999997</v>
      </c>
      <c r="P26" s="300">
        <f t="shared" si="1"/>
        <v>869055.38999999966</v>
      </c>
      <c r="Q26" s="306"/>
      <c r="R26" s="301"/>
    </row>
    <row r="27" spans="1:18" x14ac:dyDescent="0.2">
      <c r="A27" s="297">
        <v>22100001</v>
      </c>
      <c r="B27" s="297" t="s">
        <v>706</v>
      </c>
      <c r="C27" s="300">
        <f>-VLOOKUP(A27,'I. Balanza'!$C$8:$E$620,3,0)</f>
        <v>549714.71</v>
      </c>
      <c r="D27" s="301">
        <f>-VLOOKUP(A27,'I. Balanza'!$C$8:$F$620,4,0)</f>
        <v>558559.63</v>
      </c>
      <c r="E27" s="301">
        <f>-VLOOKUP(A27,'I. Balanza'!$C$8:$G$620,5,0)</f>
        <v>568803.96</v>
      </c>
      <c r="F27" s="301">
        <f>-VLOOKUP(A27,'I. Balanza'!$C$8:$H$620,6,0)</f>
        <v>580447.71</v>
      </c>
      <c r="G27" s="301">
        <f>-VLOOKUP(A27,'I. Balanza'!$C$8:$I$620,7,0)</f>
        <v>590692.04</v>
      </c>
      <c r="H27" s="301">
        <f>-VLOOKUP(A27,'I. Balanza'!$C$8:$J$620,8,0)</f>
        <v>600936.37</v>
      </c>
      <c r="I27" s="301">
        <f>-VLOOKUP(A27,'I. Balanza'!$C$8:$K$620,9,0)</f>
        <v>611180.69999999995</v>
      </c>
      <c r="J27" s="301">
        <f>-VLOOKUP(A27,'I. Balanza'!$C$8:$M$620,10,0)</f>
        <v>621425.03</v>
      </c>
      <c r="K27" s="301">
        <f>-VLOOKUP(A27,'I. Balanza'!$C$8:$M$620,11,0)</f>
        <v>631669.36</v>
      </c>
      <c r="L27" s="301">
        <f>-VLOOKUP(A27,'I. Balanza'!$C$8:$N$620,12,0)</f>
        <v>641913.68999999994</v>
      </c>
      <c r="M27" s="301">
        <f>-VLOOKUP(A27,'I. Balanza'!$C$8:$O$620,13,0)</f>
        <v>652158.02</v>
      </c>
      <c r="N27" s="301">
        <f>-VLOOKUP(A27,'I. Balanza'!$C$8:$P$620,14,0)</f>
        <v>662402.35</v>
      </c>
      <c r="O27" s="301">
        <f>-VLOOKUP(A27,'I. Balanza'!$C$8:$Q$620,15,0)</f>
        <v>620206</v>
      </c>
      <c r="P27" s="300">
        <f t="shared" si="1"/>
        <v>70491.290000000037</v>
      </c>
      <c r="Q27" s="306"/>
      <c r="R27" s="301"/>
    </row>
    <row r="28" spans="1:18" x14ac:dyDescent="0.2">
      <c r="A28" s="297">
        <v>22100002</v>
      </c>
      <c r="B28" s="297" t="s">
        <v>707</v>
      </c>
      <c r="C28" s="300">
        <f>-VLOOKUP(A28,'I. Balanza'!$C$8:$E$620,3,0)</f>
        <v>583441.62</v>
      </c>
      <c r="D28" s="301">
        <f>-VLOOKUP(A28,'I. Balanza'!$C$8:$F$620,4,0)</f>
        <v>598087.19999999995</v>
      </c>
      <c r="E28" s="301">
        <f>-VLOOKUP(A28,'I. Balanza'!$C$8:$G$620,5,0)</f>
        <v>610820.69999999995</v>
      </c>
      <c r="F28" s="301">
        <f>-VLOOKUP(A28,'I. Balanza'!$C$8:$H$620,6,0)</f>
        <v>621642.12</v>
      </c>
      <c r="G28" s="301">
        <f>-VLOOKUP(A28,'I. Balanza'!$C$8:$I$620,7,0)</f>
        <v>634375.62</v>
      </c>
      <c r="H28" s="301">
        <f>-VLOOKUP(A28,'I. Balanza'!$C$8:$J$620,8,0)</f>
        <v>647109.12</v>
      </c>
      <c r="I28" s="301">
        <f>-VLOOKUP(A28,'I. Balanza'!$C$8:$K$620,9,0)</f>
        <v>659842.62</v>
      </c>
      <c r="J28" s="301">
        <f>-VLOOKUP(A28,'I. Balanza'!$C$8:$M$620,10,0)</f>
        <v>672576.12</v>
      </c>
      <c r="K28" s="301">
        <f>-VLOOKUP(A28,'I. Balanza'!$C$8:$M$620,11,0)</f>
        <v>685309.62</v>
      </c>
      <c r="L28" s="301">
        <f>-VLOOKUP(A28,'I. Balanza'!$C$8:$N$620,12,0)</f>
        <v>698043.12</v>
      </c>
      <c r="M28" s="301">
        <f>-VLOOKUP(A28,'I. Balanza'!$C$8:$O$620,13,0)</f>
        <v>710776.62</v>
      </c>
      <c r="N28" s="301">
        <f>-VLOOKUP(A28,'I. Balanza'!$C$8:$P$620,14,0)</f>
        <v>723510.12</v>
      </c>
      <c r="O28" s="301">
        <f>-VLOOKUP(A28,'I. Balanza'!$C$8:$Q$620,15,0)</f>
        <v>751130.07</v>
      </c>
      <c r="P28" s="300">
        <f t="shared" si="1"/>
        <v>167688.44999999995</v>
      </c>
      <c r="Q28" s="306"/>
      <c r="R28" s="301"/>
    </row>
    <row r="29" spans="1:18" x14ac:dyDescent="0.2">
      <c r="A29" s="297">
        <v>22100003</v>
      </c>
      <c r="B29" s="297" t="s">
        <v>126</v>
      </c>
      <c r="C29" s="300">
        <f>-VLOOKUP(A29,'I. Balanza'!$C$8:$E$620,3,0)</f>
        <v>1050089.96</v>
      </c>
      <c r="D29" s="301">
        <f>-VLOOKUP(A29,'I. Balanza'!$C$8:$F$620,4,0)</f>
        <v>1117399.6299999999</v>
      </c>
      <c r="E29" s="301">
        <f>-VLOOKUP(A29,'I. Balanza'!$C$8:$G$620,5,0)</f>
        <v>1216298.46</v>
      </c>
      <c r="F29" s="301">
        <f>-VLOOKUP(A29,'I. Balanza'!$C$8:$H$620,6,0)</f>
        <v>1346786.46</v>
      </c>
      <c r="G29" s="301">
        <f>-VLOOKUP(A29,'I. Balanza'!$C$8:$I$620,7,0)</f>
        <v>1445685.29</v>
      </c>
      <c r="H29" s="301">
        <f>-VLOOKUP(A29,'I. Balanza'!$C$8:$J$620,8,0)</f>
        <v>1544584.12</v>
      </c>
      <c r="I29" s="301">
        <f>-VLOOKUP(A29,'I. Balanza'!$C$8:$K$620,9,0)</f>
        <v>1643482.95</v>
      </c>
      <c r="J29" s="301">
        <f>-VLOOKUP(A29,'I. Balanza'!$C$8:$M$620,10,0)</f>
        <v>1742381.78</v>
      </c>
      <c r="K29" s="301">
        <f>-VLOOKUP(A29,'I. Balanza'!$C$8:$M$620,11,0)</f>
        <v>1841280.61</v>
      </c>
      <c r="L29" s="301">
        <f>-VLOOKUP(A29,'I. Balanza'!$C$8:$N$620,12,0)</f>
        <v>1940179.44</v>
      </c>
      <c r="M29" s="301">
        <f>-VLOOKUP(A29,'I. Balanza'!$C$8:$O$620,13,0)</f>
        <v>2039078.27</v>
      </c>
      <c r="N29" s="301">
        <f>-VLOOKUP(A29,'I. Balanza'!$C$8:$P$620,14,0)</f>
        <v>2137977.1</v>
      </c>
      <c r="O29" s="301">
        <f>-VLOOKUP(A29,'I. Balanza'!$C$8:$Q$620,15,0)</f>
        <v>2236875.9300000002</v>
      </c>
      <c r="P29" s="300">
        <f t="shared" si="1"/>
        <v>1186785.9700000002</v>
      </c>
      <c r="Q29" s="306"/>
      <c r="R29" s="301"/>
    </row>
    <row r="30" spans="1:18" x14ac:dyDescent="0.2">
      <c r="P30" s="300">
        <f t="shared" si="1"/>
        <v>0</v>
      </c>
      <c r="Q30" s="306"/>
    </row>
    <row r="31" spans="1:18" x14ac:dyDescent="0.2">
      <c r="C31" s="307">
        <f t="shared" ref="C31:O31" si="3">SUM(C8:C29)-C15-C26</f>
        <v>13284856.199999988</v>
      </c>
      <c r="D31" s="307">
        <f t="shared" si="3"/>
        <v>18236078.369999982</v>
      </c>
      <c r="E31" s="307">
        <f t="shared" si="3"/>
        <v>18501364.030000009</v>
      </c>
      <c r="F31" s="307">
        <f t="shared" si="3"/>
        <v>15282206.569999993</v>
      </c>
      <c r="G31" s="307">
        <f t="shared" si="3"/>
        <v>15358348.350000024</v>
      </c>
      <c r="H31" s="307">
        <f t="shared" si="3"/>
        <v>10994364.540000021</v>
      </c>
      <c r="I31" s="307">
        <f t="shared" si="3"/>
        <v>12032747.040000007</v>
      </c>
      <c r="J31" s="307">
        <f t="shared" si="3"/>
        <v>12668678.62000002</v>
      </c>
      <c r="K31" s="307">
        <f t="shared" si="3"/>
        <v>13661096.49000001</v>
      </c>
      <c r="L31" s="307">
        <f t="shared" si="3"/>
        <v>15078852.13000001</v>
      </c>
      <c r="M31" s="307">
        <f t="shared" si="3"/>
        <v>14413689.629999999</v>
      </c>
      <c r="N31" s="307">
        <f t="shared" si="3"/>
        <v>14863612.560000021</v>
      </c>
      <c r="O31" s="307">
        <f t="shared" si="3"/>
        <v>6889309.6000000248</v>
      </c>
      <c r="P31" s="300">
        <f t="shared" si="1"/>
        <v>-6395546.5999999633</v>
      </c>
      <c r="Q31" s="306"/>
    </row>
    <row r="32" spans="1:18" x14ac:dyDescent="0.2">
      <c r="H32" s="308"/>
      <c r="P32" s="300">
        <f>+O31-C31-P31</f>
        <v>0</v>
      </c>
    </row>
    <row r="34" spans="7:15" x14ac:dyDescent="0.2">
      <c r="G34" s="300"/>
      <c r="H34" s="300"/>
      <c r="I34" s="300"/>
      <c r="J34" s="300"/>
      <c r="K34" s="300"/>
      <c r="L34" s="300"/>
      <c r="M34" s="300"/>
      <c r="N34" s="300"/>
      <c r="O34" s="300"/>
    </row>
  </sheetData>
  <mergeCells count="1">
    <mergeCell ref="C6:N6"/>
  </mergeCells>
  <printOptions horizontalCentered="1" verticalCentered="1"/>
  <pageMargins left="0.27" right="0.25" top="0.7" bottom="0.55000000000000004" header="0.35" footer="0.17"/>
  <pageSetup scale="58" orientation="landscape" r:id="rId1"/>
  <headerFooter alignWithMargins="0">
    <oddHeader>&amp;A</oddHeader>
    <oddFooter>&amp;L&amp;P&amp;C&amp;F&amp;R&amp;A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032C1-3F19-4B18-A968-F4EFBC687009}">
  <sheetPr>
    <pageSetUpPr fitToPage="1"/>
  </sheetPr>
  <dimension ref="A1:L273"/>
  <sheetViews>
    <sheetView showGridLines="0" zoomScaleNormal="100" workbookViewId="0">
      <pane ySplit="9" topLeftCell="A10" activePane="bottomLeft" state="frozen"/>
      <selection activeCell="E27" sqref="E27"/>
      <selection pane="bottomLeft" activeCell="A283" sqref="A283"/>
    </sheetView>
  </sheetViews>
  <sheetFormatPr baseColWidth="10" defaultColWidth="10.88671875" defaultRowHeight="12.75" x14ac:dyDescent="0.2"/>
  <cols>
    <col min="1" max="1" width="27.5546875" style="191" customWidth="1"/>
    <col min="2" max="2" width="37.109375" style="191" customWidth="1"/>
    <col min="3" max="3" width="28.33203125" style="191" customWidth="1"/>
    <col min="4" max="4" width="5.88671875" style="191" customWidth="1"/>
    <col min="5" max="5" width="13.88671875" style="401" bestFit="1" customWidth="1"/>
    <col min="6" max="6" width="9.88671875" style="401" bestFit="1" customWidth="1"/>
    <col min="7" max="7" width="1.5546875" style="403" customWidth="1"/>
    <col min="8" max="8" width="11.77734375" style="403" customWidth="1"/>
    <col min="9" max="9" width="10" style="191" bestFit="1" customWidth="1"/>
    <col min="10" max="10" width="11.88671875" style="191" customWidth="1"/>
    <col min="11" max="11" width="7.109375" style="191" customWidth="1"/>
    <col min="12" max="12" width="36.44140625" style="191" bestFit="1" customWidth="1"/>
    <col min="13" max="257" width="7.109375" style="191" customWidth="1"/>
    <col min="258" max="258" width="6.5546875" style="191" bestFit="1" customWidth="1"/>
    <col min="259" max="259" width="37.109375" style="191" customWidth="1"/>
    <col min="260" max="260" width="3.5546875" style="191" bestFit="1" customWidth="1"/>
    <col min="261" max="261" width="3.5546875" style="191" customWidth="1"/>
    <col min="262" max="262" width="13.88671875" style="191" bestFit="1" customWidth="1"/>
    <col min="263" max="263" width="9.109375" style="191" customWidth="1"/>
    <col min="264" max="264" width="1.5546875" style="191" customWidth="1"/>
    <col min="265" max="265" width="8.109375" style="191" bestFit="1" customWidth="1"/>
    <col min="266" max="266" width="10" style="191" bestFit="1" customWidth="1"/>
    <col min="267" max="513" width="7.109375" style="191" customWidth="1"/>
    <col min="514" max="514" width="6.5546875" style="191" bestFit="1" customWidth="1"/>
    <col min="515" max="515" width="37.109375" style="191" customWidth="1"/>
    <col min="516" max="516" width="3.5546875" style="191" bestFit="1" customWidth="1"/>
    <col min="517" max="517" width="3.5546875" style="191" customWidth="1"/>
    <col min="518" max="518" width="13.88671875" style="191" bestFit="1" customWidth="1"/>
    <col min="519" max="519" width="9.109375" style="191" customWidth="1"/>
    <col min="520" max="520" width="1.5546875" style="191" customWidth="1"/>
    <col min="521" max="521" width="8.109375" style="191" bestFit="1" customWidth="1"/>
    <col min="522" max="522" width="10" style="191" bestFit="1" customWidth="1"/>
    <col min="523" max="769" width="7.109375" style="191" customWidth="1"/>
    <col min="770" max="770" width="6.5546875" style="191" bestFit="1" customWidth="1"/>
    <col min="771" max="771" width="37.109375" style="191" customWidth="1"/>
    <col min="772" max="772" width="3.5546875" style="191" bestFit="1" customWidth="1"/>
    <col min="773" max="773" width="3.5546875" style="191" customWidth="1"/>
    <col min="774" max="774" width="13.88671875" style="191" bestFit="1" customWidth="1"/>
    <col min="775" max="775" width="9.109375" style="191" customWidth="1"/>
    <col min="776" max="776" width="1.5546875" style="191" customWidth="1"/>
    <col min="777" max="777" width="8.109375" style="191" bestFit="1" customWidth="1"/>
    <col min="778" max="778" width="10" style="191" bestFit="1" customWidth="1"/>
    <col min="779" max="1025" width="7.109375" style="191" customWidth="1"/>
    <col min="1026" max="1026" width="6.5546875" style="191" bestFit="1" customWidth="1"/>
    <col min="1027" max="1027" width="37.109375" style="191" customWidth="1"/>
    <col min="1028" max="1028" width="3.5546875" style="191" bestFit="1" customWidth="1"/>
    <col min="1029" max="1029" width="3.5546875" style="191" customWidth="1"/>
    <col min="1030" max="1030" width="13.88671875" style="191" bestFit="1" customWidth="1"/>
    <col min="1031" max="1031" width="9.109375" style="191" customWidth="1"/>
    <col min="1032" max="1032" width="1.5546875" style="191" customWidth="1"/>
    <col min="1033" max="1033" width="8.109375" style="191" bestFit="1" customWidth="1"/>
    <col min="1034" max="1034" width="10" style="191" bestFit="1" customWidth="1"/>
    <col min="1035" max="1281" width="7.109375" style="191" customWidth="1"/>
    <col min="1282" max="1282" width="6.5546875" style="191" bestFit="1" customWidth="1"/>
    <col min="1283" max="1283" width="37.109375" style="191" customWidth="1"/>
    <col min="1284" max="1284" width="3.5546875" style="191" bestFit="1" customWidth="1"/>
    <col min="1285" max="1285" width="3.5546875" style="191" customWidth="1"/>
    <col min="1286" max="1286" width="13.88671875" style="191" bestFit="1" customWidth="1"/>
    <col min="1287" max="1287" width="9.109375" style="191" customWidth="1"/>
    <col min="1288" max="1288" width="1.5546875" style="191" customWidth="1"/>
    <col min="1289" max="1289" width="8.109375" style="191" bestFit="1" customWidth="1"/>
    <col min="1290" max="1290" width="10" style="191" bestFit="1" customWidth="1"/>
    <col min="1291" max="1537" width="7.109375" style="191" customWidth="1"/>
    <col min="1538" max="1538" width="6.5546875" style="191" bestFit="1" customWidth="1"/>
    <col min="1539" max="1539" width="37.109375" style="191" customWidth="1"/>
    <col min="1540" max="1540" width="3.5546875" style="191" bestFit="1" customWidth="1"/>
    <col min="1541" max="1541" width="3.5546875" style="191" customWidth="1"/>
    <col min="1542" max="1542" width="13.88671875" style="191" bestFit="1" customWidth="1"/>
    <col min="1543" max="1543" width="9.109375" style="191" customWidth="1"/>
    <col min="1544" max="1544" width="1.5546875" style="191" customWidth="1"/>
    <col min="1545" max="1545" width="8.109375" style="191" bestFit="1" customWidth="1"/>
    <col min="1546" max="1546" width="10" style="191" bestFit="1" customWidth="1"/>
    <col min="1547" max="1793" width="7.109375" style="191" customWidth="1"/>
    <col min="1794" max="1794" width="6.5546875" style="191" bestFit="1" customWidth="1"/>
    <col min="1795" max="1795" width="37.109375" style="191" customWidth="1"/>
    <col min="1796" max="1796" width="3.5546875" style="191" bestFit="1" customWidth="1"/>
    <col min="1797" max="1797" width="3.5546875" style="191" customWidth="1"/>
    <col min="1798" max="1798" width="13.88671875" style="191" bestFit="1" customWidth="1"/>
    <col min="1799" max="1799" width="9.109375" style="191" customWidth="1"/>
    <col min="1800" max="1800" width="1.5546875" style="191" customWidth="1"/>
    <col min="1801" max="1801" width="8.109375" style="191" bestFit="1" customWidth="1"/>
    <col min="1802" max="1802" width="10" style="191" bestFit="1" customWidth="1"/>
    <col min="1803" max="2049" width="7.109375" style="191" customWidth="1"/>
    <col min="2050" max="2050" width="6.5546875" style="191" bestFit="1" customWidth="1"/>
    <col min="2051" max="2051" width="37.109375" style="191" customWidth="1"/>
    <col min="2052" max="2052" width="3.5546875" style="191" bestFit="1" customWidth="1"/>
    <col min="2053" max="2053" width="3.5546875" style="191" customWidth="1"/>
    <col min="2054" max="2054" width="13.88671875" style="191" bestFit="1" customWidth="1"/>
    <col min="2055" max="2055" width="9.109375" style="191" customWidth="1"/>
    <col min="2056" max="2056" width="1.5546875" style="191" customWidth="1"/>
    <col min="2057" max="2057" width="8.109375" style="191" bestFit="1" customWidth="1"/>
    <col min="2058" max="2058" width="10" style="191" bestFit="1" customWidth="1"/>
    <col min="2059" max="2305" width="7.109375" style="191" customWidth="1"/>
    <col min="2306" max="2306" width="6.5546875" style="191" bestFit="1" customWidth="1"/>
    <col min="2307" max="2307" width="37.109375" style="191" customWidth="1"/>
    <col min="2308" max="2308" width="3.5546875" style="191" bestFit="1" customWidth="1"/>
    <col min="2309" max="2309" width="3.5546875" style="191" customWidth="1"/>
    <col min="2310" max="2310" width="13.88671875" style="191" bestFit="1" customWidth="1"/>
    <col min="2311" max="2311" width="9.109375" style="191" customWidth="1"/>
    <col min="2312" max="2312" width="1.5546875" style="191" customWidth="1"/>
    <col min="2313" max="2313" width="8.109375" style="191" bestFit="1" customWidth="1"/>
    <col min="2314" max="2314" width="10" style="191" bestFit="1" customWidth="1"/>
    <col min="2315" max="2561" width="7.109375" style="191" customWidth="1"/>
    <col min="2562" max="2562" width="6.5546875" style="191" bestFit="1" customWidth="1"/>
    <col min="2563" max="2563" width="37.109375" style="191" customWidth="1"/>
    <col min="2564" max="2564" width="3.5546875" style="191" bestFit="1" customWidth="1"/>
    <col min="2565" max="2565" width="3.5546875" style="191" customWidth="1"/>
    <col min="2566" max="2566" width="13.88671875" style="191" bestFit="1" customWidth="1"/>
    <col min="2567" max="2567" width="9.109375" style="191" customWidth="1"/>
    <col min="2568" max="2568" width="1.5546875" style="191" customWidth="1"/>
    <col min="2569" max="2569" width="8.109375" style="191" bestFit="1" customWidth="1"/>
    <col min="2570" max="2570" width="10" style="191" bestFit="1" customWidth="1"/>
    <col min="2571" max="2817" width="7.109375" style="191" customWidth="1"/>
    <col min="2818" max="2818" width="6.5546875" style="191" bestFit="1" customWidth="1"/>
    <col min="2819" max="2819" width="37.109375" style="191" customWidth="1"/>
    <col min="2820" max="2820" width="3.5546875" style="191" bestFit="1" customWidth="1"/>
    <col min="2821" max="2821" width="3.5546875" style="191" customWidth="1"/>
    <col min="2822" max="2822" width="13.88671875" style="191" bestFit="1" customWidth="1"/>
    <col min="2823" max="2823" width="9.109375" style="191" customWidth="1"/>
    <col min="2824" max="2824" width="1.5546875" style="191" customWidth="1"/>
    <col min="2825" max="2825" width="8.109375" style="191" bestFit="1" customWidth="1"/>
    <col min="2826" max="2826" width="10" style="191" bestFit="1" customWidth="1"/>
    <col min="2827" max="3073" width="7.109375" style="191" customWidth="1"/>
    <col min="3074" max="3074" width="6.5546875" style="191" bestFit="1" customWidth="1"/>
    <col min="3075" max="3075" width="37.109375" style="191" customWidth="1"/>
    <col min="3076" max="3076" width="3.5546875" style="191" bestFit="1" customWidth="1"/>
    <col min="3077" max="3077" width="3.5546875" style="191" customWidth="1"/>
    <col min="3078" max="3078" width="13.88671875" style="191" bestFit="1" customWidth="1"/>
    <col min="3079" max="3079" width="9.109375" style="191" customWidth="1"/>
    <col min="3080" max="3080" width="1.5546875" style="191" customWidth="1"/>
    <col min="3081" max="3081" width="8.109375" style="191" bestFit="1" customWidth="1"/>
    <col min="3082" max="3082" width="10" style="191" bestFit="1" customWidth="1"/>
    <col min="3083" max="3329" width="7.109375" style="191" customWidth="1"/>
    <col min="3330" max="3330" width="6.5546875" style="191" bestFit="1" customWidth="1"/>
    <col min="3331" max="3331" width="37.109375" style="191" customWidth="1"/>
    <col min="3332" max="3332" width="3.5546875" style="191" bestFit="1" customWidth="1"/>
    <col min="3333" max="3333" width="3.5546875" style="191" customWidth="1"/>
    <col min="3334" max="3334" width="13.88671875" style="191" bestFit="1" customWidth="1"/>
    <col min="3335" max="3335" width="9.109375" style="191" customWidth="1"/>
    <col min="3336" max="3336" width="1.5546875" style="191" customWidth="1"/>
    <col min="3337" max="3337" width="8.109375" style="191" bestFit="1" customWidth="1"/>
    <col min="3338" max="3338" width="10" style="191" bestFit="1" customWidth="1"/>
    <col min="3339" max="3585" width="7.109375" style="191" customWidth="1"/>
    <col min="3586" max="3586" width="6.5546875" style="191" bestFit="1" customWidth="1"/>
    <col min="3587" max="3587" width="37.109375" style="191" customWidth="1"/>
    <col min="3588" max="3588" width="3.5546875" style="191" bestFit="1" customWidth="1"/>
    <col min="3589" max="3589" width="3.5546875" style="191" customWidth="1"/>
    <col min="3590" max="3590" width="13.88671875" style="191" bestFit="1" customWidth="1"/>
    <col min="3591" max="3591" width="9.109375" style="191" customWidth="1"/>
    <col min="3592" max="3592" width="1.5546875" style="191" customWidth="1"/>
    <col min="3593" max="3593" width="8.109375" style="191" bestFit="1" customWidth="1"/>
    <col min="3594" max="3594" width="10" style="191" bestFit="1" customWidth="1"/>
    <col min="3595" max="3841" width="7.109375" style="191" customWidth="1"/>
    <col min="3842" max="3842" width="6.5546875" style="191" bestFit="1" customWidth="1"/>
    <col min="3843" max="3843" width="37.109375" style="191" customWidth="1"/>
    <col min="3844" max="3844" width="3.5546875" style="191" bestFit="1" customWidth="1"/>
    <col min="3845" max="3845" width="3.5546875" style="191" customWidth="1"/>
    <col min="3846" max="3846" width="13.88671875" style="191" bestFit="1" customWidth="1"/>
    <col min="3847" max="3847" width="9.109375" style="191" customWidth="1"/>
    <col min="3848" max="3848" width="1.5546875" style="191" customWidth="1"/>
    <col min="3849" max="3849" width="8.109375" style="191" bestFit="1" customWidth="1"/>
    <col min="3850" max="3850" width="10" style="191" bestFit="1" customWidth="1"/>
    <col min="3851" max="4097" width="7.109375" style="191" customWidth="1"/>
    <col min="4098" max="4098" width="6.5546875" style="191" bestFit="1" customWidth="1"/>
    <col min="4099" max="4099" width="37.109375" style="191" customWidth="1"/>
    <col min="4100" max="4100" width="3.5546875" style="191" bestFit="1" customWidth="1"/>
    <col min="4101" max="4101" width="3.5546875" style="191" customWidth="1"/>
    <col min="4102" max="4102" width="13.88671875" style="191" bestFit="1" customWidth="1"/>
    <col min="4103" max="4103" width="9.109375" style="191" customWidth="1"/>
    <col min="4104" max="4104" width="1.5546875" style="191" customWidth="1"/>
    <col min="4105" max="4105" width="8.109375" style="191" bestFit="1" customWidth="1"/>
    <col min="4106" max="4106" width="10" style="191" bestFit="1" customWidth="1"/>
    <col min="4107" max="4353" width="7.109375" style="191" customWidth="1"/>
    <col min="4354" max="4354" width="6.5546875" style="191" bestFit="1" customWidth="1"/>
    <col min="4355" max="4355" width="37.109375" style="191" customWidth="1"/>
    <col min="4356" max="4356" width="3.5546875" style="191" bestFit="1" customWidth="1"/>
    <col min="4357" max="4357" width="3.5546875" style="191" customWidth="1"/>
    <col min="4358" max="4358" width="13.88671875" style="191" bestFit="1" customWidth="1"/>
    <col min="4359" max="4359" width="9.109375" style="191" customWidth="1"/>
    <col min="4360" max="4360" width="1.5546875" style="191" customWidth="1"/>
    <col min="4361" max="4361" width="8.109375" style="191" bestFit="1" customWidth="1"/>
    <col min="4362" max="4362" width="10" style="191" bestFit="1" customWidth="1"/>
    <col min="4363" max="4609" width="7.109375" style="191" customWidth="1"/>
    <col min="4610" max="4610" width="6.5546875" style="191" bestFit="1" customWidth="1"/>
    <col min="4611" max="4611" width="37.109375" style="191" customWidth="1"/>
    <col min="4612" max="4612" width="3.5546875" style="191" bestFit="1" customWidth="1"/>
    <col min="4613" max="4613" width="3.5546875" style="191" customWidth="1"/>
    <col min="4614" max="4614" width="13.88671875" style="191" bestFit="1" customWidth="1"/>
    <col min="4615" max="4615" width="9.109375" style="191" customWidth="1"/>
    <col min="4616" max="4616" width="1.5546875" style="191" customWidth="1"/>
    <col min="4617" max="4617" width="8.109375" style="191" bestFit="1" customWidth="1"/>
    <col min="4618" max="4618" width="10" style="191" bestFit="1" customWidth="1"/>
    <col min="4619" max="4865" width="7.109375" style="191" customWidth="1"/>
    <col min="4866" max="4866" width="6.5546875" style="191" bestFit="1" customWidth="1"/>
    <col min="4867" max="4867" width="37.109375" style="191" customWidth="1"/>
    <col min="4868" max="4868" width="3.5546875" style="191" bestFit="1" customWidth="1"/>
    <col min="4869" max="4869" width="3.5546875" style="191" customWidth="1"/>
    <col min="4870" max="4870" width="13.88671875" style="191" bestFit="1" customWidth="1"/>
    <col min="4871" max="4871" width="9.109375" style="191" customWidth="1"/>
    <col min="4872" max="4872" width="1.5546875" style="191" customWidth="1"/>
    <col min="4873" max="4873" width="8.109375" style="191" bestFit="1" customWidth="1"/>
    <col min="4874" max="4874" width="10" style="191" bestFit="1" customWidth="1"/>
    <col min="4875" max="5121" width="7.109375" style="191" customWidth="1"/>
    <col min="5122" max="5122" width="6.5546875" style="191" bestFit="1" customWidth="1"/>
    <col min="5123" max="5123" width="37.109375" style="191" customWidth="1"/>
    <col min="5124" max="5124" width="3.5546875" style="191" bestFit="1" customWidth="1"/>
    <col min="5125" max="5125" width="3.5546875" style="191" customWidth="1"/>
    <col min="5126" max="5126" width="13.88671875" style="191" bestFit="1" customWidth="1"/>
    <col min="5127" max="5127" width="9.109375" style="191" customWidth="1"/>
    <col min="5128" max="5128" width="1.5546875" style="191" customWidth="1"/>
    <col min="5129" max="5129" width="8.109375" style="191" bestFit="1" customWidth="1"/>
    <col min="5130" max="5130" width="10" style="191" bestFit="1" customWidth="1"/>
    <col min="5131" max="5377" width="7.109375" style="191" customWidth="1"/>
    <col min="5378" max="5378" width="6.5546875" style="191" bestFit="1" customWidth="1"/>
    <col min="5379" max="5379" width="37.109375" style="191" customWidth="1"/>
    <col min="5380" max="5380" width="3.5546875" style="191" bestFit="1" customWidth="1"/>
    <col min="5381" max="5381" width="3.5546875" style="191" customWidth="1"/>
    <col min="5382" max="5382" width="13.88671875" style="191" bestFit="1" customWidth="1"/>
    <col min="5383" max="5383" width="9.109375" style="191" customWidth="1"/>
    <col min="5384" max="5384" width="1.5546875" style="191" customWidth="1"/>
    <col min="5385" max="5385" width="8.109375" style="191" bestFit="1" customWidth="1"/>
    <col min="5386" max="5386" width="10" style="191" bestFit="1" customWidth="1"/>
    <col min="5387" max="5633" width="7.109375" style="191" customWidth="1"/>
    <col min="5634" max="5634" width="6.5546875" style="191" bestFit="1" customWidth="1"/>
    <col min="5635" max="5635" width="37.109375" style="191" customWidth="1"/>
    <col min="5636" max="5636" width="3.5546875" style="191" bestFit="1" customWidth="1"/>
    <col min="5637" max="5637" width="3.5546875" style="191" customWidth="1"/>
    <col min="5638" max="5638" width="13.88671875" style="191" bestFit="1" customWidth="1"/>
    <col min="5639" max="5639" width="9.109375" style="191" customWidth="1"/>
    <col min="5640" max="5640" width="1.5546875" style="191" customWidth="1"/>
    <col min="5641" max="5641" width="8.109375" style="191" bestFit="1" customWidth="1"/>
    <col min="5642" max="5642" width="10" style="191" bestFit="1" customWidth="1"/>
    <col min="5643" max="5889" width="7.109375" style="191" customWidth="1"/>
    <col min="5890" max="5890" width="6.5546875" style="191" bestFit="1" customWidth="1"/>
    <col min="5891" max="5891" width="37.109375" style="191" customWidth="1"/>
    <col min="5892" max="5892" width="3.5546875" style="191" bestFit="1" customWidth="1"/>
    <col min="5893" max="5893" width="3.5546875" style="191" customWidth="1"/>
    <col min="5894" max="5894" width="13.88671875" style="191" bestFit="1" customWidth="1"/>
    <col min="5895" max="5895" width="9.109375" style="191" customWidth="1"/>
    <col min="5896" max="5896" width="1.5546875" style="191" customWidth="1"/>
    <col min="5897" max="5897" width="8.109375" style="191" bestFit="1" customWidth="1"/>
    <col min="5898" max="5898" width="10" style="191" bestFit="1" customWidth="1"/>
    <col min="5899" max="6145" width="7.109375" style="191" customWidth="1"/>
    <col min="6146" max="6146" width="6.5546875" style="191" bestFit="1" customWidth="1"/>
    <col min="6147" max="6147" width="37.109375" style="191" customWidth="1"/>
    <col min="6148" max="6148" width="3.5546875" style="191" bestFit="1" customWidth="1"/>
    <col min="6149" max="6149" width="3.5546875" style="191" customWidth="1"/>
    <col min="6150" max="6150" width="13.88671875" style="191" bestFit="1" customWidth="1"/>
    <col min="6151" max="6151" width="9.109375" style="191" customWidth="1"/>
    <col min="6152" max="6152" width="1.5546875" style="191" customWidth="1"/>
    <col min="6153" max="6153" width="8.109375" style="191" bestFit="1" customWidth="1"/>
    <col min="6154" max="6154" width="10" style="191" bestFit="1" customWidth="1"/>
    <col min="6155" max="6401" width="7.109375" style="191" customWidth="1"/>
    <col min="6402" max="6402" width="6.5546875" style="191" bestFit="1" customWidth="1"/>
    <col min="6403" max="6403" width="37.109375" style="191" customWidth="1"/>
    <col min="6404" max="6404" width="3.5546875" style="191" bestFit="1" customWidth="1"/>
    <col min="6405" max="6405" width="3.5546875" style="191" customWidth="1"/>
    <col min="6406" max="6406" width="13.88671875" style="191" bestFit="1" customWidth="1"/>
    <col min="6407" max="6407" width="9.109375" style="191" customWidth="1"/>
    <col min="6408" max="6408" width="1.5546875" style="191" customWidth="1"/>
    <col min="6409" max="6409" width="8.109375" style="191" bestFit="1" customWidth="1"/>
    <col min="6410" max="6410" width="10" style="191" bestFit="1" customWidth="1"/>
    <col min="6411" max="6657" width="7.109375" style="191" customWidth="1"/>
    <col min="6658" max="6658" width="6.5546875" style="191" bestFit="1" customWidth="1"/>
    <col min="6659" max="6659" width="37.109375" style="191" customWidth="1"/>
    <col min="6660" max="6660" width="3.5546875" style="191" bestFit="1" customWidth="1"/>
    <col min="6661" max="6661" width="3.5546875" style="191" customWidth="1"/>
    <col min="6662" max="6662" width="13.88671875" style="191" bestFit="1" customWidth="1"/>
    <col min="6663" max="6663" width="9.109375" style="191" customWidth="1"/>
    <col min="6664" max="6664" width="1.5546875" style="191" customWidth="1"/>
    <col min="6665" max="6665" width="8.109375" style="191" bestFit="1" customWidth="1"/>
    <col min="6666" max="6666" width="10" style="191" bestFit="1" customWidth="1"/>
    <col min="6667" max="6913" width="7.109375" style="191" customWidth="1"/>
    <col min="6914" max="6914" width="6.5546875" style="191" bestFit="1" customWidth="1"/>
    <col min="6915" max="6915" width="37.109375" style="191" customWidth="1"/>
    <col min="6916" max="6916" width="3.5546875" style="191" bestFit="1" customWidth="1"/>
    <col min="6917" max="6917" width="3.5546875" style="191" customWidth="1"/>
    <col min="6918" max="6918" width="13.88671875" style="191" bestFit="1" customWidth="1"/>
    <col min="6919" max="6919" width="9.109375" style="191" customWidth="1"/>
    <col min="6920" max="6920" width="1.5546875" style="191" customWidth="1"/>
    <col min="6921" max="6921" width="8.109375" style="191" bestFit="1" customWidth="1"/>
    <col min="6922" max="6922" width="10" style="191" bestFit="1" customWidth="1"/>
    <col min="6923" max="7169" width="7.109375" style="191" customWidth="1"/>
    <col min="7170" max="7170" width="6.5546875" style="191" bestFit="1" customWidth="1"/>
    <col min="7171" max="7171" width="37.109375" style="191" customWidth="1"/>
    <col min="7172" max="7172" width="3.5546875" style="191" bestFit="1" customWidth="1"/>
    <col min="7173" max="7173" width="3.5546875" style="191" customWidth="1"/>
    <col min="7174" max="7174" width="13.88671875" style="191" bestFit="1" customWidth="1"/>
    <col min="7175" max="7175" width="9.109375" style="191" customWidth="1"/>
    <col min="7176" max="7176" width="1.5546875" style="191" customWidth="1"/>
    <col min="7177" max="7177" width="8.109375" style="191" bestFit="1" customWidth="1"/>
    <col min="7178" max="7178" width="10" style="191" bestFit="1" customWidth="1"/>
    <col min="7179" max="7425" width="7.109375" style="191" customWidth="1"/>
    <col min="7426" max="7426" width="6.5546875" style="191" bestFit="1" customWidth="1"/>
    <col min="7427" max="7427" width="37.109375" style="191" customWidth="1"/>
    <col min="7428" max="7428" width="3.5546875" style="191" bestFit="1" customWidth="1"/>
    <col min="7429" max="7429" width="3.5546875" style="191" customWidth="1"/>
    <col min="7430" max="7430" width="13.88671875" style="191" bestFit="1" customWidth="1"/>
    <col min="7431" max="7431" width="9.109375" style="191" customWidth="1"/>
    <col min="7432" max="7432" width="1.5546875" style="191" customWidth="1"/>
    <col min="7433" max="7433" width="8.109375" style="191" bestFit="1" customWidth="1"/>
    <col min="7434" max="7434" width="10" style="191" bestFit="1" customWidth="1"/>
    <col min="7435" max="7681" width="7.109375" style="191" customWidth="1"/>
    <col min="7682" max="7682" width="6.5546875" style="191" bestFit="1" customWidth="1"/>
    <col min="7683" max="7683" width="37.109375" style="191" customWidth="1"/>
    <col min="7684" max="7684" width="3.5546875" style="191" bestFit="1" customWidth="1"/>
    <col min="7685" max="7685" width="3.5546875" style="191" customWidth="1"/>
    <col min="7686" max="7686" width="13.88671875" style="191" bestFit="1" customWidth="1"/>
    <col min="7687" max="7687" width="9.109375" style="191" customWidth="1"/>
    <col min="7688" max="7688" width="1.5546875" style="191" customWidth="1"/>
    <col min="7689" max="7689" width="8.109375" style="191" bestFit="1" customWidth="1"/>
    <col min="7690" max="7690" width="10" style="191" bestFit="1" customWidth="1"/>
    <col min="7691" max="7937" width="7.109375" style="191" customWidth="1"/>
    <col min="7938" max="7938" width="6.5546875" style="191" bestFit="1" customWidth="1"/>
    <col min="7939" max="7939" width="37.109375" style="191" customWidth="1"/>
    <col min="7940" max="7940" width="3.5546875" style="191" bestFit="1" customWidth="1"/>
    <col min="7941" max="7941" width="3.5546875" style="191" customWidth="1"/>
    <col min="7942" max="7942" width="13.88671875" style="191" bestFit="1" customWidth="1"/>
    <col min="7943" max="7943" width="9.109375" style="191" customWidth="1"/>
    <col min="7944" max="7944" width="1.5546875" style="191" customWidth="1"/>
    <col min="7945" max="7945" width="8.109375" style="191" bestFit="1" customWidth="1"/>
    <col min="7946" max="7946" width="10" style="191" bestFit="1" customWidth="1"/>
    <col min="7947" max="8193" width="7.109375" style="191" customWidth="1"/>
    <col min="8194" max="8194" width="6.5546875" style="191" bestFit="1" customWidth="1"/>
    <col min="8195" max="8195" width="37.109375" style="191" customWidth="1"/>
    <col min="8196" max="8196" width="3.5546875" style="191" bestFit="1" customWidth="1"/>
    <col min="8197" max="8197" width="3.5546875" style="191" customWidth="1"/>
    <col min="8198" max="8198" width="13.88671875" style="191" bestFit="1" customWidth="1"/>
    <col min="8199" max="8199" width="9.109375" style="191" customWidth="1"/>
    <col min="8200" max="8200" width="1.5546875" style="191" customWidth="1"/>
    <col min="8201" max="8201" width="8.109375" style="191" bestFit="1" customWidth="1"/>
    <col min="8202" max="8202" width="10" style="191" bestFit="1" customWidth="1"/>
    <col min="8203" max="8449" width="7.109375" style="191" customWidth="1"/>
    <col min="8450" max="8450" width="6.5546875" style="191" bestFit="1" customWidth="1"/>
    <col min="8451" max="8451" width="37.109375" style="191" customWidth="1"/>
    <col min="8452" max="8452" width="3.5546875" style="191" bestFit="1" customWidth="1"/>
    <col min="8453" max="8453" width="3.5546875" style="191" customWidth="1"/>
    <col min="8454" max="8454" width="13.88671875" style="191" bestFit="1" customWidth="1"/>
    <col min="8455" max="8455" width="9.109375" style="191" customWidth="1"/>
    <col min="8456" max="8456" width="1.5546875" style="191" customWidth="1"/>
    <col min="8457" max="8457" width="8.109375" style="191" bestFit="1" customWidth="1"/>
    <col min="8458" max="8458" width="10" style="191" bestFit="1" customWidth="1"/>
    <col min="8459" max="8705" width="7.109375" style="191" customWidth="1"/>
    <col min="8706" max="8706" width="6.5546875" style="191" bestFit="1" customWidth="1"/>
    <col min="8707" max="8707" width="37.109375" style="191" customWidth="1"/>
    <col min="8708" max="8708" width="3.5546875" style="191" bestFit="1" customWidth="1"/>
    <col min="8709" max="8709" width="3.5546875" style="191" customWidth="1"/>
    <col min="8710" max="8710" width="13.88671875" style="191" bestFit="1" customWidth="1"/>
    <col min="8711" max="8711" width="9.109375" style="191" customWidth="1"/>
    <col min="8712" max="8712" width="1.5546875" style="191" customWidth="1"/>
    <col min="8713" max="8713" width="8.109375" style="191" bestFit="1" customWidth="1"/>
    <col min="8714" max="8714" width="10" style="191" bestFit="1" customWidth="1"/>
    <col min="8715" max="8961" width="7.109375" style="191" customWidth="1"/>
    <col min="8962" max="8962" width="6.5546875" style="191" bestFit="1" customWidth="1"/>
    <col min="8963" max="8963" width="37.109375" style="191" customWidth="1"/>
    <col min="8964" max="8964" width="3.5546875" style="191" bestFit="1" customWidth="1"/>
    <col min="8965" max="8965" width="3.5546875" style="191" customWidth="1"/>
    <col min="8966" max="8966" width="13.88671875" style="191" bestFit="1" customWidth="1"/>
    <col min="8967" max="8967" width="9.109375" style="191" customWidth="1"/>
    <col min="8968" max="8968" width="1.5546875" style="191" customWidth="1"/>
    <col min="8969" max="8969" width="8.109375" style="191" bestFit="1" customWidth="1"/>
    <col min="8970" max="8970" width="10" style="191" bestFit="1" customWidth="1"/>
    <col min="8971" max="9217" width="7.109375" style="191" customWidth="1"/>
    <col min="9218" max="9218" width="6.5546875" style="191" bestFit="1" customWidth="1"/>
    <col min="9219" max="9219" width="37.109375" style="191" customWidth="1"/>
    <col min="9220" max="9220" width="3.5546875" style="191" bestFit="1" customWidth="1"/>
    <col min="9221" max="9221" width="3.5546875" style="191" customWidth="1"/>
    <col min="9222" max="9222" width="13.88671875" style="191" bestFit="1" customWidth="1"/>
    <col min="9223" max="9223" width="9.109375" style="191" customWidth="1"/>
    <col min="9224" max="9224" width="1.5546875" style="191" customWidth="1"/>
    <col min="9225" max="9225" width="8.109375" style="191" bestFit="1" customWidth="1"/>
    <col min="9226" max="9226" width="10" style="191" bestFit="1" customWidth="1"/>
    <col min="9227" max="9473" width="7.109375" style="191" customWidth="1"/>
    <col min="9474" max="9474" width="6.5546875" style="191" bestFit="1" customWidth="1"/>
    <col min="9475" max="9475" width="37.109375" style="191" customWidth="1"/>
    <col min="9476" max="9476" width="3.5546875" style="191" bestFit="1" customWidth="1"/>
    <col min="9477" max="9477" width="3.5546875" style="191" customWidth="1"/>
    <col min="9478" max="9478" width="13.88671875" style="191" bestFit="1" customWidth="1"/>
    <col min="9479" max="9479" width="9.109375" style="191" customWidth="1"/>
    <col min="9480" max="9480" width="1.5546875" style="191" customWidth="1"/>
    <col min="9481" max="9481" width="8.109375" style="191" bestFit="1" customWidth="1"/>
    <col min="9482" max="9482" width="10" style="191" bestFit="1" customWidth="1"/>
    <col min="9483" max="9729" width="7.109375" style="191" customWidth="1"/>
    <col min="9730" max="9730" width="6.5546875" style="191" bestFit="1" customWidth="1"/>
    <col min="9731" max="9731" width="37.109375" style="191" customWidth="1"/>
    <col min="9732" max="9732" width="3.5546875" style="191" bestFit="1" customWidth="1"/>
    <col min="9733" max="9733" width="3.5546875" style="191" customWidth="1"/>
    <col min="9734" max="9734" width="13.88671875" style="191" bestFit="1" customWidth="1"/>
    <col min="9735" max="9735" width="9.109375" style="191" customWidth="1"/>
    <col min="9736" max="9736" width="1.5546875" style="191" customWidth="1"/>
    <col min="9737" max="9737" width="8.109375" style="191" bestFit="1" customWidth="1"/>
    <col min="9738" max="9738" width="10" style="191" bestFit="1" customWidth="1"/>
    <col min="9739" max="9985" width="7.109375" style="191" customWidth="1"/>
    <col min="9986" max="9986" width="6.5546875" style="191" bestFit="1" customWidth="1"/>
    <col min="9987" max="9987" width="37.109375" style="191" customWidth="1"/>
    <col min="9988" max="9988" width="3.5546875" style="191" bestFit="1" customWidth="1"/>
    <col min="9989" max="9989" width="3.5546875" style="191" customWidth="1"/>
    <col min="9990" max="9990" width="13.88671875" style="191" bestFit="1" customWidth="1"/>
    <col min="9991" max="9991" width="9.109375" style="191" customWidth="1"/>
    <col min="9992" max="9992" width="1.5546875" style="191" customWidth="1"/>
    <col min="9993" max="9993" width="8.109375" style="191" bestFit="1" customWidth="1"/>
    <col min="9994" max="9994" width="10" style="191" bestFit="1" customWidth="1"/>
    <col min="9995" max="10241" width="7.109375" style="191" customWidth="1"/>
    <col min="10242" max="10242" width="6.5546875" style="191" bestFit="1" customWidth="1"/>
    <col min="10243" max="10243" width="37.109375" style="191" customWidth="1"/>
    <col min="10244" max="10244" width="3.5546875" style="191" bestFit="1" customWidth="1"/>
    <col min="10245" max="10245" width="3.5546875" style="191" customWidth="1"/>
    <col min="10246" max="10246" width="13.88671875" style="191" bestFit="1" customWidth="1"/>
    <col min="10247" max="10247" width="9.109375" style="191" customWidth="1"/>
    <col min="10248" max="10248" width="1.5546875" style="191" customWidth="1"/>
    <col min="10249" max="10249" width="8.109375" style="191" bestFit="1" customWidth="1"/>
    <col min="10250" max="10250" width="10" style="191" bestFit="1" customWidth="1"/>
    <col min="10251" max="10497" width="7.109375" style="191" customWidth="1"/>
    <col min="10498" max="10498" width="6.5546875" style="191" bestFit="1" customWidth="1"/>
    <col min="10499" max="10499" width="37.109375" style="191" customWidth="1"/>
    <col min="10500" max="10500" width="3.5546875" style="191" bestFit="1" customWidth="1"/>
    <col min="10501" max="10501" width="3.5546875" style="191" customWidth="1"/>
    <col min="10502" max="10502" width="13.88671875" style="191" bestFit="1" customWidth="1"/>
    <col min="10503" max="10503" width="9.109375" style="191" customWidth="1"/>
    <col min="10504" max="10504" width="1.5546875" style="191" customWidth="1"/>
    <col min="10505" max="10505" width="8.109375" style="191" bestFit="1" customWidth="1"/>
    <col min="10506" max="10506" width="10" style="191" bestFit="1" customWidth="1"/>
    <col min="10507" max="10753" width="7.109375" style="191" customWidth="1"/>
    <col min="10754" max="10754" width="6.5546875" style="191" bestFit="1" customWidth="1"/>
    <col min="10755" max="10755" width="37.109375" style="191" customWidth="1"/>
    <col min="10756" max="10756" width="3.5546875" style="191" bestFit="1" customWidth="1"/>
    <col min="10757" max="10757" width="3.5546875" style="191" customWidth="1"/>
    <col min="10758" max="10758" width="13.88671875" style="191" bestFit="1" customWidth="1"/>
    <col min="10759" max="10759" width="9.109375" style="191" customWidth="1"/>
    <col min="10760" max="10760" width="1.5546875" style="191" customWidth="1"/>
    <col min="10761" max="10761" width="8.109375" style="191" bestFit="1" customWidth="1"/>
    <col min="10762" max="10762" width="10" style="191" bestFit="1" customWidth="1"/>
    <col min="10763" max="11009" width="7.109375" style="191" customWidth="1"/>
    <col min="11010" max="11010" width="6.5546875" style="191" bestFit="1" customWidth="1"/>
    <col min="11011" max="11011" width="37.109375" style="191" customWidth="1"/>
    <col min="11012" max="11012" width="3.5546875" style="191" bestFit="1" customWidth="1"/>
    <col min="11013" max="11013" width="3.5546875" style="191" customWidth="1"/>
    <col min="11014" max="11014" width="13.88671875" style="191" bestFit="1" customWidth="1"/>
    <col min="11015" max="11015" width="9.109375" style="191" customWidth="1"/>
    <col min="11016" max="11016" width="1.5546875" style="191" customWidth="1"/>
    <col min="11017" max="11017" width="8.109375" style="191" bestFit="1" customWidth="1"/>
    <col min="11018" max="11018" width="10" style="191" bestFit="1" customWidth="1"/>
    <col min="11019" max="11265" width="7.109375" style="191" customWidth="1"/>
    <col min="11266" max="11266" width="6.5546875" style="191" bestFit="1" customWidth="1"/>
    <col min="11267" max="11267" width="37.109375" style="191" customWidth="1"/>
    <col min="11268" max="11268" width="3.5546875" style="191" bestFit="1" customWidth="1"/>
    <col min="11269" max="11269" width="3.5546875" style="191" customWidth="1"/>
    <col min="11270" max="11270" width="13.88671875" style="191" bestFit="1" customWidth="1"/>
    <col min="11271" max="11271" width="9.109375" style="191" customWidth="1"/>
    <col min="11272" max="11272" width="1.5546875" style="191" customWidth="1"/>
    <col min="11273" max="11273" width="8.109375" style="191" bestFit="1" customWidth="1"/>
    <col min="11274" max="11274" width="10" style="191" bestFit="1" customWidth="1"/>
    <col min="11275" max="11521" width="7.109375" style="191" customWidth="1"/>
    <col min="11522" max="11522" width="6.5546875" style="191" bestFit="1" customWidth="1"/>
    <col min="11523" max="11523" width="37.109375" style="191" customWidth="1"/>
    <col min="11524" max="11524" width="3.5546875" style="191" bestFit="1" customWidth="1"/>
    <col min="11525" max="11525" width="3.5546875" style="191" customWidth="1"/>
    <col min="11526" max="11526" width="13.88671875" style="191" bestFit="1" customWidth="1"/>
    <col min="11527" max="11527" width="9.109375" style="191" customWidth="1"/>
    <col min="11528" max="11528" width="1.5546875" style="191" customWidth="1"/>
    <col min="11529" max="11529" width="8.109375" style="191" bestFit="1" customWidth="1"/>
    <col min="11530" max="11530" width="10" style="191" bestFit="1" customWidth="1"/>
    <col min="11531" max="11777" width="7.109375" style="191" customWidth="1"/>
    <col min="11778" max="11778" width="6.5546875" style="191" bestFit="1" customWidth="1"/>
    <col min="11779" max="11779" width="37.109375" style="191" customWidth="1"/>
    <col min="11780" max="11780" width="3.5546875" style="191" bestFit="1" customWidth="1"/>
    <col min="11781" max="11781" width="3.5546875" style="191" customWidth="1"/>
    <col min="11782" max="11782" width="13.88671875" style="191" bestFit="1" customWidth="1"/>
    <col min="11783" max="11783" width="9.109375" style="191" customWidth="1"/>
    <col min="11784" max="11784" width="1.5546875" style="191" customWidth="1"/>
    <col min="11785" max="11785" width="8.109375" style="191" bestFit="1" customWidth="1"/>
    <col min="11786" max="11786" width="10" style="191" bestFit="1" customWidth="1"/>
    <col min="11787" max="12033" width="7.109375" style="191" customWidth="1"/>
    <col min="12034" max="12034" width="6.5546875" style="191" bestFit="1" customWidth="1"/>
    <col min="12035" max="12035" width="37.109375" style="191" customWidth="1"/>
    <col min="12036" max="12036" width="3.5546875" style="191" bestFit="1" customWidth="1"/>
    <col min="12037" max="12037" width="3.5546875" style="191" customWidth="1"/>
    <col min="12038" max="12038" width="13.88671875" style="191" bestFit="1" customWidth="1"/>
    <col min="12039" max="12039" width="9.109375" style="191" customWidth="1"/>
    <col min="12040" max="12040" width="1.5546875" style="191" customWidth="1"/>
    <col min="12041" max="12041" width="8.109375" style="191" bestFit="1" customWidth="1"/>
    <col min="12042" max="12042" width="10" style="191" bestFit="1" customWidth="1"/>
    <col min="12043" max="12289" width="7.109375" style="191" customWidth="1"/>
    <col min="12290" max="12290" width="6.5546875" style="191" bestFit="1" customWidth="1"/>
    <col min="12291" max="12291" width="37.109375" style="191" customWidth="1"/>
    <col min="12292" max="12292" width="3.5546875" style="191" bestFit="1" customWidth="1"/>
    <col min="12293" max="12293" width="3.5546875" style="191" customWidth="1"/>
    <col min="12294" max="12294" width="13.88671875" style="191" bestFit="1" customWidth="1"/>
    <col min="12295" max="12295" width="9.109375" style="191" customWidth="1"/>
    <col min="12296" max="12296" width="1.5546875" style="191" customWidth="1"/>
    <col min="12297" max="12297" width="8.109375" style="191" bestFit="1" customWidth="1"/>
    <col min="12298" max="12298" width="10" style="191" bestFit="1" customWidth="1"/>
    <col min="12299" max="12545" width="7.109375" style="191" customWidth="1"/>
    <col min="12546" max="12546" width="6.5546875" style="191" bestFit="1" customWidth="1"/>
    <col min="12547" max="12547" width="37.109375" style="191" customWidth="1"/>
    <col min="12548" max="12548" width="3.5546875" style="191" bestFit="1" customWidth="1"/>
    <col min="12549" max="12549" width="3.5546875" style="191" customWidth="1"/>
    <col min="12550" max="12550" width="13.88671875" style="191" bestFit="1" customWidth="1"/>
    <col min="12551" max="12551" width="9.109375" style="191" customWidth="1"/>
    <col min="12552" max="12552" width="1.5546875" style="191" customWidth="1"/>
    <col min="12553" max="12553" width="8.109375" style="191" bestFit="1" customWidth="1"/>
    <col min="12554" max="12554" width="10" style="191" bestFit="1" customWidth="1"/>
    <col min="12555" max="12801" width="7.109375" style="191" customWidth="1"/>
    <col min="12802" max="12802" width="6.5546875" style="191" bestFit="1" customWidth="1"/>
    <col min="12803" max="12803" width="37.109375" style="191" customWidth="1"/>
    <col min="12804" max="12804" width="3.5546875" style="191" bestFit="1" customWidth="1"/>
    <col min="12805" max="12805" width="3.5546875" style="191" customWidth="1"/>
    <col min="12806" max="12806" width="13.88671875" style="191" bestFit="1" customWidth="1"/>
    <col min="12807" max="12807" width="9.109375" style="191" customWidth="1"/>
    <col min="12808" max="12808" width="1.5546875" style="191" customWidth="1"/>
    <col min="12809" max="12809" width="8.109375" style="191" bestFit="1" customWidth="1"/>
    <col min="12810" max="12810" width="10" style="191" bestFit="1" customWidth="1"/>
    <col min="12811" max="13057" width="7.109375" style="191" customWidth="1"/>
    <col min="13058" max="13058" width="6.5546875" style="191" bestFit="1" customWidth="1"/>
    <col min="13059" max="13059" width="37.109375" style="191" customWidth="1"/>
    <col min="13060" max="13060" width="3.5546875" style="191" bestFit="1" customWidth="1"/>
    <col min="13061" max="13061" width="3.5546875" style="191" customWidth="1"/>
    <col min="13062" max="13062" width="13.88671875" style="191" bestFit="1" customWidth="1"/>
    <col min="13063" max="13063" width="9.109375" style="191" customWidth="1"/>
    <col min="13064" max="13064" width="1.5546875" style="191" customWidth="1"/>
    <col min="13065" max="13065" width="8.109375" style="191" bestFit="1" customWidth="1"/>
    <col min="13066" max="13066" width="10" style="191" bestFit="1" customWidth="1"/>
    <col min="13067" max="13313" width="7.109375" style="191" customWidth="1"/>
    <col min="13314" max="13314" width="6.5546875" style="191" bestFit="1" customWidth="1"/>
    <col min="13315" max="13315" width="37.109375" style="191" customWidth="1"/>
    <col min="13316" max="13316" width="3.5546875" style="191" bestFit="1" customWidth="1"/>
    <col min="13317" max="13317" width="3.5546875" style="191" customWidth="1"/>
    <col min="13318" max="13318" width="13.88671875" style="191" bestFit="1" customWidth="1"/>
    <col min="13319" max="13319" width="9.109375" style="191" customWidth="1"/>
    <col min="13320" max="13320" width="1.5546875" style="191" customWidth="1"/>
    <col min="13321" max="13321" width="8.109375" style="191" bestFit="1" customWidth="1"/>
    <col min="13322" max="13322" width="10" style="191" bestFit="1" customWidth="1"/>
    <col min="13323" max="13569" width="7.109375" style="191" customWidth="1"/>
    <col min="13570" max="13570" width="6.5546875" style="191" bestFit="1" customWidth="1"/>
    <col min="13571" max="13571" width="37.109375" style="191" customWidth="1"/>
    <col min="13572" max="13572" width="3.5546875" style="191" bestFit="1" customWidth="1"/>
    <col min="13573" max="13573" width="3.5546875" style="191" customWidth="1"/>
    <col min="13574" max="13574" width="13.88671875" style="191" bestFit="1" customWidth="1"/>
    <col min="13575" max="13575" width="9.109375" style="191" customWidth="1"/>
    <col min="13576" max="13576" width="1.5546875" style="191" customWidth="1"/>
    <col min="13577" max="13577" width="8.109375" style="191" bestFit="1" customWidth="1"/>
    <col min="13578" max="13578" width="10" style="191" bestFit="1" customWidth="1"/>
    <col min="13579" max="13825" width="7.109375" style="191" customWidth="1"/>
    <col min="13826" max="13826" width="6.5546875" style="191" bestFit="1" customWidth="1"/>
    <col min="13827" max="13827" width="37.109375" style="191" customWidth="1"/>
    <col min="13828" max="13828" width="3.5546875" style="191" bestFit="1" customWidth="1"/>
    <col min="13829" max="13829" width="3.5546875" style="191" customWidth="1"/>
    <col min="13830" max="13830" width="13.88671875" style="191" bestFit="1" customWidth="1"/>
    <col min="13831" max="13831" width="9.109375" style="191" customWidth="1"/>
    <col min="13832" max="13832" width="1.5546875" style="191" customWidth="1"/>
    <col min="13833" max="13833" width="8.109375" style="191" bestFit="1" customWidth="1"/>
    <col min="13834" max="13834" width="10" style="191" bestFit="1" customWidth="1"/>
    <col min="13835" max="14081" width="7.109375" style="191" customWidth="1"/>
    <col min="14082" max="14082" width="6.5546875" style="191" bestFit="1" customWidth="1"/>
    <col min="14083" max="14083" width="37.109375" style="191" customWidth="1"/>
    <col min="14084" max="14084" width="3.5546875" style="191" bestFit="1" customWidth="1"/>
    <col min="14085" max="14085" width="3.5546875" style="191" customWidth="1"/>
    <col min="14086" max="14086" width="13.88671875" style="191" bestFit="1" customWidth="1"/>
    <col min="14087" max="14087" width="9.109375" style="191" customWidth="1"/>
    <col min="14088" max="14088" width="1.5546875" style="191" customWidth="1"/>
    <col min="14089" max="14089" width="8.109375" style="191" bestFit="1" customWidth="1"/>
    <col min="14090" max="14090" width="10" style="191" bestFit="1" customWidth="1"/>
    <col min="14091" max="14337" width="7.109375" style="191" customWidth="1"/>
    <col min="14338" max="14338" width="6.5546875" style="191" bestFit="1" customWidth="1"/>
    <col min="14339" max="14339" width="37.109375" style="191" customWidth="1"/>
    <col min="14340" max="14340" width="3.5546875" style="191" bestFit="1" customWidth="1"/>
    <col min="14341" max="14341" width="3.5546875" style="191" customWidth="1"/>
    <col min="14342" max="14342" width="13.88671875" style="191" bestFit="1" customWidth="1"/>
    <col min="14343" max="14343" width="9.109375" style="191" customWidth="1"/>
    <col min="14344" max="14344" width="1.5546875" style="191" customWidth="1"/>
    <col min="14345" max="14345" width="8.109375" style="191" bestFit="1" customWidth="1"/>
    <col min="14346" max="14346" width="10" style="191" bestFit="1" customWidth="1"/>
    <col min="14347" max="14593" width="7.109375" style="191" customWidth="1"/>
    <col min="14594" max="14594" width="6.5546875" style="191" bestFit="1" customWidth="1"/>
    <col min="14595" max="14595" width="37.109375" style="191" customWidth="1"/>
    <col min="14596" max="14596" width="3.5546875" style="191" bestFit="1" customWidth="1"/>
    <col min="14597" max="14597" width="3.5546875" style="191" customWidth="1"/>
    <col min="14598" max="14598" width="13.88671875" style="191" bestFit="1" customWidth="1"/>
    <col min="14599" max="14599" width="9.109375" style="191" customWidth="1"/>
    <col min="14600" max="14600" width="1.5546875" style="191" customWidth="1"/>
    <col min="14601" max="14601" width="8.109375" style="191" bestFit="1" customWidth="1"/>
    <col min="14602" max="14602" width="10" style="191" bestFit="1" customWidth="1"/>
    <col min="14603" max="14849" width="7.109375" style="191" customWidth="1"/>
    <col min="14850" max="14850" width="6.5546875" style="191" bestFit="1" customWidth="1"/>
    <col min="14851" max="14851" width="37.109375" style="191" customWidth="1"/>
    <col min="14852" max="14852" width="3.5546875" style="191" bestFit="1" customWidth="1"/>
    <col min="14853" max="14853" width="3.5546875" style="191" customWidth="1"/>
    <col min="14854" max="14854" width="13.88671875" style="191" bestFit="1" customWidth="1"/>
    <col min="14855" max="14855" width="9.109375" style="191" customWidth="1"/>
    <col min="14856" max="14856" width="1.5546875" style="191" customWidth="1"/>
    <col min="14857" max="14857" width="8.109375" style="191" bestFit="1" customWidth="1"/>
    <col min="14858" max="14858" width="10" style="191" bestFit="1" customWidth="1"/>
    <col min="14859" max="15105" width="7.109375" style="191" customWidth="1"/>
    <col min="15106" max="15106" width="6.5546875" style="191" bestFit="1" customWidth="1"/>
    <col min="15107" max="15107" width="37.109375" style="191" customWidth="1"/>
    <col min="15108" max="15108" width="3.5546875" style="191" bestFit="1" customWidth="1"/>
    <col min="15109" max="15109" width="3.5546875" style="191" customWidth="1"/>
    <col min="15110" max="15110" width="13.88671875" style="191" bestFit="1" customWidth="1"/>
    <col min="15111" max="15111" width="9.109375" style="191" customWidth="1"/>
    <col min="15112" max="15112" width="1.5546875" style="191" customWidth="1"/>
    <col min="15113" max="15113" width="8.109375" style="191" bestFit="1" customWidth="1"/>
    <col min="15114" max="15114" width="10" style="191" bestFit="1" customWidth="1"/>
    <col min="15115" max="15361" width="7.109375" style="191" customWidth="1"/>
    <col min="15362" max="15362" width="6.5546875" style="191" bestFit="1" customWidth="1"/>
    <col min="15363" max="15363" width="37.109375" style="191" customWidth="1"/>
    <col min="15364" max="15364" width="3.5546875" style="191" bestFit="1" customWidth="1"/>
    <col min="15365" max="15365" width="3.5546875" style="191" customWidth="1"/>
    <col min="15366" max="15366" width="13.88671875" style="191" bestFit="1" customWidth="1"/>
    <col min="15367" max="15367" width="9.109375" style="191" customWidth="1"/>
    <col min="15368" max="15368" width="1.5546875" style="191" customWidth="1"/>
    <col min="15369" max="15369" width="8.109375" style="191" bestFit="1" customWidth="1"/>
    <col min="15370" max="15370" width="10" style="191" bestFit="1" customWidth="1"/>
    <col min="15371" max="15617" width="7.109375" style="191" customWidth="1"/>
    <col min="15618" max="15618" width="6.5546875" style="191" bestFit="1" customWidth="1"/>
    <col min="15619" max="15619" width="37.109375" style="191" customWidth="1"/>
    <col min="15620" max="15620" width="3.5546875" style="191" bestFit="1" customWidth="1"/>
    <col min="15621" max="15621" width="3.5546875" style="191" customWidth="1"/>
    <col min="15622" max="15622" width="13.88671875" style="191" bestFit="1" customWidth="1"/>
    <col min="15623" max="15623" width="9.109375" style="191" customWidth="1"/>
    <col min="15624" max="15624" width="1.5546875" style="191" customWidth="1"/>
    <col min="15625" max="15625" width="8.109375" style="191" bestFit="1" customWidth="1"/>
    <col min="15626" max="15626" width="10" style="191" bestFit="1" customWidth="1"/>
    <col min="15627" max="15873" width="7.109375" style="191" customWidth="1"/>
    <col min="15874" max="15874" width="6.5546875" style="191" bestFit="1" customWidth="1"/>
    <col min="15875" max="15875" width="37.109375" style="191" customWidth="1"/>
    <col min="15876" max="15876" width="3.5546875" style="191" bestFit="1" customWidth="1"/>
    <col min="15877" max="15877" width="3.5546875" style="191" customWidth="1"/>
    <col min="15878" max="15878" width="13.88671875" style="191" bestFit="1" customWidth="1"/>
    <col min="15879" max="15879" width="9.109375" style="191" customWidth="1"/>
    <col min="15880" max="15880" width="1.5546875" style="191" customWidth="1"/>
    <col min="15881" max="15881" width="8.109375" style="191" bestFit="1" customWidth="1"/>
    <col min="15882" max="15882" width="10" style="191" bestFit="1" customWidth="1"/>
    <col min="15883" max="16129" width="7.109375" style="191" customWidth="1"/>
    <col min="16130" max="16130" width="6.5546875" style="191" bestFit="1" customWidth="1"/>
    <col min="16131" max="16131" width="37.109375" style="191" customWidth="1"/>
    <col min="16132" max="16132" width="3.5546875" style="191" bestFit="1" customWidth="1"/>
    <col min="16133" max="16133" width="3.5546875" style="191" customWidth="1"/>
    <col min="16134" max="16134" width="13.88671875" style="191" bestFit="1" customWidth="1"/>
    <col min="16135" max="16135" width="9.109375" style="191" customWidth="1"/>
    <col min="16136" max="16136" width="1.5546875" style="191" customWidth="1"/>
    <col min="16137" max="16137" width="8.109375" style="191" bestFit="1" customWidth="1"/>
    <col min="16138" max="16138" width="10" style="191" bestFit="1" customWidth="1"/>
    <col min="16139" max="16384" width="7.109375" style="191" customWidth="1"/>
  </cols>
  <sheetData>
    <row r="1" spans="1:12" x14ac:dyDescent="0.2">
      <c r="B1" s="289"/>
    </row>
    <row r="2" spans="1:12" x14ac:dyDescent="0.2">
      <c r="B2" s="289"/>
    </row>
    <row r="3" spans="1:12" x14ac:dyDescent="0.2">
      <c r="B3" s="289"/>
    </row>
    <row r="4" spans="1:12" x14ac:dyDescent="0.2">
      <c r="B4" s="289" t="s">
        <v>689</v>
      </c>
    </row>
    <row r="5" spans="1:12" x14ac:dyDescent="0.2">
      <c r="B5" s="289" t="s">
        <v>690</v>
      </c>
    </row>
    <row r="6" spans="1:12" x14ac:dyDescent="0.2">
      <c r="B6" s="289"/>
    </row>
    <row r="7" spans="1:12" x14ac:dyDescent="0.2">
      <c r="B7" s="289"/>
    </row>
    <row r="8" spans="1:12" ht="13.5" thickBot="1" x14ac:dyDescent="0.25">
      <c r="B8" s="289"/>
    </row>
    <row r="9" spans="1:12" ht="13.5" thickBot="1" x14ac:dyDescent="0.25">
      <c r="A9" s="290" t="s">
        <v>830</v>
      </c>
      <c r="B9" s="290" t="s">
        <v>691</v>
      </c>
      <c r="C9" s="491" t="s">
        <v>1011</v>
      </c>
      <c r="E9" s="412" t="s">
        <v>832</v>
      </c>
      <c r="F9" s="412" t="s">
        <v>692</v>
      </c>
      <c r="G9" s="414"/>
      <c r="H9" s="412" t="s">
        <v>832</v>
      </c>
      <c r="I9" s="412" t="s">
        <v>693</v>
      </c>
      <c r="J9" s="412" t="s">
        <v>838</v>
      </c>
      <c r="L9" s="441" t="s">
        <v>976</v>
      </c>
    </row>
    <row r="10" spans="1:12" ht="13.5" thickBot="1" x14ac:dyDescent="0.25">
      <c r="B10" s="289"/>
      <c r="F10" s="191"/>
      <c r="G10" s="191"/>
      <c r="H10" s="191"/>
    </row>
    <row r="11" spans="1:12" x14ac:dyDescent="0.2">
      <c r="B11" s="402" t="s">
        <v>694</v>
      </c>
      <c r="D11" s="191">
        <v>1</v>
      </c>
      <c r="F11" s="401">
        <f>'I. Balanza'!Q620</f>
        <v>32661324.995495908</v>
      </c>
      <c r="I11" s="401">
        <f>+F11</f>
        <v>32661324.995495908</v>
      </c>
      <c r="J11" s="401"/>
      <c r="L11" s="440" t="s">
        <v>963</v>
      </c>
    </row>
    <row r="13" spans="1:12" x14ac:dyDescent="0.2">
      <c r="A13" s="191" t="s">
        <v>695</v>
      </c>
      <c r="B13" s="402" t="s">
        <v>696</v>
      </c>
    </row>
    <row r="15" spans="1:12" x14ac:dyDescent="0.2">
      <c r="A15" s="404">
        <v>21030001</v>
      </c>
      <c r="B15" s="191" t="s">
        <v>697</v>
      </c>
      <c r="C15" s="191" t="s">
        <v>1006</v>
      </c>
      <c r="D15" s="191">
        <v>2</v>
      </c>
      <c r="E15" s="403">
        <f>-VLOOKUP(A15,'I. Balanza'!$C$8:$Q$620,15,0)</f>
        <v>836736.11000000453</v>
      </c>
      <c r="H15" s="403">
        <f>+E15</f>
        <v>836736.11000000453</v>
      </c>
      <c r="L15" s="437" t="s">
        <v>92</v>
      </c>
    </row>
    <row r="16" spans="1:12" x14ac:dyDescent="0.2">
      <c r="A16" s="191" t="s">
        <v>840</v>
      </c>
      <c r="B16" s="191" t="s">
        <v>698</v>
      </c>
      <c r="C16" s="191" t="s">
        <v>1013</v>
      </c>
      <c r="D16" s="191">
        <v>3</v>
      </c>
      <c r="E16" s="403">
        <f>'X. Venta de Activo Fijo'!R25</f>
        <v>154386.95046008338</v>
      </c>
      <c r="H16" s="403">
        <f>+E16</f>
        <v>154386.95046008338</v>
      </c>
      <c r="L16" s="437" t="s">
        <v>964</v>
      </c>
    </row>
    <row r="17" spans="1:12" x14ac:dyDescent="0.2">
      <c r="E17" s="405"/>
      <c r="H17" s="406">
        <f>+E17</f>
        <v>0</v>
      </c>
    </row>
    <row r="18" spans="1:12" x14ac:dyDescent="0.2">
      <c r="F18" s="401">
        <f>SUM(E15:E18)</f>
        <v>991123.06046008784</v>
      </c>
      <c r="I18" s="401">
        <f>SUM(H15:H18)</f>
        <v>991123.06046008784</v>
      </c>
      <c r="J18" s="401"/>
    </row>
    <row r="19" spans="1:12" x14ac:dyDescent="0.2">
      <c r="I19" s="401"/>
      <c r="J19" s="401"/>
    </row>
    <row r="20" spans="1:12" x14ac:dyDescent="0.2">
      <c r="A20" s="191" t="s">
        <v>695</v>
      </c>
      <c r="B20" s="402" t="s">
        <v>699</v>
      </c>
      <c r="I20" s="401"/>
      <c r="J20" s="401"/>
    </row>
    <row r="21" spans="1:12" x14ac:dyDescent="0.2">
      <c r="I21" s="401"/>
      <c r="J21" s="401"/>
    </row>
    <row r="22" spans="1:12" x14ac:dyDescent="0.2">
      <c r="A22" s="191" t="s">
        <v>155</v>
      </c>
      <c r="B22" s="191" t="s">
        <v>152</v>
      </c>
      <c r="D22" s="191">
        <v>4</v>
      </c>
      <c r="E22" s="403">
        <f>VLOOKUP(A22,'I. Balanza'!$C$8:$Q$620,15,0)</f>
        <v>95103519.530000046</v>
      </c>
      <c r="H22" s="403">
        <f>E22</f>
        <v>95103519.530000046</v>
      </c>
      <c r="I22" s="401"/>
      <c r="J22" s="401"/>
      <c r="L22" s="437" t="s">
        <v>965</v>
      </c>
    </row>
    <row r="23" spans="1:12" x14ac:dyDescent="0.2">
      <c r="A23" s="404">
        <v>80010001</v>
      </c>
      <c r="B23" s="191" t="s">
        <v>114</v>
      </c>
      <c r="C23" s="191" t="s">
        <v>1006</v>
      </c>
      <c r="D23" s="191">
        <f t="shared" ref="D23:D47" si="0">1+D22</f>
        <v>5</v>
      </c>
      <c r="E23" s="403">
        <f>VLOOKUP(A23,'I. Balanza'!$C$8:$Q$620,15,0)</f>
        <v>12239228.419999996</v>
      </c>
      <c r="H23" s="403">
        <f t="shared" ref="H23:H46" si="1">+E23</f>
        <v>12239228.419999996</v>
      </c>
      <c r="I23" s="401"/>
      <c r="J23" s="401"/>
      <c r="L23" s="437" t="s">
        <v>967</v>
      </c>
    </row>
    <row r="24" spans="1:12" x14ac:dyDescent="0.2">
      <c r="A24" s="404">
        <v>80010003</v>
      </c>
      <c r="B24" s="191" t="s">
        <v>530</v>
      </c>
      <c r="C24" s="191" t="s">
        <v>1006</v>
      </c>
      <c r="D24" s="191">
        <f t="shared" si="0"/>
        <v>6</v>
      </c>
      <c r="E24" s="403">
        <f>VLOOKUP(A24,'I. Balanza'!$C$8:$Q$620,15,0)</f>
        <v>232502</v>
      </c>
      <c r="H24" s="403">
        <f t="shared" ref="H24" si="2">+E24</f>
        <v>232502</v>
      </c>
      <c r="I24" s="401"/>
      <c r="J24" s="401"/>
      <c r="L24" s="437" t="s">
        <v>967</v>
      </c>
    </row>
    <row r="25" spans="1:12" x14ac:dyDescent="0.2">
      <c r="B25" s="191" t="s">
        <v>700</v>
      </c>
      <c r="C25" s="191" t="s">
        <v>1008</v>
      </c>
      <c r="D25" s="191">
        <f t="shared" si="0"/>
        <v>7</v>
      </c>
      <c r="E25" s="403">
        <v>206182.96</v>
      </c>
      <c r="H25" s="403">
        <f t="shared" si="1"/>
        <v>206182.96</v>
      </c>
      <c r="I25" s="401"/>
      <c r="J25" s="403" t="s">
        <v>839</v>
      </c>
      <c r="L25" s="437" t="s">
        <v>966</v>
      </c>
    </row>
    <row r="26" spans="1:12" x14ac:dyDescent="0.2">
      <c r="A26" s="404">
        <v>52010357</v>
      </c>
      <c r="B26" s="191" t="s">
        <v>356</v>
      </c>
      <c r="C26" s="191" t="s">
        <v>1006</v>
      </c>
      <c r="D26" s="191">
        <f t="shared" si="0"/>
        <v>8</v>
      </c>
      <c r="E26" s="403">
        <f>VLOOKUP(A26,'I. Balanza'!$C$8:$Q$620,15,0)</f>
        <v>166759</v>
      </c>
      <c r="H26" s="403">
        <f t="shared" si="1"/>
        <v>166759</v>
      </c>
      <c r="I26" s="401"/>
      <c r="J26" s="401"/>
      <c r="L26" s="437" t="s">
        <v>966</v>
      </c>
    </row>
    <row r="27" spans="1:12" x14ac:dyDescent="0.2">
      <c r="A27" s="404">
        <v>63010357</v>
      </c>
      <c r="B27" s="191" t="s">
        <v>296</v>
      </c>
      <c r="C27" s="191" t="s">
        <v>1006</v>
      </c>
      <c r="D27" s="191">
        <f t="shared" si="0"/>
        <v>9</v>
      </c>
      <c r="E27" s="403">
        <f>VLOOKUP(A27,'I. Balanza'!$C$8:$Q$620,15,0)</f>
        <v>252025.60000000001</v>
      </c>
      <c r="H27" s="403">
        <f t="shared" si="1"/>
        <v>252025.60000000001</v>
      </c>
      <c r="I27" s="401"/>
      <c r="J27" s="401"/>
      <c r="L27" s="437" t="s">
        <v>966</v>
      </c>
    </row>
    <row r="28" spans="1:12" x14ac:dyDescent="0.2">
      <c r="A28" s="404">
        <v>65010357</v>
      </c>
      <c r="B28" s="191" t="s">
        <v>296</v>
      </c>
      <c r="C28" s="191" t="s">
        <v>1006</v>
      </c>
      <c r="D28" s="191">
        <f t="shared" si="0"/>
        <v>10</v>
      </c>
      <c r="E28" s="403">
        <f>VLOOKUP(A28,'I. Balanza'!$C$8:$Q$620,15,0)</f>
        <v>651897.55000000005</v>
      </c>
      <c r="H28" s="403">
        <f t="shared" si="1"/>
        <v>651897.55000000005</v>
      </c>
      <c r="I28" s="401"/>
      <c r="J28" s="401"/>
      <c r="L28" s="437" t="s">
        <v>966</v>
      </c>
    </row>
    <row r="29" spans="1:12" x14ac:dyDescent="0.2">
      <c r="A29" s="404">
        <v>11080001</v>
      </c>
      <c r="B29" s="191" t="s">
        <v>701</v>
      </c>
      <c r="C29" s="191" t="s">
        <v>1007</v>
      </c>
      <c r="D29" s="191">
        <f t="shared" si="0"/>
        <v>11</v>
      </c>
      <c r="E29" s="403">
        <f>VLOOKUP(A29,'XII. Provisiones'!$A$8:$P$29,16,0)</f>
        <v>91834.429999999964</v>
      </c>
      <c r="H29" s="403">
        <f t="shared" ref="H29" si="3">+E29</f>
        <v>91834.429999999964</v>
      </c>
      <c r="I29" s="401"/>
      <c r="J29" s="401"/>
      <c r="L29" s="437" t="s">
        <v>968</v>
      </c>
    </row>
    <row r="30" spans="1:12" x14ac:dyDescent="0.2">
      <c r="A30" s="404">
        <v>11180001</v>
      </c>
      <c r="B30" s="191" t="s">
        <v>36</v>
      </c>
      <c r="C30" s="191" t="s">
        <v>1007</v>
      </c>
      <c r="D30" s="191">
        <f t="shared" si="0"/>
        <v>12</v>
      </c>
      <c r="E30" s="403">
        <f>VLOOKUP(A30,'XII. Provisiones'!$A$8:$P$29,16,0)</f>
        <v>-4326373.2700000005</v>
      </c>
      <c r="H30" s="403">
        <f t="shared" ref="H30:H32" si="4">+E30</f>
        <v>-4326373.2700000005</v>
      </c>
      <c r="I30" s="401"/>
      <c r="J30" s="401"/>
      <c r="L30" s="437" t="s">
        <v>968</v>
      </c>
    </row>
    <row r="31" spans="1:12" x14ac:dyDescent="0.2">
      <c r="A31" s="404">
        <v>21020005</v>
      </c>
      <c r="B31" s="191" t="s">
        <v>520</v>
      </c>
      <c r="C31" s="191" t="s">
        <v>1007</v>
      </c>
      <c r="D31" s="191">
        <f t="shared" si="0"/>
        <v>13</v>
      </c>
      <c r="E31" s="403">
        <f>VLOOKUP(A31,'XII. Provisiones'!$A$8:$P$29,16,0)</f>
        <v>-838724.61</v>
      </c>
      <c r="H31" s="403">
        <f t="shared" ref="H31" si="5">+E31</f>
        <v>-838724.61</v>
      </c>
      <c r="I31" s="401"/>
      <c r="J31" s="401"/>
      <c r="L31" s="437" t="s">
        <v>968</v>
      </c>
    </row>
    <row r="32" spans="1:12" x14ac:dyDescent="0.2">
      <c r="A32" s="404">
        <v>21010001</v>
      </c>
      <c r="B32" s="191" t="s">
        <v>83</v>
      </c>
      <c r="C32" s="191" t="s">
        <v>1007</v>
      </c>
      <c r="D32" s="191">
        <f t="shared" si="0"/>
        <v>14</v>
      </c>
      <c r="E32" s="403">
        <f>VLOOKUP(A32,'XII. Provisiones'!$A$8:$P$29,16,0)</f>
        <v>-64144</v>
      </c>
      <c r="H32" s="403">
        <f t="shared" si="4"/>
        <v>-64144</v>
      </c>
      <c r="I32" s="401"/>
      <c r="J32" s="401"/>
      <c r="L32" s="437" t="s">
        <v>968</v>
      </c>
    </row>
    <row r="33" spans="1:12" x14ac:dyDescent="0.2">
      <c r="A33" s="404">
        <v>21010002</v>
      </c>
      <c r="B33" s="191" t="s">
        <v>84</v>
      </c>
      <c r="C33" s="191" t="s">
        <v>1007</v>
      </c>
      <c r="D33" s="191">
        <f t="shared" si="0"/>
        <v>15</v>
      </c>
      <c r="E33" s="403">
        <f>VLOOKUP(A33,'XII. Provisiones'!$A$8:$P$29,16,0)</f>
        <v>0</v>
      </c>
      <c r="H33" s="403">
        <f t="shared" ref="H33" si="6">+E33</f>
        <v>0</v>
      </c>
      <c r="I33" s="401"/>
      <c r="J33" s="401"/>
      <c r="L33" s="437" t="s">
        <v>968</v>
      </c>
    </row>
    <row r="34" spans="1:12" x14ac:dyDescent="0.2">
      <c r="A34" s="404">
        <v>21010003</v>
      </c>
      <c r="B34" s="191" t="s">
        <v>85</v>
      </c>
      <c r="C34" s="191" t="s">
        <v>1007</v>
      </c>
      <c r="D34" s="191">
        <f t="shared" si="0"/>
        <v>16</v>
      </c>
      <c r="E34" s="403">
        <f>VLOOKUP(A34,'XII. Provisiones'!$A$8:$P$29,16,0)</f>
        <v>-2228476.23</v>
      </c>
      <c r="H34" s="403">
        <f t="shared" ref="H34" si="7">+E34</f>
        <v>-2228476.23</v>
      </c>
      <c r="I34" s="401"/>
      <c r="J34" s="401"/>
      <c r="L34" s="437" t="s">
        <v>968</v>
      </c>
    </row>
    <row r="35" spans="1:12" x14ac:dyDescent="0.2">
      <c r="A35" s="404">
        <v>21100001</v>
      </c>
      <c r="B35" s="191" t="s">
        <v>118</v>
      </c>
      <c r="C35" s="191" t="s">
        <v>1007</v>
      </c>
      <c r="D35" s="191">
        <f t="shared" si="0"/>
        <v>17</v>
      </c>
      <c r="E35" s="403">
        <f>VLOOKUP(A35,'XII. Provisiones'!$A$8:$P$29,16,0)</f>
        <v>-41811.380000000005</v>
      </c>
      <c r="H35" s="403">
        <f t="shared" ref="H35" si="8">+E35</f>
        <v>-41811.380000000005</v>
      </c>
      <c r="I35" s="401"/>
      <c r="J35" s="401"/>
      <c r="L35" s="437" t="s">
        <v>968</v>
      </c>
    </row>
    <row r="36" spans="1:12" x14ac:dyDescent="0.2">
      <c r="A36" s="404">
        <v>21100020</v>
      </c>
      <c r="B36" s="191" t="s">
        <v>257</v>
      </c>
      <c r="C36" s="191" t="s">
        <v>1007</v>
      </c>
      <c r="D36" s="191">
        <f t="shared" si="0"/>
        <v>18</v>
      </c>
      <c r="E36" s="403">
        <f>VLOOKUP(A36,'XII. Provisiones'!$A$8:$P$29,16,0)</f>
        <v>-108531.41999999993</v>
      </c>
      <c r="H36" s="403">
        <f t="shared" ref="H36" si="9">+E36</f>
        <v>-108531.41999999993</v>
      </c>
      <c r="I36" s="401"/>
      <c r="J36" s="401"/>
      <c r="L36" s="437" t="s">
        <v>968</v>
      </c>
    </row>
    <row r="37" spans="1:12" x14ac:dyDescent="0.2">
      <c r="A37" s="404">
        <v>80010002</v>
      </c>
      <c r="B37" s="191" t="s">
        <v>174</v>
      </c>
      <c r="C37" s="191" t="s">
        <v>1006</v>
      </c>
      <c r="D37" s="191">
        <f t="shared" si="0"/>
        <v>19</v>
      </c>
      <c r="E37" s="403">
        <f>VLOOKUP(A37,'I. Balanza'!$C$8:$Q$620,15,0)</f>
        <v>5437881.3899999997</v>
      </c>
      <c r="H37" s="403">
        <f t="shared" ref="H37" si="10">+E37</f>
        <v>5437881.3899999997</v>
      </c>
      <c r="I37" s="401"/>
      <c r="J37" s="401"/>
      <c r="L37" s="437" t="s">
        <v>967</v>
      </c>
    </row>
    <row r="38" spans="1:12" x14ac:dyDescent="0.2">
      <c r="A38" s="404">
        <v>13030001</v>
      </c>
      <c r="B38" s="191" t="s">
        <v>74</v>
      </c>
      <c r="C38" s="191" t="s">
        <v>1007</v>
      </c>
      <c r="D38" s="191">
        <f t="shared" si="0"/>
        <v>20</v>
      </c>
      <c r="E38" s="403">
        <f>VLOOKUP(A38,'XII. Provisiones'!$A$8:$P$29,16,0)</f>
        <v>-195754.42</v>
      </c>
      <c r="H38" s="403">
        <f t="shared" si="1"/>
        <v>-195754.42</v>
      </c>
      <c r="I38" s="401"/>
      <c r="J38" s="401"/>
      <c r="L38" s="437" t="s">
        <v>968</v>
      </c>
    </row>
    <row r="39" spans="1:12" x14ac:dyDescent="0.2">
      <c r="A39" s="404">
        <v>22100001</v>
      </c>
      <c r="B39" s="191" t="s">
        <v>706</v>
      </c>
      <c r="C39" s="191" t="s">
        <v>1007</v>
      </c>
      <c r="D39" s="191">
        <f t="shared" si="0"/>
        <v>21</v>
      </c>
      <c r="E39" s="403">
        <f>VLOOKUP(A39,'XII. Provisiones'!$A$8:$P$29,16,0)</f>
        <v>70491.290000000037</v>
      </c>
      <c r="H39" s="403">
        <f t="shared" ref="H39:H41" si="11">+E39</f>
        <v>70491.290000000037</v>
      </c>
      <c r="I39" s="401"/>
      <c r="J39" s="401"/>
      <c r="L39" s="437" t="s">
        <v>968</v>
      </c>
    </row>
    <row r="40" spans="1:12" x14ac:dyDescent="0.2">
      <c r="A40" s="404">
        <v>22100002</v>
      </c>
      <c r="B40" s="191" t="s">
        <v>707</v>
      </c>
      <c r="C40" s="191" t="s">
        <v>1007</v>
      </c>
      <c r="D40" s="191">
        <f t="shared" si="0"/>
        <v>22</v>
      </c>
      <c r="E40" s="403">
        <f>VLOOKUP(A40,'XII. Provisiones'!$A$8:$P$29,16,0)</f>
        <v>167688.44999999995</v>
      </c>
      <c r="H40" s="403">
        <f t="shared" si="11"/>
        <v>167688.44999999995</v>
      </c>
      <c r="I40" s="401"/>
      <c r="J40" s="401"/>
      <c r="L40" s="437" t="s">
        <v>968</v>
      </c>
    </row>
    <row r="41" spans="1:12" x14ac:dyDescent="0.2">
      <c r="A41" s="404">
        <v>22100003</v>
      </c>
      <c r="B41" s="191" t="s">
        <v>126</v>
      </c>
      <c r="C41" s="191" t="s">
        <v>1007</v>
      </c>
      <c r="D41" s="191">
        <f t="shared" si="0"/>
        <v>23</v>
      </c>
      <c r="E41" s="403">
        <f>VLOOKUP(A41,'XII. Provisiones'!$A$8:$P$29,16,0)</f>
        <v>1186785.9700000002</v>
      </c>
      <c r="H41" s="403">
        <f t="shared" si="11"/>
        <v>1186785.9700000002</v>
      </c>
      <c r="I41" s="401"/>
      <c r="J41" s="401"/>
      <c r="L41" s="437" t="s">
        <v>968</v>
      </c>
    </row>
    <row r="42" spans="1:12" x14ac:dyDescent="0.2">
      <c r="A42" s="404">
        <v>52010315</v>
      </c>
      <c r="B42" s="191" t="s">
        <v>340</v>
      </c>
      <c r="C42" s="191" t="s">
        <v>1006</v>
      </c>
      <c r="D42" s="191">
        <f t="shared" si="0"/>
        <v>24</v>
      </c>
      <c r="E42" s="403">
        <f>VLOOKUP(A42,'I. Balanza'!$C$8:$Q$620,15,0)</f>
        <v>2859882.01</v>
      </c>
      <c r="H42" s="403">
        <f t="shared" ref="H42:H43" si="12">+E42</f>
        <v>2859882.01</v>
      </c>
      <c r="I42" s="401"/>
      <c r="J42" s="401"/>
      <c r="L42" s="437" t="s">
        <v>968</v>
      </c>
    </row>
    <row r="43" spans="1:12" x14ac:dyDescent="0.2">
      <c r="A43" s="404">
        <v>65010362</v>
      </c>
      <c r="B43" s="191" t="s">
        <v>510</v>
      </c>
      <c r="C43" s="191" t="s">
        <v>1006</v>
      </c>
      <c r="D43" s="191">
        <f t="shared" si="0"/>
        <v>25</v>
      </c>
      <c r="E43" s="403">
        <f>VLOOKUP(A43,'I. Balanza'!$C$8:$Q$620,15,0)</f>
        <v>79438.997501841935</v>
      </c>
      <c r="H43" s="403">
        <f t="shared" si="12"/>
        <v>79438.997501841935</v>
      </c>
      <c r="I43" s="401"/>
      <c r="J43" s="401"/>
      <c r="L43" s="437" t="s">
        <v>968</v>
      </c>
    </row>
    <row r="44" spans="1:12" x14ac:dyDescent="0.2">
      <c r="A44" s="404">
        <v>63010361</v>
      </c>
      <c r="B44" s="191" t="s">
        <v>708</v>
      </c>
      <c r="C44" s="191" t="s">
        <v>1009</v>
      </c>
      <c r="D44" s="191">
        <f t="shared" si="0"/>
        <v>26</v>
      </c>
      <c r="E44" s="403">
        <f>VLOOKUP(A44,'I. Balanza'!$C$8:$Q$620,15,0)</f>
        <v>2365819.75</v>
      </c>
      <c r="H44" s="403">
        <f t="shared" ref="H44" si="13">+E44</f>
        <v>2365819.75</v>
      </c>
      <c r="I44" s="401"/>
      <c r="J44" s="403" t="s">
        <v>841</v>
      </c>
      <c r="L44" s="437" t="s">
        <v>968</v>
      </c>
    </row>
    <row r="45" spans="1:12" x14ac:dyDescent="0.2">
      <c r="A45" s="191" t="s">
        <v>902</v>
      </c>
      <c r="B45" s="191" t="s">
        <v>709</v>
      </c>
      <c r="C45" s="191" t="s">
        <v>1009</v>
      </c>
      <c r="D45" s="191">
        <f t="shared" si="0"/>
        <v>27</v>
      </c>
      <c r="E45" s="403">
        <v>201122.14655172414</v>
      </c>
      <c r="H45" s="403">
        <f t="shared" si="1"/>
        <v>201122.14655172414</v>
      </c>
      <c r="I45" s="401"/>
      <c r="J45" s="403" t="s">
        <v>841</v>
      </c>
      <c r="L45" s="437" t="s">
        <v>968</v>
      </c>
    </row>
    <row r="46" spans="1:12" x14ac:dyDescent="0.2">
      <c r="A46" s="404">
        <v>72020001</v>
      </c>
      <c r="B46" s="191" t="s">
        <v>512</v>
      </c>
      <c r="C46" s="191" t="s">
        <v>1006</v>
      </c>
      <c r="D46" s="191">
        <f t="shared" si="0"/>
        <v>28</v>
      </c>
      <c r="E46" s="403">
        <f>VLOOKUP(A46,'I. Balanza'!$C$8:$Q$620,15,0)</f>
        <v>76726.797002210398</v>
      </c>
      <c r="H46" s="403">
        <f t="shared" si="1"/>
        <v>76726.797002210398</v>
      </c>
      <c r="I46" s="401"/>
      <c r="J46" s="401"/>
      <c r="L46" s="437" t="s">
        <v>968</v>
      </c>
    </row>
    <row r="47" spans="1:12" x14ac:dyDescent="0.2">
      <c r="A47" s="191" t="s">
        <v>903</v>
      </c>
      <c r="B47" s="191" t="s">
        <v>1010</v>
      </c>
      <c r="C47" s="191" t="s">
        <v>1014</v>
      </c>
      <c r="D47" s="191">
        <f t="shared" si="0"/>
        <v>29</v>
      </c>
      <c r="E47" s="291">
        <v>2040224.1938</v>
      </c>
      <c r="H47" s="406"/>
      <c r="I47" s="401"/>
      <c r="J47" s="403" t="s">
        <v>1020</v>
      </c>
      <c r="L47" s="437" t="s">
        <v>966</v>
      </c>
    </row>
    <row r="48" spans="1:12" x14ac:dyDescent="0.2">
      <c r="F48" s="401">
        <f>SUM(E22:E47)</f>
        <v>115626195.15485583</v>
      </c>
      <c r="I48" s="401">
        <f>SUM(H22:H47)</f>
        <v>113585970.96105583</v>
      </c>
      <c r="J48" s="401"/>
      <c r="K48" s="403"/>
    </row>
    <row r="49" spans="1:12" x14ac:dyDescent="0.2">
      <c r="A49" s="191" t="s">
        <v>710</v>
      </c>
      <c r="B49" s="402" t="s">
        <v>711</v>
      </c>
      <c r="I49" s="401"/>
      <c r="J49" s="401"/>
    </row>
    <row r="50" spans="1:12" x14ac:dyDescent="0.2">
      <c r="I50" s="401"/>
      <c r="J50" s="401"/>
    </row>
    <row r="51" spans="1:12" x14ac:dyDescent="0.2">
      <c r="A51" s="191" t="s">
        <v>155</v>
      </c>
      <c r="B51" s="191" t="s">
        <v>152</v>
      </c>
      <c r="C51" s="191" t="s">
        <v>1006</v>
      </c>
      <c r="E51" s="403">
        <f>VLOOKUP(A51,'I. Balanza'!$C$8:$Q$620,15,0)</f>
        <v>95103519.530000046</v>
      </c>
      <c r="H51" s="403">
        <f t="shared" ref="H51:H57" si="14">+E51</f>
        <v>95103519.530000046</v>
      </c>
      <c r="I51" s="401"/>
      <c r="J51" s="401"/>
      <c r="L51" s="437" t="s">
        <v>970</v>
      </c>
    </row>
    <row r="52" spans="1:12" ht="38.25" x14ac:dyDescent="0.2">
      <c r="A52" s="407" t="s">
        <v>904</v>
      </c>
      <c r="B52" s="191" t="s">
        <v>712</v>
      </c>
      <c r="C52" s="191" t="s">
        <v>712</v>
      </c>
      <c r="D52" s="191">
        <v>28</v>
      </c>
      <c r="E52" s="403">
        <v>3272489.9011852629</v>
      </c>
      <c r="H52" s="403">
        <f t="shared" si="14"/>
        <v>3272489.9011852629</v>
      </c>
      <c r="I52" s="401"/>
      <c r="J52" s="401"/>
      <c r="K52" s="403"/>
      <c r="L52" s="437" t="s">
        <v>971</v>
      </c>
    </row>
    <row r="53" spans="1:12" x14ac:dyDescent="0.2">
      <c r="A53" s="191" t="s">
        <v>840</v>
      </c>
      <c r="B53" s="191" t="s">
        <v>713</v>
      </c>
      <c r="C53" s="191" t="s">
        <v>1009</v>
      </c>
      <c r="D53" s="191">
        <f>D52+1</f>
        <v>29</v>
      </c>
      <c r="E53" s="403">
        <f>'XI. Regalias Pagadas'!G19</f>
        <v>2256601.4</v>
      </c>
      <c r="H53" s="403">
        <f t="shared" si="14"/>
        <v>2256601.4</v>
      </c>
      <c r="I53" s="401"/>
      <c r="J53" s="401"/>
      <c r="L53" s="437" t="s">
        <v>973</v>
      </c>
    </row>
    <row r="54" spans="1:12" x14ac:dyDescent="0.2">
      <c r="A54" s="191" t="s">
        <v>840</v>
      </c>
      <c r="B54" s="191" t="s">
        <v>747</v>
      </c>
      <c r="C54" s="191" t="s">
        <v>1012</v>
      </c>
      <c r="D54" s="191">
        <f t="shared" ref="D54:D56" si="15">1+D53</f>
        <v>30</v>
      </c>
      <c r="E54" s="403">
        <f>'VIII. Ajuste Anual  Por Infl'!Q55</f>
        <v>2363388.2814620826</v>
      </c>
      <c r="H54" s="403">
        <f t="shared" si="14"/>
        <v>2363388.2814620826</v>
      </c>
      <c r="I54" s="401"/>
      <c r="J54" s="401"/>
      <c r="L54" s="437" t="s">
        <v>969</v>
      </c>
    </row>
    <row r="55" spans="1:12" x14ac:dyDescent="0.2">
      <c r="A55" s="191" t="s">
        <v>840</v>
      </c>
      <c r="B55" s="191" t="s">
        <v>715</v>
      </c>
      <c r="C55" s="191" t="s">
        <v>1013</v>
      </c>
      <c r="D55" s="191">
        <f t="shared" si="15"/>
        <v>31</v>
      </c>
      <c r="E55" s="403">
        <f>-'X. Venta de Activo Fijo'!R26</f>
        <v>4203.22055</v>
      </c>
      <c r="H55" s="403">
        <f t="shared" si="14"/>
        <v>4203.22055</v>
      </c>
      <c r="I55" s="401"/>
      <c r="J55" s="401"/>
      <c r="L55" s="437" t="s">
        <v>972</v>
      </c>
    </row>
    <row r="56" spans="1:12" x14ac:dyDescent="0.2">
      <c r="A56" s="191" t="s">
        <v>902</v>
      </c>
      <c r="B56" s="191" t="s">
        <v>977</v>
      </c>
      <c r="C56" s="191" t="s">
        <v>1009</v>
      </c>
      <c r="D56" s="191">
        <f t="shared" si="15"/>
        <v>32</v>
      </c>
      <c r="E56" s="403">
        <v>71137.200000000012</v>
      </c>
      <c r="H56" s="403">
        <f t="shared" si="14"/>
        <v>71137.200000000012</v>
      </c>
      <c r="I56" s="401"/>
      <c r="J56" s="403" t="s">
        <v>841</v>
      </c>
      <c r="L56" s="437" t="s">
        <v>973</v>
      </c>
    </row>
    <row r="57" spans="1:12" x14ac:dyDescent="0.2">
      <c r="H57" s="403">
        <f t="shared" si="14"/>
        <v>0</v>
      </c>
      <c r="I57" s="401"/>
      <c r="J57" s="401"/>
    </row>
    <row r="58" spans="1:12" x14ac:dyDescent="0.2">
      <c r="E58" s="405"/>
      <c r="H58" s="406"/>
      <c r="I58" s="401"/>
      <c r="J58" s="401"/>
    </row>
    <row r="59" spans="1:12" x14ac:dyDescent="0.2">
      <c r="F59" s="401">
        <f>SUM(E51:E58)</f>
        <v>103071339.5331974</v>
      </c>
      <c r="I59" s="401">
        <f>SUM(H51:H58)</f>
        <v>103071339.5331974</v>
      </c>
      <c r="J59" s="401"/>
    </row>
    <row r="60" spans="1:12" x14ac:dyDescent="0.2">
      <c r="A60" s="191" t="s">
        <v>716</v>
      </c>
      <c r="B60" s="402" t="s">
        <v>717</v>
      </c>
      <c r="I60" s="401"/>
      <c r="J60" s="401"/>
    </row>
    <row r="61" spans="1:12" x14ac:dyDescent="0.2">
      <c r="I61" s="401"/>
      <c r="J61" s="401"/>
    </row>
    <row r="62" spans="1:12" x14ac:dyDescent="0.2">
      <c r="I62" s="401"/>
      <c r="J62" s="401"/>
    </row>
    <row r="63" spans="1:12" x14ac:dyDescent="0.2">
      <c r="A63" s="404">
        <v>21030001</v>
      </c>
      <c r="B63" s="191" t="s">
        <v>718</v>
      </c>
      <c r="C63" s="191" t="s">
        <v>1006</v>
      </c>
      <c r="D63" s="191">
        <v>33</v>
      </c>
      <c r="E63" s="403">
        <f>-VLOOKUP(A63,'I. Balanza'!$C$8:$Q$620,3,0)</f>
        <v>787788.26999999641</v>
      </c>
      <c r="H63" s="403">
        <f>+E63</f>
        <v>787788.26999999641</v>
      </c>
      <c r="I63" s="401"/>
      <c r="J63" s="401"/>
      <c r="L63" s="437" t="s">
        <v>974</v>
      </c>
    </row>
    <row r="64" spans="1:12" x14ac:dyDescent="0.2">
      <c r="A64" s="404">
        <v>81040002</v>
      </c>
      <c r="B64" s="191" t="s">
        <v>205</v>
      </c>
      <c r="C64" s="191" t="s">
        <v>1006</v>
      </c>
      <c r="D64" s="191">
        <f>D63+1</f>
        <v>34</v>
      </c>
      <c r="E64" s="403">
        <f>-VLOOKUP(A64,'I. Balanza'!$C$8:$Q$620,15,0)</f>
        <v>164868.04999999999</v>
      </c>
      <c r="H64" s="403">
        <f t="shared" ref="H64" si="16">+E64</f>
        <v>164868.04999999999</v>
      </c>
      <c r="I64" s="401"/>
      <c r="J64" s="401"/>
      <c r="L64" s="437" t="s">
        <v>975</v>
      </c>
    </row>
    <row r="65" spans="1:11" x14ac:dyDescent="0.2">
      <c r="E65" s="191"/>
      <c r="H65" s="191"/>
      <c r="I65" s="401"/>
      <c r="J65" s="401"/>
    </row>
    <row r="66" spans="1:11" x14ac:dyDescent="0.2">
      <c r="E66" s="405"/>
      <c r="I66" s="401"/>
      <c r="J66" s="401"/>
    </row>
    <row r="67" spans="1:11" x14ac:dyDescent="0.2">
      <c r="F67" s="405">
        <f>SUM(E62:E66)</f>
        <v>952656.31999999634</v>
      </c>
      <c r="I67" s="405">
        <f>SUM(H62:H66)</f>
        <v>952656.31999999634</v>
      </c>
      <c r="J67" s="401"/>
    </row>
    <row r="68" spans="1:11" x14ac:dyDescent="0.2">
      <c r="I68" s="401"/>
      <c r="J68" s="401"/>
    </row>
    <row r="69" spans="1:11" x14ac:dyDescent="0.2">
      <c r="B69" s="289" t="s">
        <v>719</v>
      </c>
      <c r="F69" s="401">
        <f>+F11+F18+F48-F59-F67</f>
        <v>45254647.357614428</v>
      </c>
      <c r="I69" s="401">
        <f>+I11+I18+I48-I59-I67</f>
        <v>43214423.163814425</v>
      </c>
      <c r="J69" s="401"/>
    </row>
    <row r="70" spans="1:11" x14ac:dyDescent="0.2">
      <c r="I70" s="401"/>
      <c r="J70" s="401"/>
    </row>
    <row r="71" spans="1:11" x14ac:dyDescent="0.2">
      <c r="I71" s="401"/>
      <c r="J71" s="401"/>
    </row>
    <row r="72" spans="1:11" x14ac:dyDescent="0.2">
      <c r="B72" s="289" t="s">
        <v>721</v>
      </c>
      <c r="D72" s="191">
        <v>35</v>
      </c>
      <c r="F72" s="401">
        <f>-'I. Balanza'!F248</f>
        <v>4607589</v>
      </c>
      <c r="I72" s="401"/>
      <c r="J72" s="401"/>
    </row>
    <row r="73" spans="1:11" x14ac:dyDescent="0.2">
      <c r="I73" s="401"/>
      <c r="J73" s="401"/>
    </row>
    <row r="74" spans="1:11" ht="13.5" thickBot="1" x14ac:dyDescent="0.25">
      <c r="B74" s="289" t="s">
        <v>720</v>
      </c>
      <c r="F74" s="408">
        <f>F69-F72</f>
        <v>40647058.357614428</v>
      </c>
      <c r="I74" s="408">
        <f>I69</f>
        <v>43214423.163814425</v>
      </c>
      <c r="J74" s="401"/>
    </row>
    <row r="75" spans="1:11" ht="13.5" thickTop="1" x14ac:dyDescent="0.2">
      <c r="I75" s="401"/>
      <c r="J75" s="401"/>
    </row>
    <row r="76" spans="1:11" x14ac:dyDescent="0.2">
      <c r="B76" s="289" t="s">
        <v>722</v>
      </c>
      <c r="C76" s="292">
        <v>0.3</v>
      </c>
      <c r="D76" s="292"/>
      <c r="F76" s="401">
        <f>+F74*C76</f>
        <v>12194117.507284328</v>
      </c>
      <c r="I76" s="401">
        <f>+I74*K76</f>
        <v>4321442.3163814424</v>
      </c>
      <c r="J76" s="401"/>
      <c r="K76" s="292">
        <v>0.1</v>
      </c>
    </row>
    <row r="77" spans="1:11" x14ac:dyDescent="0.2">
      <c r="I77" s="401"/>
      <c r="J77" s="401"/>
    </row>
    <row r="78" spans="1:11" ht="13.5" thickBot="1" x14ac:dyDescent="0.25">
      <c r="A78" s="404"/>
      <c r="B78" s="289" t="s">
        <v>723</v>
      </c>
      <c r="D78" s="191">
        <v>36</v>
      </c>
      <c r="F78" s="401">
        <f>'I. Balanza'!Q548</f>
        <v>12239228.419999996</v>
      </c>
      <c r="I78" s="409">
        <f>'I. Balanza'!Q549</f>
        <v>5437881.3899999997</v>
      </c>
      <c r="J78" s="401"/>
    </row>
    <row r="79" spans="1:11" x14ac:dyDescent="0.2">
      <c r="I79" s="401"/>
      <c r="J79" s="401"/>
    </row>
    <row r="80" spans="1:11" ht="13.5" thickBot="1" x14ac:dyDescent="0.25">
      <c r="B80" s="289" t="s">
        <v>892</v>
      </c>
      <c r="F80" s="408">
        <f>+F76-F78</f>
        <v>-45110.912715667859</v>
      </c>
      <c r="I80" s="408">
        <f>+I76-I78</f>
        <v>-1116439.0736185573</v>
      </c>
      <c r="J80" s="401"/>
      <c r="K80" s="403"/>
    </row>
    <row r="81" spans="1:10" ht="13.5" thickTop="1" x14ac:dyDescent="0.2">
      <c r="I81" s="403"/>
      <c r="J81" s="403"/>
    </row>
    <row r="82" spans="1:10" x14ac:dyDescent="0.2">
      <c r="E82" s="191"/>
      <c r="F82" s="191"/>
      <c r="G82" s="191"/>
      <c r="H82" s="191"/>
      <c r="I82" s="410"/>
      <c r="J82" s="410"/>
    </row>
    <row r="83" spans="1:10" x14ac:dyDescent="0.2">
      <c r="E83" s="191"/>
      <c r="F83" s="191"/>
      <c r="G83" s="191"/>
      <c r="H83" s="191"/>
      <c r="I83" s="403"/>
      <c r="J83" s="403"/>
    </row>
    <row r="84" spans="1:10" x14ac:dyDescent="0.2">
      <c r="E84" s="191"/>
      <c r="F84" s="191"/>
      <c r="G84" s="191"/>
      <c r="H84" s="191"/>
    </row>
    <row r="85" spans="1:10" x14ac:dyDescent="0.2">
      <c r="E85" s="191"/>
      <c r="F85" s="191"/>
      <c r="G85" s="191"/>
      <c r="H85" s="191"/>
    </row>
    <row r="86" spans="1:10" x14ac:dyDescent="0.2">
      <c r="E86" s="191"/>
      <c r="F86" s="191"/>
      <c r="G86" s="191"/>
      <c r="H86" s="191"/>
    </row>
    <row r="87" spans="1:10" x14ac:dyDescent="0.2">
      <c r="E87" s="191"/>
      <c r="F87" s="191"/>
      <c r="G87" s="191"/>
      <c r="H87" s="191"/>
    </row>
    <row r="88" spans="1:10" x14ac:dyDescent="0.2">
      <c r="E88" s="191"/>
      <c r="F88" s="191"/>
      <c r="G88" s="191"/>
      <c r="H88" s="191"/>
    </row>
    <row r="89" spans="1:10" ht="13.5" thickBot="1" x14ac:dyDescent="0.25">
      <c r="A89" s="191" t="s">
        <v>833</v>
      </c>
      <c r="E89" s="191"/>
      <c r="F89" s="191"/>
      <c r="G89" s="191"/>
      <c r="H89" s="191"/>
    </row>
    <row r="90" spans="1:10" ht="13.5" thickBot="1" x14ac:dyDescent="0.25">
      <c r="A90" s="290" t="s">
        <v>830</v>
      </c>
      <c r="B90" s="290" t="s">
        <v>831</v>
      </c>
      <c r="C90" s="411" t="s">
        <v>835</v>
      </c>
      <c r="E90" s="412" t="s">
        <v>832</v>
      </c>
    </row>
    <row r="91" spans="1:10" x14ac:dyDescent="0.2">
      <c r="A91" s="191">
        <v>41010001</v>
      </c>
      <c r="B91" s="191" t="s">
        <v>258</v>
      </c>
      <c r="C91" s="191" t="s">
        <v>143</v>
      </c>
      <c r="E91" s="401">
        <f>-VLOOKUP(A91,'I. Balanza'!$C$8:$Q$620,15,0)</f>
        <v>54847186.894000001</v>
      </c>
    </row>
    <row r="92" spans="1:10" x14ac:dyDescent="0.2">
      <c r="A92" s="191">
        <v>41010002</v>
      </c>
      <c r="B92" s="191" t="s">
        <v>259</v>
      </c>
      <c r="C92" s="191" t="s">
        <v>143</v>
      </c>
      <c r="E92" s="401">
        <f>-VLOOKUP(A92,'I. Balanza'!$C$8:$Q$620,15,0)</f>
        <v>45418454.434</v>
      </c>
    </row>
    <row r="93" spans="1:10" x14ac:dyDescent="0.2">
      <c r="A93" s="191">
        <v>41010003</v>
      </c>
      <c r="B93" s="191" t="s">
        <v>260</v>
      </c>
      <c r="C93" s="191" t="s">
        <v>143</v>
      </c>
      <c r="E93" s="401">
        <f>-VLOOKUP(A93,'I. Balanza'!$C$8:$Q$620,15,0)</f>
        <v>33264710.014000002</v>
      </c>
    </row>
    <row r="94" spans="1:10" x14ac:dyDescent="0.2">
      <c r="A94" s="191">
        <v>41010004</v>
      </c>
      <c r="B94" s="191" t="s">
        <v>261</v>
      </c>
      <c r="C94" s="191" t="s">
        <v>143</v>
      </c>
      <c r="E94" s="401">
        <f>-VLOOKUP(A94,'I. Balanza'!$C$8:$Q$620,15,0)</f>
        <v>19093880.794000003</v>
      </c>
    </row>
    <row r="95" spans="1:10" x14ac:dyDescent="0.2">
      <c r="A95" s="191">
        <v>41010005</v>
      </c>
      <c r="B95" s="191" t="s">
        <v>262</v>
      </c>
      <c r="C95" s="191" t="s">
        <v>143</v>
      </c>
      <c r="E95" s="401">
        <f>-VLOOKUP(A95,'I. Balanza'!$C$8:$Q$620,15,0)</f>
        <v>20913636.484000001</v>
      </c>
    </row>
    <row r="96" spans="1:10" x14ac:dyDescent="0.2">
      <c r="A96" s="191">
        <v>41010011</v>
      </c>
      <c r="B96" s="191" t="s">
        <v>144</v>
      </c>
      <c r="C96" s="191" t="s">
        <v>143</v>
      </c>
      <c r="E96" s="401">
        <f>-VLOOKUP(A96,'I. Balanza'!$C$8:$Q$620,15,0)</f>
        <v>0</v>
      </c>
    </row>
    <row r="97" spans="1:5" x14ac:dyDescent="0.2">
      <c r="A97" s="191">
        <v>71010006</v>
      </c>
      <c r="B97" s="191" t="s">
        <v>298</v>
      </c>
      <c r="C97" s="191" t="s">
        <v>175</v>
      </c>
      <c r="E97" s="401">
        <f>-VLOOKUP(A97,'I. Balanza'!$C$8:$Q$620,15,0)</f>
        <v>102793.59</v>
      </c>
    </row>
    <row r="98" spans="1:5" x14ac:dyDescent="0.2">
      <c r="A98" s="191">
        <v>71050001</v>
      </c>
      <c r="B98" s="191" t="s">
        <v>179</v>
      </c>
      <c r="C98" s="191" t="s">
        <v>175</v>
      </c>
      <c r="E98" s="401">
        <f>-VLOOKUP(A98,'I. Balanza'!$C$8:$Q$620,15,0)</f>
        <v>11230309.280000001</v>
      </c>
    </row>
    <row r="99" spans="1:5" x14ac:dyDescent="0.2">
      <c r="A99" s="191">
        <v>81010001</v>
      </c>
      <c r="B99" s="191" t="s">
        <v>195</v>
      </c>
      <c r="C99" s="191" t="s">
        <v>193</v>
      </c>
      <c r="E99" s="401">
        <f>-VLOOKUP(A99,'I. Balanza'!$C$8:$Q$620,15,0)</f>
        <v>525320.44999999995</v>
      </c>
    </row>
    <row r="100" spans="1:5" x14ac:dyDescent="0.2">
      <c r="A100" s="191">
        <v>81010002</v>
      </c>
      <c r="B100" s="191" t="s">
        <v>196</v>
      </c>
      <c r="C100" s="191" t="s">
        <v>193</v>
      </c>
      <c r="E100" s="401">
        <f>-VLOOKUP(A100,'I. Balanza'!$C$8:$Q$620,15,0)</f>
        <v>2659567.84</v>
      </c>
    </row>
    <row r="101" spans="1:5" x14ac:dyDescent="0.2">
      <c r="A101" s="191">
        <v>81030001</v>
      </c>
      <c r="B101" s="191" t="s">
        <v>199</v>
      </c>
      <c r="C101" s="191" t="s">
        <v>193</v>
      </c>
      <c r="E101" s="401">
        <f>-VLOOKUP(A101,'I. Balanza'!$C$8:$Q$620,15,0)</f>
        <v>21722.43</v>
      </c>
    </row>
    <row r="102" spans="1:5" x14ac:dyDescent="0.2">
      <c r="A102" s="191">
        <v>81030002</v>
      </c>
      <c r="B102" s="191" t="s">
        <v>200</v>
      </c>
      <c r="C102" s="191" t="s">
        <v>193</v>
      </c>
      <c r="E102" s="401">
        <f>-VLOOKUP(A102,'I. Balanza'!$C$8:$Q$620,15,0)</f>
        <v>888471.98</v>
      </c>
    </row>
    <row r="103" spans="1:5" x14ac:dyDescent="0.2">
      <c r="A103" s="191">
        <v>81030003</v>
      </c>
      <c r="B103" s="191" t="s">
        <v>201</v>
      </c>
      <c r="C103" s="191" t="s">
        <v>193</v>
      </c>
      <c r="E103" s="401">
        <f>-VLOOKUP(A103,'I. Balanza'!$C$8:$Q$620,15,0)</f>
        <v>1531992.8</v>
      </c>
    </row>
    <row r="104" spans="1:5" x14ac:dyDescent="0.2">
      <c r="A104" s="191">
        <v>81060001</v>
      </c>
      <c r="B104" s="191" t="s">
        <v>206</v>
      </c>
      <c r="C104" s="191" t="s">
        <v>193</v>
      </c>
      <c r="E104" s="401">
        <f>-VLOOKUP(A104,'I. Balanza'!$C$8:$Q$620,15,0)</f>
        <v>12670.65</v>
      </c>
    </row>
    <row r="105" spans="1:5" x14ac:dyDescent="0.2">
      <c r="A105" s="191">
        <v>81060002</v>
      </c>
      <c r="B105" s="191" t="s">
        <v>207</v>
      </c>
      <c r="C105" s="191" t="s">
        <v>193</v>
      </c>
      <c r="E105" s="401">
        <f>-VLOOKUP(A105,'I. Balanza'!$C$8:$Q$620,15,0)</f>
        <v>-148.97999999999999</v>
      </c>
    </row>
    <row r="106" spans="1:5" x14ac:dyDescent="0.2">
      <c r="A106" s="191">
        <v>81060003</v>
      </c>
      <c r="B106" s="191" t="s">
        <v>208</v>
      </c>
      <c r="C106" s="191" t="s">
        <v>193</v>
      </c>
      <c r="E106" s="401">
        <f>-VLOOKUP(A106,'I. Balanza'!$C$8:$Q$620,15,0)</f>
        <v>167045.5</v>
      </c>
    </row>
    <row r="107" spans="1:5" x14ac:dyDescent="0.2">
      <c r="A107" s="191">
        <v>21030001</v>
      </c>
      <c r="B107" s="191" t="s">
        <v>886</v>
      </c>
      <c r="E107" s="403">
        <f>-VLOOKUP(A107,'I. Balanza'!$C$8:$Q$620,15,0)</f>
        <v>836736.11000000453</v>
      </c>
    </row>
    <row r="108" spans="1:5" x14ac:dyDescent="0.2">
      <c r="A108" s="191">
        <v>21030001</v>
      </c>
      <c r="B108" s="191" t="s">
        <v>887</v>
      </c>
      <c r="E108" s="401">
        <f>VLOOKUP(A108,'I. Balanza'!$C$8:$E$620,3,0)</f>
        <v>-787788.26999999641</v>
      </c>
    </row>
    <row r="109" spans="1:5" x14ac:dyDescent="0.2">
      <c r="A109" s="191" t="s">
        <v>840</v>
      </c>
      <c r="B109" s="191" t="s">
        <v>698</v>
      </c>
      <c r="E109" s="401">
        <f>E16</f>
        <v>154386.95046008338</v>
      </c>
    </row>
    <row r="110" spans="1:5" x14ac:dyDescent="0.2">
      <c r="B110" s="191" t="s">
        <v>371</v>
      </c>
      <c r="E110" s="401">
        <f>SUM(E91:E109)</f>
        <v>190880948.95046011</v>
      </c>
    </row>
    <row r="112" spans="1:5" ht="13.5" thickBot="1" x14ac:dyDescent="0.25">
      <c r="A112" s="191" t="s">
        <v>834</v>
      </c>
    </row>
    <row r="113" spans="1:5" ht="13.5" thickBot="1" x14ac:dyDescent="0.25">
      <c r="A113" s="411" t="s">
        <v>830</v>
      </c>
      <c r="B113" s="411" t="s">
        <v>831</v>
      </c>
      <c r="C113" s="411" t="s">
        <v>835</v>
      </c>
      <c r="E113" s="412" t="s">
        <v>832</v>
      </c>
    </row>
    <row r="114" spans="1:5" x14ac:dyDescent="0.2">
      <c r="A114" s="191">
        <v>42010001</v>
      </c>
      <c r="B114" s="191" t="s">
        <v>258</v>
      </c>
      <c r="C114" s="191" t="s">
        <v>147</v>
      </c>
      <c r="E114" s="401">
        <f>VLOOKUP(A114,'I. Balanza'!$C$8:$Q$620,15,0)</f>
        <v>28396.720000000001</v>
      </c>
    </row>
    <row r="115" spans="1:5" x14ac:dyDescent="0.2">
      <c r="A115" s="191">
        <v>42010002</v>
      </c>
      <c r="B115" s="191" t="s">
        <v>259</v>
      </c>
      <c r="C115" s="191" t="s">
        <v>147</v>
      </c>
      <c r="E115" s="401">
        <f>VLOOKUP(A115,'I. Balanza'!$C$8:$Q$620,15,0)</f>
        <v>187145.99</v>
      </c>
    </row>
    <row r="116" spans="1:5" x14ac:dyDescent="0.2">
      <c r="A116" s="191">
        <v>42010003</v>
      </c>
      <c r="B116" s="191" t="s">
        <v>260</v>
      </c>
      <c r="C116" s="191" t="s">
        <v>147</v>
      </c>
      <c r="E116" s="401">
        <f>VLOOKUP(A116,'I. Balanza'!$C$8:$Q$620,15,0)</f>
        <v>96918.670000000042</v>
      </c>
    </row>
    <row r="117" spans="1:5" x14ac:dyDescent="0.2">
      <c r="A117" s="191">
        <v>42010004</v>
      </c>
      <c r="B117" s="191" t="s">
        <v>261</v>
      </c>
      <c r="C117" s="191" t="s">
        <v>147</v>
      </c>
      <c r="E117" s="401">
        <f>VLOOKUP(A117,'I. Balanza'!$C$8:$Q$620,15,0)</f>
        <v>0</v>
      </c>
    </row>
    <row r="118" spans="1:5" x14ac:dyDescent="0.2">
      <c r="A118" s="191">
        <v>42010005</v>
      </c>
      <c r="B118" s="191" t="s">
        <v>262</v>
      </c>
      <c r="C118" s="191" t="s">
        <v>147</v>
      </c>
      <c r="E118" s="401">
        <f>VLOOKUP(A118,'I. Balanza'!$C$8:$Q$620,15,0)</f>
        <v>0</v>
      </c>
    </row>
    <row r="119" spans="1:5" x14ac:dyDescent="0.2">
      <c r="A119" s="191">
        <v>42010011</v>
      </c>
      <c r="B119" s="191" t="s">
        <v>148</v>
      </c>
      <c r="C119" s="191" t="s">
        <v>147</v>
      </c>
      <c r="E119" s="401">
        <f>VLOOKUP(A119,'I. Balanza'!$C$8:$Q$620,15,0)</f>
        <v>0</v>
      </c>
    </row>
    <row r="120" spans="1:5" x14ac:dyDescent="0.2">
      <c r="A120" s="191">
        <v>51010001</v>
      </c>
      <c r="B120" s="191" t="s">
        <v>258</v>
      </c>
      <c r="C120" s="191" t="s">
        <v>152</v>
      </c>
      <c r="E120" s="401">
        <f>VLOOKUP(A120,'I. Balanza'!$C$8:$Q$620,15,0)</f>
        <v>28276473.774000004</v>
      </c>
    </row>
    <row r="121" spans="1:5" x14ac:dyDescent="0.2">
      <c r="A121" s="191">
        <v>51010002</v>
      </c>
      <c r="B121" s="191" t="s">
        <v>259</v>
      </c>
      <c r="C121" s="191" t="s">
        <v>152</v>
      </c>
      <c r="E121" s="401">
        <f>VLOOKUP(A121,'I. Balanza'!$C$8:$Q$620,15,0)</f>
        <v>27676234.724000003</v>
      </c>
    </row>
    <row r="122" spans="1:5" x14ac:dyDescent="0.2">
      <c r="A122" s="191">
        <v>51010003</v>
      </c>
      <c r="B122" s="191" t="s">
        <v>260</v>
      </c>
      <c r="C122" s="191" t="s">
        <v>152</v>
      </c>
      <c r="E122" s="401">
        <f>VLOOKUP(A122,'I. Balanza'!$C$8:$Q$620,15,0)</f>
        <v>16996811.954000004</v>
      </c>
    </row>
    <row r="123" spans="1:5" x14ac:dyDescent="0.2">
      <c r="A123" s="191">
        <v>51010004</v>
      </c>
      <c r="B123" s="191" t="s">
        <v>261</v>
      </c>
      <c r="C123" s="191" t="s">
        <v>152</v>
      </c>
      <c r="E123" s="401">
        <f>VLOOKUP(A123,'I. Balanza'!$C$8:$Q$620,15,0)</f>
        <v>10888959.664000001</v>
      </c>
    </row>
    <row r="124" spans="1:5" x14ac:dyDescent="0.2">
      <c r="A124" s="191">
        <v>51010005</v>
      </c>
      <c r="B124" s="191" t="s">
        <v>262</v>
      </c>
      <c r="C124" s="191" t="s">
        <v>152</v>
      </c>
      <c r="E124" s="401">
        <f>VLOOKUP(A124,'I. Balanza'!$C$8:$Q$620,15,0)</f>
        <v>12389042.084000003</v>
      </c>
    </row>
    <row r="125" spans="1:5" x14ac:dyDescent="0.2">
      <c r="A125" s="191">
        <v>51010011</v>
      </c>
      <c r="B125" s="191" t="s">
        <v>153</v>
      </c>
      <c r="C125" s="191" t="s">
        <v>152</v>
      </c>
      <c r="E125" s="401">
        <f>VLOOKUP(A125,'I. Balanza'!$C$8:$Q$620,15,0)</f>
        <v>0</v>
      </c>
    </row>
    <row r="126" spans="1:5" x14ac:dyDescent="0.2">
      <c r="A126" s="191">
        <v>52010112</v>
      </c>
      <c r="B126" s="191" t="s">
        <v>322</v>
      </c>
      <c r="C126" s="191" t="s">
        <v>152</v>
      </c>
      <c r="E126" s="401">
        <f>VLOOKUP(A126,'I. Balanza'!$C$8:$Q$620,15,0)</f>
        <v>1473810.59</v>
      </c>
    </row>
    <row r="127" spans="1:5" x14ac:dyDescent="0.2">
      <c r="A127" s="191">
        <v>52010135</v>
      </c>
      <c r="B127" s="191" t="s">
        <v>360</v>
      </c>
      <c r="C127" s="191" t="s">
        <v>152</v>
      </c>
      <c r="E127" s="401">
        <f>VLOOKUP(A127,'I. Balanza'!$C$8:$Q$620,15,0)</f>
        <v>4825750.9800000004</v>
      </c>
    </row>
    <row r="128" spans="1:5" x14ac:dyDescent="0.2">
      <c r="A128" s="191">
        <v>52010140</v>
      </c>
      <c r="B128" s="191" t="s">
        <v>323</v>
      </c>
      <c r="C128" s="191" t="s">
        <v>152</v>
      </c>
      <c r="E128" s="401">
        <f>VLOOKUP(A128,'I. Balanza'!$C$8:$Q$620,15,0)</f>
        <v>369998.05</v>
      </c>
    </row>
    <row r="129" spans="1:5" x14ac:dyDescent="0.2">
      <c r="A129" s="191">
        <v>52010212</v>
      </c>
      <c r="B129" s="191" t="s">
        <v>324</v>
      </c>
      <c r="C129" s="191" t="s">
        <v>152</v>
      </c>
      <c r="E129" s="401">
        <f>VLOOKUP(A129,'I. Balanza'!$C$8:$Q$620,15,0)</f>
        <v>234550.08</v>
      </c>
    </row>
    <row r="130" spans="1:5" x14ac:dyDescent="0.2">
      <c r="A130" s="191">
        <v>52010213</v>
      </c>
      <c r="B130" s="191" t="s">
        <v>325</v>
      </c>
      <c r="C130" s="191" t="s">
        <v>152</v>
      </c>
      <c r="E130" s="401">
        <f>VLOOKUP(A130,'I. Balanza'!$C$8:$Q$620,15,0)</f>
        <v>816799.2</v>
      </c>
    </row>
    <row r="131" spans="1:5" x14ac:dyDescent="0.2">
      <c r="A131" s="191">
        <v>52010214</v>
      </c>
      <c r="B131" s="191" t="s">
        <v>326</v>
      </c>
      <c r="C131" s="191" t="s">
        <v>152</v>
      </c>
      <c r="E131" s="401">
        <f>VLOOKUP(A131,'I. Balanza'!$C$8:$Q$620,15,0)</f>
        <v>463966.44</v>
      </c>
    </row>
    <row r="132" spans="1:5" x14ac:dyDescent="0.2">
      <c r="A132" s="191">
        <v>52010215</v>
      </c>
      <c r="B132" s="191" t="s">
        <v>327</v>
      </c>
      <c r="C132" s="191" t="s">
        <v>152</v>
      </c>
      <c r="E132" s="401">
        <f>VLOOKUP(A132,'I. Balanza'!$C$8:$Q$620,15,0)</f>
        <v>406675.97</v>
      </c>
    </row>
    <row r="133" spans="1:5" x14ac:dyDescent="0.2">
      <c r="A133" s="191">
        <v>52010216</v>
      </c>
      <c r="B133" s="191" t="s">
        <v>328</v>
      </c>
      <c r="C133" s="191" t="s">
        <v>152</v>
      </c>
      <c r="E133" s="401">
        <f>VLOOKUP(A133,'I. Balanza'!$C$8:$Q$620,15,0)</f>
        <v>738816.09</v>
      </c>
    </row>
    <row r="134" spans="1:5" x14ac:dyDescent="0.2">
      <c r="A134" s="191">
        <v>52010218</v>
      </c>
      <c r="B134" s="191" t="s">
        <v>329</v>
      </c>
      <c r="C134" s="191" t="s">
        <v>152</v>
      </c>
      <c r="E134" s="401">
        <f>VLOOKUP(A134,'I. Balanza'!$C$8:$Q$620,15,0)</f>
        <v>180895.03</v>
      </c>
    </row>
    <row r="135" spans="1:5" x14ac:dyDescent="0.2">
      <c r="A135" s="191">
        <v>52010219</v>
      </c>
      <c r="B135" s="191" t="s">
        <v>330</v>
      </c>
      <c r="C135" s="191" t="s">
        <v>152</v>
      </c>
      <c r="E135" s="401">
        <f>VLOOKUP(A135,'I. Balanza'!$C$8:$Q$620,15,0)</f>
        <v>589258.47</v>
      </c>
    </row>
    <row r="136" spans="1:5" x14ac:dyDescent="0.2">
      <c r="A136" s="191">
        <v>52010231</v>
      </c>
      <c r="B136" s="191" t="s">
        <v>331</v>
      </c>
      <c r="C136" s="191" t="s">
        <v>152</v>
      </c>
      <c r="E136" s="401">
        <f>VLOOKUP(A136,'I. Balanza'!$C$8:$Q$620,15,0)</f>
        <v>0</v>
      </c>
    </row>
    <row r="137" spans="1:5" x14ac:dyDescent="0.2">
      <c r="A137" s="191">
        <v>52010234</v>
      </c>
      <c r="B137" s="191" t="s">
        <v>332</v>
      </c>
      <c r="C137" s="191" t="s">
        <v>152</v>
      </c>
      <c r="E137" s="401">
        <f>VLOOKUP(A137,'I. Balanza'!$C$8:$Q$620,15,0)</f>
        <v>0</v>
      </c>
    </row>
    <row r="138" spans="1:5" x14ac:dyDescent="0.2">
      <c r="A138" s="191">
        <v>52010300</v>
      </c>
      <c r="B138" s="191" t="s">
        <v>333</v>
      </c>
      <c r="C138" s="191" t="s">
        <v>152</v>
      </c>
      <c r="E138" s="401">
        <f>VLOOKUP(A138,'I. Balanza'!$C$8:$Q$620,15,0)</f>
        <v>694428.75</v>
      </c>
    </row>
    <row r="139" spans="1:5" x14ac:dyDescent="0.2">
      <c r="A139" s="191">
        <v>52010302</v>
      </c>
      <c r="B139" s="191" t="s">
        <v>334</v>
      </c>
      <c r="C139" s="191" t="s">
        <v>152</v>
      </c>
      <c r="E139" s="401">
        <f>VLOOKUP(A139,'I. Balanza'!$C$8:$Q$620,15,0)</f>
        <v>10169.84</v>
      </c>
    </row>
    <row r="140" spans="1:5" x14ac:dyDescent="0.2">
      <c r="A140" s="191">
        <v>52010303</v>
      </c>
      <c r="B140" s="191" t="s">
        <v>335</v>
      </c>
      <c r="C140" s="191" t="s">
        <v>152</v>
      </c>
      <c r="E140" s="401">
        <f>VLOOKUP(A140,'I. Balanza'!$C$8:$Q$620,15,0)</f>
        <v>521.24</v>
      </c>
    </row>
    <row r="141" spans="1:5" x14ac:dyDescent="0.2">
      <c r="A141" s="191">
        <v>52010304</v>
      </c>
      <c r="B141" s="191" t="s">
        <v>336</v>
      </c>
      <c r="C141" s="191" t="s">
        <v>152</v>
      </c>
      <c r="E141" s="401">
        <f>VLOOKUP(A141,'I. Balanza'!$C$8:$Q$620,15,0)</f>
        <v>360687.53</v>
      </c>
    </row>
    <row r="142" spans="1:5" x14ac:dyDescent="0.2">
      <c r="A142" s="191">
        <v>52010308</v>
      </c>
      <c r="B142" s="191" t="s">
        <v>337</v>
      </c>
      <c r="C142" s="191" t="s">
        <v>152</v>
      </c>
      <c r="E142" s="401">
        <f>VLOOKUP(A142,'I. Balanza'!$C$8:$Q$620,15,0)</f>
        <v>220341.02</v>
      </c>
    </row>
    <row r="143" spans="1:5" x14ac:dyDescent="0.2">
      <c r="A143" s="191">
        <v>52010311</v>
      </c>
      <c r="B143" s="191" t="s">
        <v>338</v>
      </c>
      <c r="C143" s="191" t="s">
        <v>152</v>
      </c>
      <c r="E143" s="401">
        <f>VLOOKUP(A143,'I. Balanza'!$C$8:$Q$620,15,0)</f>
        <v>12712.39</v>
      </c>
    </row>
    <row r="144" spans="1:5" x14ac:dyDescent="0.2">
      <c r="A144" s="191">
        <v>52010312</v>
      </c>
      <c r="B144" s="191" t="s">
        <v>339</v>
      </c>
      <c r="C144" s="191" t="s">
        <v>152</v>
      </c>
      <c r="E144" s="401">
        <f>VLOOKUP(A144,'I. Balanza'!$C$8:$Q$620,15,0)</f>
        <v>44941.68</v>
      </c>
    </row>
    <row r="145" spans="1:5" x14ac:dyDescent="0.2">
      <c r="A145" s="191">
        <v>52010316</v>
      </c>
      <c r="B145" s="191" t="s">
        <v>341</v>
      </c>
      <c r="C145" s="191" t="s">
        <v>152</v>
      </c>
      <c r="E145" s="401">
        <f>VLOOKUP(A145,'I. Balanza'!$C$8:$Q$620,15,0)</f>
        <v>570.69000000000005</v>
      </c>
    </row>
    <row r="146" spans="1:5" x14ac:dyDescent="0.2">
      <c r="A146" s="191">
        <v>52010319</v>
      </c>
      <c r="B146" s="191" t="s">
        <v>342</v>
      </c>
      <c r="C146" s="191" t="s">
        <v>152</v>
      </c>
      <c r="E146" s="401">
        <f>VLOOKUP(A146,'I. Balanza'!$C$8:$Q$620,15,0)</f>
        <v>0</v>
      </c>
    </row>
    <row r="147" spans="1:5" x14ac:dyDescent="0.2">
      <c r="A147" s="191">
        <v>52010321</v>
      </c>
      <c r="B147" s="191" t="s">
        <v>343</v>
      </c>
      <c r="C147" s="191" t="s">
        <v>152</v>
      </c>
      <c r="E147" s="401">
        <f>VLOOKUP(A147,'I. Balanza'!$C$8:$Q$620,15,0)</f>
        <v>819020.62</v>
      </c>
    </row>
    <row r="148" spans="1:5" x14ac:dyDescent="0.2">
      <c r="A148" s="191">
        <v>52010322</v>
      </c>
      <c r="B148" s="191" t="s">
        <v>344</v>
      </c>
      <c r="C148" s="191" t="s">
        <v>152</v>
      </c>
      <c r="E148" s="401">
        <f>VLOOKUP(A148,'I. Balanza'!$C$8:$Q$620,15,0)</f>
        <v>67458.34</v>
      </c>
    </row>
    <row r="149" spans="1:5" x14ac:dyDescent="0.2">
      <c r="A149" s="191">
        <v>52010323</v>
      </c>
      <c r="B149" s="191" t="s">
        <v>345</v>
      </c>
      <c r="C149" s="191" t="s">
        <v>152</v>
      </c>
      <c r="E149" s="401">
        <f>VLOOKUP(A149,'I. Balanza'!$C$8:$Q$620,15,0)</f>
        <v>76815.86</v>
      </c>
    </row>
    <row r="150" spans="1:5" x14ac:dyDescent="0.2">
      <c r="A150" s="191">
        <v>52010324</v>
      </c>
      <c r="B150" s="191" t="s">
        <v>346</v>
      </c>
      <c r="C150" s="191" t="s">
        <v>152</v>
      </c>
      <c r="E150" s="401">
        <f>VLOOKUP(A150,'I. Balanza'!$C$8:$Q$620,15,0)</f>
        <v>586649.93999999994</v>
      </c>
    </row>
    <row r="151" spans="1:5" x14ac:dyDescent="0.2">
      <c r="A151" s="191">
        <v>52010326</v>
      </c>
      <c r="B151" s="191" t="s">
        <v>347</v>
      </c>
      <c r="C151" s="191" t="s">
        <v>152</v>
      </c>
      <c r="E151" s="401">
        <f>VLOOKUP(A151,'I. Balanza'!$C$8:$Q$620,15,0)</f>
        <v>3700</v>
      </c>
    </row>
    <row r="152" spans="1:5" x14ac:dyDescent="0.2">
      <c r="A152" s="191">
        <v>52010328</v>
      </c>
      <c r="B152" s="191" t="s">
        <v>348</v>
      </c>
      <c r="C152" s="191" t="s">
        <v>152</v>
      </c>
      <c r="E152" s="401">
        <f>VLOOKUP(A152,'I. Balanza'!$C$8:$Q$620,15,0)</f>
        <v>1702001.87</v>
      </c>
    </row>
    <row r="153" spans="1:5" x14ac:dyDescent="0.2">
      <c r="A153" s="191">
        <v>52010336</v>
      </c>
      <c r="B153" s="191" t="s">
        <v>349</v>
      </c>
      <c r="C153" s="191" t="s">
        <v>152</v>
      </c>
      <c r="E153" s="401">
        <f>VLOOKUP(A153,'I. Balanza'!$C$8:$Q$620,15,0)</f>
        <v>9540.5</v>
      </c>
    </row>
    <row r="154" spans="1:5" x14ac:dyDescent="0.2">
      <c r="A154" s="191">
        <v>52010337</v>
      </c>
      <c r="B154" s="191" t="s">
        <v>350</v>
      </c>
      <c r="C154" s="191" t="s">
        <v>152</v>
      </c>
      <c r="E154" s="401">
        <f>VLOOKUP(A154,'I. Balanza'!$C$8:$Q$620,15,0)</f>
        <v>494117.96</v>
      </c>
    </row>
    <row r="155" spans="1:5" x14ac:dyDescent="0.2">
      <c r="A155" s="191">
        <v>52010347</v>
      </c>
      <c r="B155" s="191" t="s">
        <v>351</v>
      </c>
      <c r="C155" s="191" t="s">
        <v>152</v>
      </c>
      <c r="E155" s="401">
        <f>VLOOKUP(A155,'I. Balanza'!$C$8:$Q$620,15,0)</f>
        <v>1157</v>
      </c>
    </row>
    <row r="156" spans="1:5" x14ac:dyDescent="0.2">
      <c r="A156" s="191">
        <v>52010352</v>
      </c>
      <c r="B156" s="191" t="s">
        <v>352</v>
      </c>
      <c r="C156" s="191" t="s">
        <v>152</v>
      </c>
      <c r="E156" s="401">
        <f>VLOOKUP(A156,'I. Balanza'!$C$8:$Q$620,15,0)</f>
        <v>22135.97</v>
      </c>
    </row>
    <row r="157" spans="1:5" x14ac:dyDescent="0.2">
      <c r="A157" s="191">
        <v>52010353</v>
      </c>
      <c r="B157" s="191" t="s">
        <v>353</v>
      </c>
      <c r="C157" s="191" t="s">
        <v>152</v>
      </c>
      <c r="E157" s="401">
        <f>VLOOKUP(A157,'I. Balanza'!$C$8:$Q$620,15,0)</f>
        <v>0</v>
      </c>
    </row>
    <row r="158" spans="1:5" x14ac:dyDescent="0.2">
      <c r="A158" s="191">
        <v>52010355</v>
      </c>
      <c r="B158" s="191" t="s">
        <v>354</v>
      </c>
      <c r="C158" s="191" t="s">
        <v>152</v>
      </c>
      <c r="E158" s="401">
        <f>VLOOKUP(A158,'I. Balanza'!$C$8:$Q$620,15,0)</f>
        <v>301446.75</v>
      </c>
    </row>
    <row r="159" spans="1:5" x14ac:dyDescent="0.2">
      <c r="A159" s="191">
        <v>52010356</v>
      </c>
      <c r="B159" s="191" t="s">
        <v>355</v>
      </c>
      <c r="C159" s="191" t="s">
        <v>152</v>
      </c>
      <c r="E159" s="401">
        <f>VLOOKUP(A159,'I. Balanza'!$C$8:$Q$620,15,0)</f>
        <v>40296.370000000003</v>
      </c>
    </row>
    <row r="160" spans="1:5" x14ac:dyDescent="0.2">
      <c r="A160" s="191">
        <v>52010359</v>
      </c>
      <c r="B160" s="191" t="s">
        <v>357</v>
      </c>
      <c r="C160" s="191" t="s">
        <v>152</v>
      </c>
      <c r="E160" s="401">
        <f>VLOOKUP(A160,'I. Balanza'!$C$8:$Q$620,15,0)</f>
        <v>191829.9</v>
      </c>
    </row>
    <row r="161" spans="1:5" x14ac:dyDescent="0.2">
      <c r="A161" s="191">
        <v>52010360</v>
      </c>
      <c r="B161" s="191" t="s">
        <v>358</v>
      </c>
      <c r="C161" s="191" t="s">
        <v>152</v>
      </c>
      <c r="E161" s="401">
        <f>VLOOKUP(A161,'I. Balanza'!$C$8:$Q$620,15,0)</f>
        <v>0</v>
      </c>
    </row>
    <row r="162" spans="1:5" x14ac:dyDescent="0.2">
      <c r="A162" s="191">
        <v>52010361</v>
      </c>
      <c r="B162" s="191" t="s">
        <v>359</v>
      </c>
      <c r="C162" s="191" t="s">
        <v>152</v>
      </c>
      <c r="E162" s="401">
        <f>VLOOKUP(A162,'I. Balanza'!$C$8:$Q$620,15,0)</f>
        <v>39890.57</v>
      </c>
    </row>
    <row r="163" spans="1:5" x14ac:dyDescent="0.2">
      <c r="A163" s="191">
        <v>52010362</v>
      </c>
      <c r="B163" s="191" t="s">
        <v>374</v>
      </c>
      <c r="C163" s="191" t="s">
        <v>152</v>
      </c>
      <c r="E163" s="401">
        <f>VLOOKUP(A163,'I. Balanza'!$C$8:$Q$620,15,0)</f>
        <v>10349067.750000004</v>
      </c>
    </row>
    <row r="164" spans="1:5" x14ac:dyDescent="0.2">
      <c r="A164" s="191">
        <v>52010363</v>
      </c>
      <c r="B164" s="191" t="s">
        <v>377</v>
      </c>
      <c r="C164" s="191" t="s">
        <v>152</v>
      </c>
      <c r="E164" s="401">
        <f>VLOOKUP(A164,'I. Balanza'!$C$8:$Q$620,15,0)</f>
        <v>3034423.17</v>
      </c>
    </row>
    <row r="165" spans="1:5" x14ac:dyDescent="0.2">
      <c r="A165" s="191">
        <v>52010364</v>
      </c>
      <c r="B165" s="191" t="s">
        <v>375</v>
      </c>
      <c r="C165" s="191" t="s">
        <v>152</v>
      </c>
      <c r="E165" s="401">
        <f>VLOOKUP(A165,'I. Balanza'!$C$8:$Q$620,15,0)</f>
        <v>-5531791.8899999997</v>
      </c>
    </row>
    <row r="166" spans="1:5" x14ac:dyDescent="0.2">
      <c r="A166" s="191">
        <v>52010365</v>
      </c>
      <c r="B166" s="191" t="s">
        <v>376</v>
      </c>
      <c r="C166" s="191" t="s">
        <v>152</v>
      </c>
      <c r="E166" s="401">
        <f>VLOOKUP(A166,'I. Balanza'!$C$8:$Q$620,15,0)</f>
        <v>-27803298.400000002</v>
      </c>
    </row>
    <row r="167" spans="1:5" x14ac:dyDescent="0.2">
      <c r="A167" s="191">
        <v>63010112</v>
      </c>
      <c r="B167" s="191" t="s">
        <v>269</v>
      </c>
      <c r="C167" s="191" t="s">
        <v>165</v>
      </c>
      <c r="E167" s="401">
        <f>VLOOKUP(A167,'I. Balanza'!$C$8:$Q$620,15,0)</f>
        <v>4114726.43</v>
      </c>
    </row>
    <row r="168" spans="1:5" x14ac:dyDescent="0.2">
      <c r="A168" s="191">
        <v>63010212</v>
      </c>
      <c r="B168" s="191" t="s">
        <v>270</v>
      </c>
      <c r="C168" s="191" t="s">
        <v>165</v>
      </c>
      <c r="E168" s="401">
        <f>VLOOKUP(A168,'I. Balanza'!$C$8:$Q$620,15,0)</f>
        <v>62018.82</v>
      </c>
    </row>
    <row r="169" spans="1:5" x14ac:dyDescent="0.2">
      <c r="A169" s="191">
        <v>63010213</v>
      </c>
      <c r="B169" s="191" t="s">
        <v>158</v>
      </c>
      <c r="C169" s="191" t="s">
        <v>165</v>
      </c>
      <c r="E169" s="401">
        <f>VLOOKUP(A169,'I. Balanza'!$C$8:$Q$620,15,0)</f>
        <v>301611.53000000003</v>
      </c>
    </row>
    <row r="170" spans="1:5" x14ac:dyDescent="0.2">
      <c r="A170" s="191">
        <v>63010214</v>
      </c>
      <c r="B170" s="191" t="s">
        <v>159</v>
      </c>
      <c r="C170" s="191" t="s">
        <v>165</v>
      </c>
      <c r="E170" s="401">
        <f>VLOOKUP(A170,'I. Balanza'!$C$8:$Q$620,15,0)</f>
        <v>192319.69</v>
      </c>
    </row>
    <row r="171" spans="1:5" x14ac:dyDescent="0.2">
      <c r="A171" s="191">
        <v>63010215</v>
      </c>
      <c r="B171" s="191" t="s">
        <v>160</v>
      </c>
      <c r="C171" s="191" t="s">
        <v>165</v>
      </c>
      <c r="E171" s="401">
        <f>VLOOKUP(A171,'I. Balanza'!$C$8:$Q$620,15,0)</f>
        <v>166768.85999999999</v>
      </c>
    </row>
    <row r="172" spans="1:5" x14ac:dyDescent="0.2">
      <c r="A172" s="191">
        <v>63010216</v>
      </c>
      <c r="B172" s="191" t="s">
        <v>84</v>
      </c>
      <c r="C172" s="191" t="s">
        <v>165</v>
      </c>
      <c r="E172" s="401">
        <f>VLOOKUP(A172,'I. Balanza'!$C$8:$Q$620,15,0)</f>
        <v>314083.56</v>
      </c>
    </row>
    <row r="173" spans="1:5" x14ac:dyDescent="0.2">
      <c r="A173" s="191">
        <v>63010218</v>
      </c>
      <c r="B173" s="191" t="s">
        <v>124</v>
      </c>
      <c r="C173" s="191" t="s">
        <v>165</v>
      </c>
      <c r="E173" s="401">
        <f>VLOOKUP(A173,'I. Balanza'!$C$8:$Q$620,15,0)</f>
        <v>64306.46</v>
      </c>
    </row>
    <row r="174" spans="1:5" x14ac:dyDescent="0.2">
      <c r="A174" s="191">
        <v>63010219</v>
      </c>
      <c r="B174" s="191" t="s">
        <v>161</v>
      </c>
      <c r="C174" s="191" t="s">
        <v>165</v>
      </c>
      <c r="E174" s="401">
        <f>VLOOKUP(A174,'I. Balanza'!$C$8:$Q$620,15,0)</f>
        <v>241332.89</v>
      </c>
    </row>
    <row r="175" spans="1:5" x14ac:dyDescent="0.2">
      <c r="A175" s="191">
        <v>63010231</v>
      </c>
      <c r="B175" s="191" t="s">
        <v>271</v>
      </c>
      <c r="C175" s="191" t="s">
        <v>165</v>
      </c>
      <c r="E175" s="401">
        <f>VLOOKUP(A175,'I. Balanza'!$C$8:$Q$620,15,0)</f>
        <v>37110.769999999997</v>
      </c>
    </row>
    <row r="176" spans="1:5" x14ac:dyDescent="0.2">
      <c r="A176" s="191">
        <v>63010234</v>
      </c>
      <c r="B176" s="191" t="s">
        <v>162</v>
      </c>
      <c r="C176" s="191" t="s">
        <v>165</v>
      </c>
      <c r="E176" s="401">
        <f>VLOOKUP(A176,'I. Balanza'!$C$8:$Q$620,15,0)</f>
        <v>1528184.24</v>
      </c>
    </row>
    <row r="177" spans="1:5" x14ac:dyDescent="0.2">
      <c r="A177" s="191">
        <v>63010300</v>
      </c>
      <c r="B177" s="191" t="s">
        <v>272</v>
      </c>
      <c r="C177" s="191" t="s">
        <v>165</v>
      </c>
      <c r="E177" s="401">
        <f>VLOOKUP(A177,'I. Balanza'!$C$8:$Q$620,15,0)</f>
        <v>138163.82999999999</v>
      </c>
    </row>
    <row r="178" spans="1:5" x14ac:dyDescent="0.2">
      <c r="A178" s="191">
        <v>63010302</v>
      </c>
      <c r="B178" s="191" t="s">
        <v>273</v>
      </c>
      <c r="C178" s="191" t="s">
        <v>165</v>
      </c>
      <c r="E178" s="401">
        <f>VLOOKUP(A178,'I. Balanza'!$C$8:$Q$620,15,0)</f>
        <v>10306.66</v>
      </c>
    </row>
    <row r="179" spans="1:5" x14ac:dyDescent="0.2">
      <c r="A179" s="191">
        <v>63010303</v>
      </c>
      <c r="B179" s="191" t="s">
        <v>274</v>
      </c>
      <c r="C179" s="191" t="s">
        <v>165</v>
      </c>
      <c r="E179" s="401">
        <f>VLOOKUP(A179,'I. Balanza'!$C$8:$Q$620,15,0)</f>
        <v>1107185.2</v>
      </c>
    </row>
    <row r="180" spans="1:5" x14ac:dyDescent="0.2">
      <c r="A180" s="191">
        <v>63010304</v>
      </c>
      <c r="B180" s="191" t="s">
        <v>275</v>
      </c>
      <c r="C180" s="191" t="s">
        <v>165</v>
      </c>
      <c r="E180" s="401">
        <f>VLOOKUP(A180,'I. Balanza'!$C$8:$Q$620,15,0)</f>
        <v>173500.68</v>
      </c>
    </row>
    <row r="181" spans="1:5" x14ac:dyDescent="0.2">
      <c r="A181" s="191">
        <v>63010308</v>
      </c>
      <c r="B181" s="191" t="s">
        <v>276</v>
      </c>
      <c r="C181" s="191" t="s">
        <v>165</v>
      </c>
      <c r="E181" s="401">
        <f>VLOOKUP(A181,'I. Balanza'!$C$8:$Q$620,15,0)</f>
        <v>22514.6</v>
      </c>
    </row>
    <row r="182" spans="1:5" x14ac:dyDescent="0.2">
      <c r="A182" s="191">
        <v>63010311</v>
      </c>
      <c r="B182" s="191" t="s">
        <v>277</v>
      </c>
      <c r="C182" s="191" t="s">
        <v>165</v>
      </c>
      <c r="E182" s="401">
        <f>VLOOKUP(A182,'I. Balanza'!$C$8:$Q$620,15,0)</f>
        <v>59612.160000000003</v>
      </c>
    </row>
    <row r="183" spans="1:5" x14ac:dyDescent="0.2">
      <c r="A183" s="191">
        <v>63010312</v>
      </c>
      <c r="B183" s="191" t="s">
        <v>278</v>
      </c>
      <c r="C183" s="191" t="s">
        <v>165</v>
      </c>
      <c r="E183" s="401">
        <f>VLOOKUP(A183,'I. Balanza'!$C$8:$Q$620,15,0)</f>
        <v>17976.599999999999</v>
      </c>
    </row>
    <row r="184" spans="1:5" x14ac:dyDescent="0.2">
      <c r="A184" s="191">
        <v>63010314</v>
      </c>
      <c r="B184" s="191" t="s">
        <v>279</v>
      </c>
      <c r="C184" s="191" t="s">
        <v>165</v>
      </c>
      <c r="E184" s="401">
        <f>VLOOKUP(A184,'I. Balanza'!$C$8:$Q$620,15,0)</f>
        <v>1125443.05</v>
      </c>
    </row>
    <row r="185" spans="1:5" x14ac:dyDescent="0.2">
      <c r="A185" s="191">
        <v>63010316</v>
      </c>
      <c r="B185" s="191" t="s">
        <v>280</v>
      </c>
      <c r="C185" s="191" t="s">
        <v>165</v>
      </c>
      <c r="E185" s="401">
        <f>VLOOKUP(A185,'I. Balanza'!$C$8:$Q$620,15,0)</f>
        <v>1281482.44</v>
      </c>
    </row>
    <row r="186" spans="1:5" x14ac:dyDescent="0.2">
      <c r="A186" s="191">
        <v>63010317</v>
      </c>
      <c r="B186" s="191" t="s">
        <v>281</v>
      </c>
      <c r="C186" s="191" t="s">
        <v>165</v>
      </c>
      <c r="E186" s="401">
        <f>VLOOKUP(A186,'I. Balanza'!$C$8:$Q$620,15,0)</f>
        <v>743892.55999999866</v>
      </c>
    </row>
    <row r="187" spans="1:5" x14ac:dyDescent="0.2">
      <c r="A187" s="191">
        <v>63010318</v>
      </c>
      <c r="B187" s="191" t="s">
        <v>282</v>
      </c>
      <c r="C187" s="191" t="s">
        <v>165</v>
      </c>
      <c r="E187" s="401">
        <f>VLOOKUP(A187,'I. Balanza'!$C$8:$Q$620,15,0)</f>
        <v>465406.8</v>
      </c>
    </row>
    <row r="188" spans="1:5" x14ac:dyDescent="0.2">
      <c r="A188" s="191">
        <v>63010321</v>
      </c>
      <c r="B188" s="191" t="s">
        <v>283</v>
      </c>
      <c r="C188" s="191" t="s">
        <v>165</v>
      </c>
      <c r="E188" s="401">
        <f>VLOOKUP(A188,'I. Balanza'!$C$8:$Q$620,15,0)</f>
        <v>143600.39000000001</v>
      </c>
    </row>
    <row r="189" spans="1:5" x14ac:dyDescent="0.2">
      <c r="A189" s="191">
        <v>63010322</v>
      </c>
      <c r="B189" s="191" t="s">
        <v>284</v>
      </c>
      <c r="C189" s="191" t="s">
        <v>165</v>
      </c>
      <c r="E189" s="401">
        <f>VLOOKUP(A189,'I. Balanza'!$C$8:$Q$620,15,0)</f>
        <v>48229.32</v>
      </c>
    </row>
    <row r="190" spans="1:5" x14ac:dyDescent="0.2">
      <c r="A190" s="191">
        <v>63010323</v>
      </c>
      <c r="B190" s="191" t="s">
        <v>285</v>
      </c>
      <c r="C190" s="191" t="s">
        <v>165</v>
      </c>
      <c r="E190" s="401">
        <f>VLOOKUP(A190,'I. Balanza'!$C$8:$Q$620,15,0)</f>
        <v>69635.06</v>
      </c>
    </row>
    <row r="191" spans="1:5" x14ac:dyDescent="0.2">
      <c r="A191" s="191">
        <v>63010324</v>
      </c>
      <c r="B191" s="191" t="s">
        <v>286</v>
      </c>
      <c r="C191" s="191" t="s">
        <v>165</v>
      </c>
      <c r="E191" s="401">
        <f>VLOOKUP(A191,'I. Balanza'!$C$8:$Q$620,15,0)</f>
        <v>309007.34000000003</v>
      </c>
    </row>
    <row r="192" spans="1:5" x14ac:dyDescent="0.2">
      <c r="A192" s="191">
        <v>63010326</v>
      </c>
      <c r="B192" s="191" t="s">
        <v>287</v>
      </c>
      <c r="C192" s="191" t="s">
        <v>165</v>
      </c>
      <c r="E192" s="401">
        <f>VLOOKUP(A192,'I. Balanza'!$C$8:$Q$620,15,0)</f>
        <v>0</v>
      </c>
    </row>
    <row r="193" spans="1:5" x14ac:dyDescent="0.2">
      <c r="A193" s="191">
        <v>63010328</v>
      </c>
      <c r="B193" s="191" t="s">
        <v>163</v>
      </c>
      <c r="C193" s="191" t="s">
        <v>165</v>
      </c>
      <c r="E193" s="401">
        <f>VLOOKUP(A193,'I. Balanza'!$C$8:$Q$620,15,0)</f>
        <v>787373</v>
      </c>
    </row>
    <row r="194" spans="1:5" x14ac:dyDescent="0.2">
      <c r="A194" s="191">
        <v>63010332</v>
      </c>
      <c r="B194" s="191" t="s">
        <v>288</v>
      </c>
      <c r="C194" s="191" t="s">
        <v>165</v>
      </c>
      <c r="E194" s="401">
        <f>VLOOKUP(A194,'I. Balanza'!$C$8:$Q$620,15,0)</f>
        <v>2257072.12</v>
      </c>
    </row>
    <row r="195" spans="1:5" x14ac:dyDescent="0.2">
      <c r="A195" s="191">
        <v>63010334</v>
      </c>
      <c r="B195" s="191" t="s">
        <v>289</v>
      </c>
      <c r="C195" s="191" t="s">
        <v>165</v>
      </c>
      <c r="E195" s="401">
        <f>VLOOKUP(A195,'I. Balanza'!$C$8:$Q$620,15,0)</f>
        <v>14531.67</v>
      </c>
    </row>
    <row r="196" spans="1:5" x14ac:dyDescent="0.2">
      <c r="A196" s="191">
        <v>63010336</v>
      </c>
      <c r="B196" s="191" t="s">
        <v>290</v>
      </c>
      <c r="C196" s="191" t="s">
        <v>165</v>
      </c>
      <c r="E196" s="401">
        <f>VLOOKUP(A196,'I. Balanza'!$C$8:$Q$620,15,0)</f>
        <v>3816.2</v>
      </c>
    </row>
    <row r="197" spans="1:5" x14ac:dyDescent="0.2">
      <c r="A197" s="191">
        <v>63010337</v>
      </c>
      <c r="B197" s="191" t="s">
        <v>291</v>
      </c>
      <c r="C197" s="191" t="s">
        <v>165</v>
      </c>
      <c r="E197" s="401">
        <f>VLOOKUP(A197,'I. Balanza'!$C$8:$Q$620,15,0)</f>
        <v>103933.29</v>
      </c>
    </row>
    <row r="198" spans="1:5" x14ac:dyDescent="0.2">
      <c r="A198" s="191">
        <v>63010347</v>
      </c>
      <c r="B198" s="191" t="s">
        <v>292</v>
      </c>
      <c r="C198" s="191" t="s">
        <v>165</v>
      </c>
      <c r="E198" s="401">
        <f>VLOOKUP(A198,'I. Balanza'!$C$8:$Q$620,15,0)</f>
        <v>11952.15</v>
      </c>
    </row>
    <row r="199" spans="1:5" x14ac:dyDescent="0.2">
      <c r="A199" s="191">
        <v>63010352</v>
      </c>
      <c r="B199" s="191" t="s">
        <v>293</v>
      </c>
      <c r="C199" s="191" t="s">
        <v>165</v>
      </c>
      <c r="E199" s="401">
        <f>VLOOKUP(A199,'I. Balanza'!$C$8:$Q$620,15,0)</f>
        <v>15434</v>
      </c>
    </row>
    <row r="200" spans="1:5" x14ac:dyDescent="0.2">
      <c r="A200" s="191">
        <v>63010355</v>
      </c>
      <c r="B200" s="191" t="s">
        <v>164</v>
      </c>
      <c r="C200" s="191" t="s">
        <v>165</v>
      </c>
      <c r="E200" s="401">
        <f>VLOOKUP(A200,'I. Balanza'!$C$8:$Q$620,15,0)</f>
        <v>128977.85</v>
      </c>
    </row>
    <row r="201" spans="1:5" x14ac:dyDescent="0.2">
      <c r="A201" s="191">
        <v>63010356</v>
      </c>
      <c r="B201" s="191" t="s">
        <v>295</v>
      </c>
      <c r="C201" s="191" t="s">
        <v>165</v>
      </c>
      <c r="E201" s="401">
        <f>VLOOKUP(A201,'I. Balanza'!$C$8:$Q$620,15,0)</f>
        <v>69709.36</v>
      </c>
    </row>
    <row r="202" spans="1:5" x14ac:dyDescent="0.2">
      <c r="A202" s="191">
        <v>63010360</v>
      </c>
      <c r="B202" s="191" t="s">
        <v>297</v>
      </c>
      <c r="C202" s="191" t="s">
        <v>165</v>
      </c>
      <c r="E202" s="401">
        <f>VLOOKUP(A202,'I. Balanza'!$C$8:$Q$620,15,0)</f>
        <v>696799.96</v>
      </c>
    </row>
    <row r="203" spans="1:5" x14ac:dyDescent="0.2">
      <c r="A203" s="191">
        <v>65010111</v>
      </c>
      <c r="B203" s="191" t="s">
        <v>268</v>
      </c>
      <c r="C203" s="191" t="s">
        <v>168</v>
      </c>
      <c r="E203" s="401">
        <f>VLOOKUP(A203,'I. Balanza'!$C$8:$Q$620,15,0)</f>
        <v>8586268.6500000004</v>
      </c>
    </row>
    <row r="204" spans="1:5" x14ac:dyDescent="0.2">
      <c r="A204" s="191">
        <v>65010212</v>
      </c>
      <c r="B204" s="191" t="s">
        <v>270</v>
      </c>
      <c r="C204" s="191" t="s">
        <v>168</v>
      </c>
      <c r="E204" s="401">
        <f>VLOOKUP(A204,'I. Balanza'!$C$8:$Q$620,15,0)</f>
        <v>91863.31</v>
      </c>
    </row>
    <row r="205" spans="1:5" x14ac:dyDescent="0.2">
      <c r="A205" s="191">
        <v>65010213</v>
      </c>
      <c r="B205" s="191" t="s">
        <v>158</v>
      </c>
      <c r="C205" s="191" t="s">
        <v>168</v>
      </c>
      <c r="E205" s="401">
        <f>VLOOKUP(A205,'I. Balanza'!$C$8:$Q$620,15,0)</f>
        <v>254480.56</v>
      </c>
    </row>
    <row r="206" spans="1:5" x14ac:dyDescent="0.2">
      <c r="A206" s="191">
        <v>65010214</v>
      </c>
      <c r="B206" s="191" t="s">
        <v>159</v>
      </c>
      <c r="C206" s="191" t="s">
        <v>168</v>
      </c>
      <c r="E206" s="401">
        <f>VLOOKUP(A206,'I. Balanza'!$C$8:$Q$620,15,0)</f>
        <v>179977.63</v>
      </c>
    </row>
    <row r="207" spans="1:5" x14ac:dyDescent="0.2">
      <c r="A207" s="191">
        <v>65010215</v>
      </c>
      <c r="B207" s="191" t="s">
        <v>160</v>
      </c>
      <c r="C207" s="191" t="s">
        <v>168</v>
      </c>
      <c r="E207" s="401">
        <f>VLOOKUP(A207,'I. Balanza'!$C$8:$Q$620,15,0)</f>
        <v>208492.67</v>
      </c>
    </row>
    <row r="208" spans="1:5" x14ac:dyDescent="0.2">
      <c r="A208" s="191">
        <v>65010216</v>
      </c>
      <c r="B208" s="191" t="s">
        <v>84</v>
      </c>
      <c r="C208" s="191" t="s">
        <v>168</v>
      </c>
      <c r="E208" s="401">
        <f>VLOOKUP(A208,'I. Balanza'!$C$8:$Q$620,15,0)</f>
        <v>165069.57999999999</v>
      </c>
    </row>
    <row r="209" spans="1:5" x14ac:dyDescent="0.2">
      <c r="A209" s="191">
        <v>65010218</v>
      </c>
      <c r="B209" s="191" t="s">
        <v>361</v>
      </c>
      <c r="C209" s="191" t="s">
        <v>168</v>
      </c>
      <c r="E209" s="401">
        <f>VLOOKUP(A209,'I. Balanza'!$C$8:$Q$620,15,0)</f>
        <v>60524.54</v>
      </c>
    </row>
    <row r="210" spans="1:5" x14ac:dyDescent="0.2">
      <c r="A210" s="191">
        <v>65010219</v>
      </c>
      <c r="B210" s="191" t="s">
        <v>362</v>
      </c>
      <c r="C210" s="191" t="s">
        <v>168</v>
      </c>
      <c r="E210" s="401">
        <f>VLOOKUP(A210,'I. Balanza'!$C$8:$Q$620,15,0)</f>
        <v>531409.36</v>
      </c>
    </row>
    <row r="211" spans="1:5" x14ac:dyDescent="0.2">
      <c r="A211" s="191">
        <v>65010231</v>
      </c>
      <c r="B211" s="191" t="s">
        <v>271</v>
      </c>
      <c r="C211" s="191" t="s">
        <v>168</v>
      </c>
      <c r="E211" s="401">
        <f>VLOOKUP(A211,'I. Balanza'!$C$8:$Q$620,15,0)</f>
        <v>19218.47</v>
      </c>
    </row>
    <row r="212" spans="1:5" x14ac:dyDescent="0.2">
      <c r="A212" s="191">
        <v>65010234</v>
      </c>
      <c r="B212" s="191" t="s">
        <v>162</v>
      </c>
      <c r="C212" s="191" t="s">
        <v>168</v>
      </c>
      <c r="E212" s="401">
        <f>VLOOKUP(A212,'I. Balanza'!$C$8:$Q$620,15,0)</f>
        <v>489312.89</v>
      </c>
    </row>
    <row r="213" spans="1:5" x14ac:dyDescent="0.2">
      <c r="A213" s="191">
        <v>65010300</v>
      </c>
      <c r="B213" s="191" t="s">
        <v>272</v>
      </c>
      <c r="C213" s="191" t="s">
        <v>168</v>
      </c>
      <c r="E213" s="401">
        <f>VLOOKUP(A213,'I. Balanza'!$C$8:$Q$620,15,0)</f>
        <v>31136.62</v>
      </c>
    </row>
    <row r="214" spans="1:5" x14ac:dyDescent="0.2">
      <c r="A214" s="191">
        <v>65010302</v>
      </c>
      <c r="B214" s="191" t="s">
        <v>273</v>
      </c>
      <c r="C214" s="191" t="s">
        <v>168</v>
      </c>
      <c r="E214" s="401">
        <f>VLOOKUP(A214,'I. Balanza'!$C$8:$Q$620,15,0)</f>
        <v>18611.080000000002</v>
      </c>
    </row>
    <row r="215" spans="1:5" x14ac:dyDescent="0.2">
      <c r="A215" s="191">
        <v>65010303</v>
      </c>
      <c r="B215" s="191" t="s">
        <v>363</v>
      </c>
      <c r="C215" s="191" t="s">
        <v>168</v>
      </c>
      <c r="E215" s="401">
        <f>VLOOKUP(A215,'I. Balanza'!$C$8:$Q$620,15,0)</f>
        <v>93037.08</v>
      </c>
    </row>
    <row r="216" spans="1:5" x14ac:dyDescent="0.2">
      <c r="A216" s="191">
        <v>65010304</v>
      </c>
      <c r="B216" s="191" t="s">
        <v>275</v>
      </c>
      <c r="C216" s="191" t="s">
        <v>168</v>
      </c>
      <c r="E216" s="401">
        <f>VLOOKUP(A216,'I. Balanza'!$C$8:$Q$620,15,0)</f>
        <v>101284.73</v>
      </c>
    </row>
    <row r="217" spans="1:5" x14ac:dyDescent="0.2">
      <c r="A217" s="191">
        <v>65010308</v>
      </c>
      <c r="B217" s="191" t="s">
        <v>276</v>
      </c>
      <c r="C217" s="191" t="s">
        <v>168</v>
      </c>
      <c r="E217" s="401">
        <f>VLOOKUP(A217,'I. Balanza'!$C$8:$Q$620,15,0)</f>
        <v>41047.519999999997</v>
      </c>
    </row>
    <row r="218" spans="1:5" x14ac:dyDescent="0.2">
      <c r="A218" s="191">
        <v>65010311</v>
      </c>
      <c r="B218" s="191" t="s">
        <v>364</v>
      </c>
      <c r="C218" s="191" t="s">
        <v>168</v>
      </c>
      <c r="E218" s="401">
        <f>VLOOKUP(A218,'I. Balanza'!$C$8:$Q$620,15,0)</f>
        <v>69799.45</v>
      </c>
    </row>
    <row r="219" spans="1:5" x14ac:dyDescent="0.2">
      <c r="A219" s="191">
        <v>65010312</v>
      </c>
      <c r="B219" s="191" t="s">
        <v>278</v>
      </c>
      <c r="C219" s="191" t="s">
        <v>168</v>
      </c>
      <c r="E219" s="401">
        <f>VLOOKUP(A219,'I. Balanza'!$C$8:$Q$620,15,0)</f>
        <v>13482.48</v>
      </c>
    </row>
    <row r="220" spans="1:5" x14ac:dyDescent="0.2">
      <c r="A220" s="191">
        <v>65010314</v>
      </c>
      <c r="B220" s="191" t="s">
        <v>279</v>
      </c>
      <c r="C220" s="191" t="s">
        <v>168</v>
      </c>
      <c r="E220" s="401">
        <f>VLOOKUP(A220,'I. Balanza'!$C$8:$Q$620,15,0)</f>
        <v>260224.63</v>
      </c>
    </row>
    <row r="221" spans="1:5" x14ac:dyDescent="0.2">
      <c r="A221" s="191">
        <v>65010316</v>
      </c>
      <c r="B221" s="191" t="s">
        <v>280</v>
      </c>
      <c r="C221" s="191" t="s">
        <v>168</v>
      </c>
      <c r="E221" s="401">
        <f>VLOOKUP(A221,'I. Balanza'!$C$8:$Q$620,15,0)</f>
        <v>101126.59</v>
      </c>
    </row>
    <row r="222" spans="1:5" x14ac:dyDescent="0.2">
      <c r="A222" s="191">
        <v>65010318</v>
      </c>
      <c r="B222" s="191" t="s">
        <v>365</v>
      </c>
      <c r="C222" s="191" t="s">
        <v>168</v>
      </c>
      <c r="E222" s="401">
        <f>VLOOKUP(A222,'I. Balanza'!$C$8:$Q$620,15,0)</f>
        <v>155025</v>
      </c>
    </row>
    <row r="223" spans="1:5" x14ac:dyDescent="0.2">
      <c r="A223" s="191">
        <v>65010321</v>
      </c>
      <c r="B223" s="191" t="s">
        <v>283</v>
      </c>
      <c r="C223" s="191" t="s">
        <v>168</v>
      </c>
      <c r="E223" s="401">
        <f>VLOOKUP(A223,'I. Balanza'!$C$8:$Q$620,15,0)</f>
        <v>101048.5</v>
      </c>
    </row>
    <row r="224" spans="1:5" x14ac:dyDescent="0.2">
      <c r="A224" s="191">
        <v>65010322</v>
      </c>
      <c r="B224" s="191" t="s">
        <v>284</v>
      </c>
      <c r="C224" s="191" t="s">
        <v>168</v>
      </c>
      <c r="E224" s="401">
        <f>VLOOKUP(A224,'I. Balanza'!$C$8:$Q$620,15,0)</f>
        <v>168169.56</v>
      </c>
    </row>
    <row r="225" spans="1:5" x14ac:dyDescent="0.2">
      <c r="A225" s="191">
        <v>65010323</v>
      </c>
      <c r="B225" s="191" t="s">
        <v>285</v>
      </c>
      <c r="C225" s="191" t="s">
        <v>168</v>
      </c>
      <c r="E225" s="401">
        <f>VLOOKUP(A225,'I. Balanza'!$C$8:$Q$620,15,0)</f>
        <v>736264.21</v>
      </c>
    </row>
    <row r="226" spans="1:5" x14ac:dyDescent="0.2">
      <c r="A226" s="191">
        <v>65010324</v>
      </c>
      <c r="B226" s="191" t="s">
        <v>286</v>
      </c>
      <c r="C226" s="191" t="s">
        <v>168</v>
      </c>
      <c r="E226" s="401">
        <f>VLOOKUP(A226,'I. Balanza'!$C$8:$Q$620,15,0)</f>
        <v>214791.75</v>
      </c>
    </row>
    <row r="227" spans="1:5" x14ac:dyDescent="0.2">
      <c r="A227" s="191">
        <v>65010328</v>
      </c>
      <c r="B227" s="191" t="s">
        <v>366</v>
      </c>
      <c r="C227" s="191" t="s">
        <v>168</v>
      </c>
      <c r="E227" s="401">
        <f>VLOOKUP(A227,'I. Balanza'!$C$8:$Q$620,15,0)</f>
        <v>648697.93000000005</v>
      </c>
    </row>
    <row r="228" spans="1:5" x14ac:dyDescent="0.2">
      <c r="A228" s="191">
        <v>65010336</v>
      </c>
      <c r="B228" s="191" t="s">
        <v>290</v>
      </c>
      <c r="C228" s="191" t="s">
        <v>168</v>
      </c>
      <c r="E228" s="401">
        <f>VLOOKUP(A228,'I. Balanza'!$C$8:$Q$620,15,0)</f>
        <v>2862.15</v>
      </c>
    </row>
    <row r="229" spans="1:5" x14ac:dyDescent="0.2">
      <c r="A229" s="191">
        <v>65010337</v>
      </c>
      <c r="B229" s="191" t="s">
        <v>291</v>
      </c>
      <c r="C229" s="191" t="s">
        <v>168</v>
      </c>
      <c r="E229" s="401">
        <f>VLOOKUP(A229,'I. Balanza'!$C$8:$Q$620,15,0)</f>
        <v>94423.1</v>
      </c>
    </row>
    <row r="230" spans="1:5" x14ac:dyDescent="0.2">
      <c r="A230" s="191">
        <v>65010347</v>
      </c>
      <c r="B230" s="191" t="s">
        <v>292</v>
      </c>
      <c r="C230" s="191" t="s">
        <v>168</v>
      </c>
      <c r="E230" s="401">
        <f>VLOOKUP(A230,'I. Balanza'!$C$8:$Q$620,15,0)</f>
        <v>35679.71</v>
      </c>
    </row>
    <row r="231" spans="1:5" x14ac:dyDescent="0.2">
      <c r="A231" s="191">
        <v>65010352</v>
      </c>
      <c r="B231" s="191" t="s">
        <v>293</v>
      </c>
      <c r="C231" s="191" t="s">
        <v>168</v>
      </c>
      <c r="E231" s="401">
        <f>VLOOKUP(A231,'I. Balanza'!$C$8:$Q$620,15,0)</f>
        <v>6820.84</v>
      </c>
    </row>
    <row r="232" spans="1:5" x14ac:dyDescent="0.2">
      <c r="A232" s="191">
        <v>65010353</v>
      </c>
      <c r="B232" s="191" t="s">
        <v>294</v>
      </c>
      <c r="C232" s="191" t="s">
        <v>168</v>
      </c>
      <c r="E232" s="401">
        <f>VLOOKUP(A232,'I. Balanza'!$C$8:$Q$620,15,0)</f>
        <v>2083</v>
      </c>
    </row>
    <row r="233" spans="1:5" x14ac:dyDescent="0.2">
      <c r="A233" s="191">
        <v>65010355</v>
      </c>
      <c r="B233" s="191" t="s">
        <v>164</v>
      </c>
      <c r="C233" s="191" t="s">
        <v>168</v>
      </c>
      <c r="E233" s="401">
        <f>VLOOKUP(A233,'I. Balanza'!$C$8:$Q$620,15,0)</f>
        <v>96454.92</v>
      </c>
    </row>
    <row r="234" spans="1:5" x14ac:dyDescent="0.2">
      <c r="A234" s="191">
        <v>65010360</v>
      </c>
      <c r="B234" s="191" t="s">
        <v>901</v>
      </c>
      <c r="C234" s="191" t="s">
        <v>168</v>
      </c>
      <c r="E234" s="401">
        <f>VLOOKUP(A234,'I. Balanza'!$C$8:$Q$620,15,0)</f>
        <v>312410.56</v>
      </c>
    </row>
    <row r="235" spans="1:5" x14ac:dyDescent="0.2">
      <c r="A235" s="191">
        <v>65010358</v>
      </c>
      <c r="B235" s="191" t="s">
        <v>169</v>
      </c>
      <c r="C235" s="191" t="s">
        <v>168</v>
      </c>
      <c r="E235" s="401">
        <f>VLOOKUP(A235,'I. Balanza'!$C$8:$Q$620,15,0)</f>
        <v>91834.43</v>
      </c>
    </row>
    <row r="236" spans="1:5" x14ac:dyDescent="0.2">
      <c r="A236" s="191">
        <v>72010001</v>
      </c>
      <c r="B236" s="191" t="s">
        <v>183</v>
      </c>
      <c r="C236" s="191" t="s">
        <v>182</v>
      </c>
      <c r="E236" s="401">
        <f>VLOOKUP(A236,'I. Balanza'!$C$8:$Q$620,15,0)</f>
        <v>0</v>
      </c>
    </row>
    <row r="237" spans="1:5" x14ac:dyDescent="0.2">
      <c r="A237" s="191">
        <v>72030001</v>
      </c>
      <c r="B237" s="191" t="s">
        <v>187</v>
      </c>
      <c r="C237" s="191" t="s">
        <v>182</v>
      </c>
      <c r="E237" s="401">
        <f>VLOOKUP(A237,'I. Balanza'!$C$8:$Q$620,15,0)</f>
        <v>480769.44</v>
      </c>
    </row>
    <row r="238" spans="1:5" x14ac:dyDescent="0.2">
      <c r="A238" s="191">
        <v>72040001</v>
      </c>
      <c r="B238" s="191" t="s">
        <v>299</v>
      </c>
      <c r="C238" s="191" t="s">
        <v>182</v>
      </c>
      <c r="E238" s="401">
        <f>VLOOKUP(A238,'I. Balanza'!$C$8:$Q$620,15,0)</f>
        <v>3837636.68</v>
      </c>
    </row>
    <row r="239" spans="1:5" x14ac:dyDescent="0.2">
      <c r="A239" s="191">
        <v>82010001</v>
      </c>
      <c r="B239" s="191" t="s">
        <v>211</v>
      </c>
      <c r="C239" s="191" t="s">
        <v>211</v>
      </c>
      <c r="E239" s="401">
        <f>VLOOKUP(A239,'I. Balanza'!$C$8:$Q$620,15,0)</f>
        <v>6300296.6399999997</v>
      </c>
    </row>
    <row r="240" spans="1:5" x14ac:dyDescent="0.2">
      <c r="B240" s="191" t="s">
        <v>660</v>
      </c>
    </row>
    <row r="241" spans="1:5" x14ac:dyDescent="0.2">
      <c r="A241" s="413">
        <v>11080001</v>
      </c>
      <c r="B241" s="191" t="s">
        <v>701</v>
      </c>
      <c r="C241" s="191" t="s">
        <v>660</v>
      </c>
      <c r="E241" s="403">
        <f>-VLOOKUP(A241,'XII. Provisiones'!$A$8:$P$29,16,0)</f>
        <v>-91834.429999999964</v>
      </c>
    </row>
    <row r="242" spans="1:5" x14ac:dyDescent="0.2">
      <c r="A242" s="413">
        <v>11180001</v>
      </c>
      <c r="B242" s="191" t="s">
        <v>36</v>
      </c>
      <c r="C242" s="191" t="s">
        <v>660</v>
      </c>
      <c r="E242" s="403">
        <f>-VLOOKUP(A242,'XII. Provisiones'!$A$8:$P$29,16,0)</f>
        <v>4326373.2700000005</v>
      </c>
    </row>
    <row r="243" spans="1:5" x14ac:dyDescent="0.2">
      <c r="A243" s="413">
        <v>21020005</v>
      </c>
      <c r="B243" s="191" t="s">
        <v>520</v>
      </c>
      <c r="C243" s="191" t="s">
        <v>660</v>
      </c>
      <c r="E243" s="403">
        <f>-VLOOKUP(A243,'XII. Provisiones'!$A$8:$P$29,16,0)</f>
        <v>838724.61</v>
      </c>
    </row>
    <row r="244" spans="1:5" x14ac:dyDescent="0.2">
      <c r="A244" s="413">
        <v>21010001</v>
      </c>
      <c r="B244" s="191" t="s">
        <v>83</v>
      </c>
      <c r="C244" s="191" t="s">
        <v>660</v>
      </c>
      <c r="E244" s="403">
        <f>-VLOOKUP(A244,'XII. Provisiones'!$A$8:$P$29,16,0)</f>
        <v>64144</v>
      </c>
    </row>
    <row r="245" spans="1:5" x14ac:dyDescent="0.2">
      <c r="A245" s="413">
        <v>21010002</v>
      </c>
      <c r="B245" s="191" t="s">
        <v>84</v>
      </c>
      <c r="C245" s="191" t="s">
        <v>660</v>
      </c>
      <c r="E245" s="403">
        <f>-VLOOKUP(A245,'XII. Provisiones'!$A$8:$P$29,16,0)</f>
        <v>0</v>
      </c>
    </row>
    <row r="246" spans="1:5" x14ac:dyDescent="0.2">
      <c r="A246" s="413">
        <v>21010003</v>
      </c>
      <c r="B246" s="191" t="s">
        <v>85</v>
      </c>
      <c r="C246" s="191" t="s">
        <v>660</v>
      </c>
      <c r="E246" s="403">
        <f>-VLOOKUP(A246,'XII. Provisiones'!$A$8:$P$29,16,0)</f>
        <v>2228476.23</v>
      </c>
    </row>
    <row r="247" spans="1:5" x14ac:dyDescent="0.2">
      <c r="A247" s="413">
        <v>21100001</v>
      </c>
      <c r="B247" s="191" t="s">
        <v>118</v>
      </c>
      <c r="C247" s="191" t="s">
        <v>660</v>
      </c>
      <c r="E247" s="403">
        <f>-VLOOKUP(A247,'XII. Provisiones'!$A$8:$P$29,16,0)</f>
        <v>41811.380000000005</v>
      </c>
    </row>
    <row r="248" spans="1:5" x14ac:dyDescent="0.2">
      <c r="A248" s="413">
        <v>21100020</v>
      </c>
      <c r="B248" s="191" t="s">
        <v>257</v>
      </c>
      <c r="C248" s="191" t="s">
        <v>660</v>
      </c>
      <c r="E248" s="403">
        <f>-VLOOKUP(A248,'XII. Provisiones'!$A$8:$P$29,16,0)</f>
        <v>108531.41999999993</v>
      </c>
    </row>
    <row r="249" spans="1:5" x14ac:dyDescent="0.2">
      <c r="A249" s="413">
        <v>22100001</v>
      </c>
      <c r="B249" s="191" t="s">
        <v>706</v>
      </c>
      <c r="C249" s="191" t="s">
        <v>660</v>
      </c>
      <c r="E249" s="403">
        <f>-VLOOKUP(A249,'XII. Provisiones'!$A$8:$P$29,16,0)</f>
        <v>-70491.290000000037</v>
      </c>
    </row>
    <row r="250" spans="1:5" x14ac:dyDescent="0.2">
      <c r="A250" s="413">
        <v>22100002</v>
      </c>
      <c r="B250" s="191" t="s">
        <v>707</v>
      </c>
      <c r="C250" s="191" t="s">
        <v>660</v>
      </c>
      <c r="E250" s="403">
        <f>-VLOOKUP(A250,'XII. Provisiones'!$A$8:$P$29,16,0)</f>
        <v>-167688.44999999995</v>
      </c>
    </row>
    <row r="251" spans="1:5" x14ac:dyDescent="0.2">
      <c r="A251" s="413">
        <v>22100003</v>
      </c>
      <c r="B251" s="191" t="s">
        <v>126</v>
      </c>
      <c r="C251" s="191" t="s">
        <v>660</v>
      </c>
      <c r="E251" s="403">
        <f>-VLOOKUP(A251,'XII. Provisiones'!$A$8:$P$29,16,0)</f>
        <v>-1186785.9700000002</v>
      </c>
    </row>
    <row r="252" spans="1:5" x14ac:dyDescent="0.2">
      <c r="A252" s="404"/>
      <c r="E252" s="403"/>
    </row>
    <row r="253" spans="1:5" x14ac:dyDescent="0.2">
      <c r="B253" s="191" t="s">
        <v>888</v>
      </c>
      <c r="E253" s="191"/>
    </row>
    <row r="254" spans="1:5" x14ac:dyDescent="0.2">
      <c r="A254" s="404">
        <v>13030001</v>
      </c>
      <c r="B254" s="191" t="s">
        <v>74</v>
      </c>
      <c r="E254" s="403">
        <f>-VLOOKUP(A254,'XII. Provisiones'!$A$8:$P$29,16,0)</f>
        <v>195754.42</v>
      </c>
    </row>
    <row r="256" spans="1:5" x14ac:dyDescent="0.2">
      <c r="B256" s="191" t="s">
        <v>889</v>
      </c>
      <c r="E256" s="401">
        <f>-E45</f>
        <v>-201122.14655172414</v>
      </c>
    </row>
    <row r="257" spans="1:6" x14ac:dyDescent="0.2">
      <c r="A257" s="191" t="s">
        <v>840</v>
      </c>
      <c r="B257" s="191" t="s">
        <v>1021</v>
      </c>
      <c r="E257" s="401">
        <f>-E47</f>
        <v>-2040224.1938</v>
      </c>
    </row>
    <row r="258" spans="1:6" x14ac:dyDescent="0.2">
      <c r="A258" s="191" t="s">
        <v>840</v>
      </c>
      <c r="B258" s="191" t="s">
        <v>712</v>
      </c>
      <c r="E258" s="401">
        <f>E52</f>
        <v>3272489.9011852629</v>
      </c>
    </row>
    <row r="259" spans="1:6" x14ac:dyDescent="0.2">
      <c r="A259" s="191" t="s">
        <v>840</v>
      </c>
      <c r="B259" s="191" t="s">
        <v>713</v>
      </c>
      <c r="E259" s="401">
        <f>E53</f>
        <v>2256601.4</v>
      </c>
    </row>
    <row r="260" spans="1:6" x14ac:dyDescent="0.2">
      <c r="A260" s="191" t="s">
        <v>840</v>
      </c>
      <c r="B260" s="191" t="s">
        <v>714</v>
      </c>
      <c r="E260" s="401">
        <f>E54</f>
        <v>2363388.2814620826</v>
      </c>
    </row>
    <row r="261" spans="1:6" x14ac:dyDescent="0.2">
      <c r="A261" s="191" t="s">
        <v>840</v>
      </c>
      <c r="B261" s="191" t="s">
        <v>715</v>
      </c>
      <c r="E261" s="401">
        <f>E55</f>
        <v>4203.22055</v>
      </c>
    </row>
    <row r="262" spans="1:6" x14ac:dyDescent="0.2">
      <c r="A262" s="191" t="s">
        <v>840</v>
      </c>
      <c r="B262" s="191" t="s">
        <v>890</v>
      </c>
      <c r="E262" s="401">
        <f>E56</f>
        <v>71137.200000000012</v>
      </c>
    </row>
    <row r="263" spans="1:6" x14ac:dyDescent="0.2">
      <c r="A263" s="191" t="s">
        <v>840</v>
      </c>
      <c r="B263" s="191" t="s">
        <v>700</v>
      </c>
      <c r="E263" s="401">
        <f>-E25</f>
        <v>-206182.96</v>
      </c>
    </row>
    <row r="268" spans="1:6" x14ac:dyDescent="0.2">
      <c r="B268" s="191" t="s">
        <v>836</v>
      </c>
      <c r="E268" s="401">
        <f>SUM(E114:E267)</f>
        <v>145626301.59284565</v>
      </c>
    </row>
    <row r="271" spans="1:6" x14ac:dyDescent="0.2">
      <c r="B271" s="191" t="s">
        <v>837</v>
      </c>
      <c r="E271" s="191"/>
      <c r="F271" s="401">
        <f>E110-E268</f>
        <v>45254647.357614458</v>
      </c>
    </row>
    <row r="273" spans="2:6" x14ac:dyDescent="0.2">
      <c r="B273" s="191" t="s">
        <v>891</v>
      </c>
      <c r="F273" s="401">
        <f>F69-F271</f>
        <v>0</v>
      </c>
    </row>
  </sheetData>
  <autoFilter ref="A9:L274" xr:uid="{37D986E6-CA07-41E4-9DCB-96A950CB9393}"/>
  <pageMargins left="0.7" right="0.7" top="0.75" bottom="0.75" header="0.3" footer="0.3"/>
  <pageSetup scale="58" orientation="portrait" r:id="rId1"/>
  <headerFooter>
    <oddHeader>&amp;R&amp;A</oddHeader>
    <oddFooter>&amp;C&amp;Z&amp;F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A1F24-BC1A-4718-9DBD-3FDC0B034EDA}">
  <dimension ref="A1:C17"/>
  <sheetViews>
    <sheetView zoomScale="140" zoomScaleNormal="140" workbookViewId="0">
      <selection activeCell="C13" sqref="C13"/>
    </sheetView>
  </sheetViews>
  <sheetFormatPr baseColWidth="10" defaultColWidth="9.109375" defaultRowHeight="12.75" x14ac:dyDescent="0.2"/>
  <cols>
    <col min="1" max="1" width="16.109375" style="389" customWidth="1"/>
    <col min="2" max="2" width="42.5546875" style="389" bestFit="1" customWidth="1"/>
    <col min="3" max="3" width="9.88671875" style="389" bestFit="1" customWidth="1"/>
    <col min="4" max="5" width="9.109375" style="389"/>
    <col min="6" max="6" width="9.77734375" style="389" bestFit="1" customWidth="1"/>
    <col min="7" max="254" width="9.109375" style="389"/>
    <col min="255" max="255" width="42.5546875" style="389" bestFit="1" customWidth="1"/>
    <col min="256" max="256" width="9.88671875" style="389" bestFit="1" customWidth="1"/>
    <col min="257" max="257" width="9.109375" style="389"/>
    <col min="258" max="258" width="25.109375" style="389" bestFit="1" customWidth="1"/>
    <col min="259" max="259" width="11.5546875" style="389" bestFit="1" customWidth="1"/>
    <col min="260" max="260" width="10.77734375" style="389" bestFit="1" customWidth="1"/>
    <col min="261" max="261" width="9.109375" style="389"/>
    <col min="262" max="262" width="9.77734375" style="389" bestFit="1" customWidth="1"/>
    <col min="263" max="510" width="9.109375" style="389"/>
    <col min="511" max="511" width="42.5546875" style="389" bestFit="1" customWidth="1"/>
    <col min="512" max="512" width="9.88671875" style="389" bestFit="1" customWidth="1"/>
    <col min="513" max="513" width="9.109375" style="389"/>
    <col min="514" max="514" width="25.109375" style="389" bestFit="1" customWidth="1"/>
    <col min="515" max="515" width="11.5546875" style="389" bestFit="1" customWidth="1"/>
    <col min="516" max="516" width="10.77734375" style="389" bestFit="1" customWidth="1"/>
    <col min="517" max="517" width="9.109375" style="389"/>
    <col min="518" max="518" width="9.77734375" style="389" bestFit="1" customWidth="1"/>
    <col min="519" max="766" width="9.109375" style="389"/>
    <col min="767" max="767" width="42.5546875" style="389" bestFit="1" customWidth="1"/>
    <col min="768" max="768" width="9.88671875" style="389" bestFit="1" customWidth="1"/>
    <col min="769" max="769" width="9.109375" style="389"/>
    <col min="770" max="770" width="25.109375" style="389" bestFit="1" customWidth="1"/>
    <col min="771" max="771" width="11.5546875" style="389" bestFit="1" customWidth="1"/>
    <col min="772" max="772" width="10.77734375" style="389" bestFit="1" customWidth="1"/>
    <col min="773" max="773" width="9.109375" style="389"/>
    <col min="774" max="774" width="9.77734375" style="389" bestFit="1" customWidth="1"/>
    <col min="775" max="1022" width="9.109375" style="389"/>
    <col min="1023" max="1023" width="42.5546875" style="389" bestFit="1" customWidth="1"/>
    <col min="1024" max="1024" width="9.88671875" style="389" bestFit="1" customWidth="1"/>
    <col min="1025" max="1025" width="9.109375" style="389"/>
    <col min="1026" max="1026" width="25.109375" style="389" bestFit="1" customWidth="1"/>
    <col min="1027" max="1027" width="11.5546875" style="389" bestFit="1" customWidth="1"/>
    <col min="1028" max="1028" width="10.77734375" style="389" bestFit="1" customWidth="1"/>
    <col min="1029" max="1029" width="9.109375" style="389"/>
    <col min="1030" max="1030" width="9.77734375" style="389" bestFit="1" customWidth="1"/>
    <col min="1031" max="1278" width="9.109375" style="389"/>
    <col min="1279" max="1279" width="42.5546875" style="389" bestFit="1" customWidth="1"/>
    <col min="1280" max="1280" width="9.88671875" style="389" bestFit="1" customWidth="1"/>
    <col min="1281" max="1281" width="9.109375" style="389"/>
    <col min="1282" max="1282" width="25.109375" style="389" bestFit="1" customWidth="1"/>
    <col min="1283" max="1283" width="11.5546875" style="389" bestFit="1" customWidth="1"/>
    <col min="1284" max="1284" width="10.77734375" style="389" bestFit="1" customWidth="1"/>
    <col min="1285" max="1285" width="9.109375" style="389"/>
    <col min="1286" max="1286" width="9.77734375" style="389" bestFit="1" customWidth="1"/>
    <col min="1287" max="1534" width="9.109375" style="389"/>
    <col min="1535" max="1535" width="42.5546875" style="389" bestFit="1" customWidth="1"/>
    <col min="1536" max="1536" width="9.88671875" style="389" bestFit="1" customWidth="1"/>
    <col min="1537" max="1537" width="9.109375" style="389"/>
    <col min="1538" max="1538" width="25.109375" style="389" bestFit="1" customWidth="1"/>
    <col min="1539" max="1539" width="11.5546875" style="389" bestFit="1" customWidth="1"/>
    <col min="1540" max="1540" width="10.77734375" style="389" bestFit="1" customWidth="1"/>
    <col min="1541" max="1541" width="9.109375" style="389"/>
    <col min="1542" max="1542" width="9.77734375" style="389" bestFit="1" customWidth="1"/>
    <col min="1543" max="1790" width="9.109375" style="389"/>
    <col min="1791" max="1791" width="42.5546875" style="389" bestFit="1" customWidth="1"/>
    <col min="1792" max="1792" width="9.88671875" style="389" bestFit="1" customWidth="1"/>
    <col min="1793" max="1793" width="9.109375" style="389"/>
    <col min="1794" max="1794" width="25.109375" style="389" bestFit="1" customWidth="1"/>
    <col min="1795" max="1795" width="11.5546875" style="389" bestFit="1" customWidth="1"/>
    <col min="1796" max="1796" width="10.77734375" style="389" bestFit="1" customWidth="1"/>
    <col min="1797" max="1797" width="9.109375" style="389"/>
    <col min="1798" max="1798" width="9.77734375" style="389" bestFit="1" customWidth="1"/>
    <col min="1799" max="2046" width="9.109375" style="389"/>
    <col min="2047" max="2047" width="42.5546875" style="389" bestFit="1" customWidth="1"/>
    <col min="2048" max="2048" width="9.88671875" style="389" bestFit="1" customWidth="1"/>
    <col min="2049" max="2049" width="9.109375" style="389"/>
    <col min="2050" max="2050" width="25.109375" style="389" bestFit="1" customWidth="1"/>
    <col min="2051" max="2051" width="11.5546875" style="389" bestFit="1" customWidth="1"/>
    <col min="2052" max="2052" width="10.77734375" style="389" bestFit="1" customWidth="1"/>
    <col min="2053" max="2053" width="9.109375" style="389"/>
    <col min="2054" max="2054" width="9.77734375" style="389" bestFit="1" customWidth="1"/>
    <col min="2055" max="2302" width="9.109375" style="389"/>
    <col min="2303" max="2303" width="42.5546875" style="389" bestFit="1" customWidth="1"/>
    <col min="2304" max="2304" width="9.88671875" style="389" bestFit="1" customWidth="1"/>
    <col min="2305" max="2305" width="9.109375" style="389"/>
    <col min="2306" max="2306" width="25.109375" style="389" bestFit="1" customWidth="1"/>
    <col min="2307" max="2307" width="11.5546875" style="389" bestFit="1" customWidth="1"/>
    <col min="2308" max="2308" width="10.77734375" style="389" bestFit="1" customWidth="1"/>
    <col min="2309" max="2309" width="9.109375" style="389"/>
    <col min="2310" max="2310" width="9.77734375" style="389" bestFit="1" customWidth="1"/>
    <col min="2311" max="2558" width="9.109375" style="389"/>
    <col min="2559" max="2559" width="42.5546875" style="389" bestFit="1" customWidth="1"/>
    <col min="2560" max="2560" width="9.88671875" style="389" bestFit="1" customWidth="1"/>
    <col min="2561" max="2561" width="9.109375" style="389"/>
    <col min="2562" max="2562" width="25.109375" style="389" bestFit="1" customWidth="1"/>
    <col min="2563" max="2563" width="11.5546875" style="389" bestFit="1" customWidth="1"/>
    <col min="2564" max="2564" width="10.77734375" style="389" bestFit="1" customWidth="1"/>
    <col min="2565" max="2565" width="9.109375" style="389"/>
    <col min="2566" max="2566" width="9.77734375" style="389" bestFit="1" customWidth="1"/>
    <col min="2567" max="2814" width="9.109375" style="389"/>
    <col min="2815" max="2815" width="42.5546875" style="389" bestFit="1" customWidth="1"/>
    <col min="2816" max="2816" width="9.88671875" style="389" bestFit="1" customWidth="1"/>
    <col min="2817" max="2817" width="9.109375" style="389"/>
    <col min="2818" max="2818" width="25.109375" style="389" bestFit="1" customWidth="1"/>
    <col min="2819" max="2819" width="11.5546875" style="389" bestFit="1" customWidth="1"/>
    <col min="2820" max="2820" width="10.77734375" style="389" bestFit="1" customWidth="1"/>
    <col min="2821" max="2821" width="9.109375" style="389"/>
    <col min="2822" max="2822" width="9.77734375" style="389" bestFit="1" customWidth="1"/>
    <col min="2823" max="3070" width="9.109375" style="389"/>
    <col min="3071" max="3071" width="42.5546875" style="389" bestFit="1" customWidth="1"/>
    <col min="3072" max="3072" width="9.88671875" style="389" bestFit="1" customWidth="1"/>
    <col min="3073" max="3073" width="9.109375" style="389"/>
    <col min="3074" max="3074" width="25.109375" style="389" bestFit="1" customWidth="1"/>
    <col min="3075" max="3075" width="11.5546875" style="389" bestFit="1" customWidth="1"/>
    <col min="3076" max="3076" width="10.77734375" style="389" bestFit="1" customWidth="1"/>
    <col min="3077" max="3077" width="9.109375" style="389"/>
    <col min="3078" max="3078" width="9.77734375" style="389" bestFit="1" customWidth="1"/>
    <col min="3079" max="3326" width="9.109375" style="389"/>
    <col min="3327" max="3327" width="42.5546875" style="389" bestFit="1" customWidth="1"/>
    <col min="3328" max="3328" width="9.88671875" style="389" bestFit="1" customWidth="1"/>
    <col min="3329" max="3329" width="9.109375" style="389"/>
    <col min="3330" max="3330" width="25.109375" style="389" bestFit="1" customWidth="1"/>
    <col min="3331" max="3331" width="11.5546875" style="389" bestFit="1" customWidth="1"/>
    <col min="3332" max="3332" width="10.77734375" style="389" bestFit="1" customWidth="1"/>
    <col min="3333" max="3333" width="9.109375" style="389"/>
    <col min="3334" max="3334" width="9.77734375" style="389" bestFit="1" customWidth="1"/>
    <col min="3335" max="3582" width="9.109375" style="389"/>
    <col min="3583" max="3583" width="42.5546875" style="389" bestFit="1" customWidth="1"/>
    <col min="3584" max="3584" width="9.88671875" style="389" bestFit="1" customWidth="1"/>
    <col min="3585" max="3585" width="9.109375" style="389"/>
    <col min="3586" max="3586" width="25.109375" style="389" bestFit="1" customWidth="1"/>
    <col min="3587" max="3587" width="11.5546875" style="389" bestFit="1" customWidth="1"/>
    <col min="3588" max="3588" width="10.77734375" style="389" bestFit="1" customWidth="1"/>
    <col min="3589" max="3589" width="9.109375" style="389"/>
    <col min="3590" max="3590" width="9.77734375" style="389" bestFit="1" customWidth="1"/>
    <col min="3591" max="3838" width="9.109375" style="389"/>
    <col min="3839" max="3839" width="42.5546875" style="389" bestFit="1" customWidth="1"/>
    <col min="3840" max="3840" width="9.88671875" style="389" bestFit="1" customWidth="1"/>
    <col min="3841" max="3841" width="9.109375" style="389"/>
    <col min="3842" max="3842" width="25.109375" style="389" bestFit="1" customWidth="1"/>
    <col min="3843" max="3843" width="11.5546875" style="389" bestFit="1" customWidth="1"/>
    <col min="3844" max="3844" width="10.77734375" style="389" bestFit="1" customWidth="1"/>
    <col min="3845" max="3845" width="9.109375" style="389"/>
    <col min="3846" max="3846" width="9.77734375" style="389" bestFit="1" customWidth="1"/>
    <col min="3847" max="4094" width="9.109375" style="389"/>
    <col min="4095" max="4095" width="42.5546875" style="389" bestFit="1" customWidth="1"/>
    <col min="4096" max="4096" width="9.88671875" style="389" bestFit="1" customWidth="1"/>
    <col min="4097" max="4097" width="9.109375" style="389"/>
    <col min="4098" max="4098" width="25.109375" style="389" bestFit="1" customWidth="1"/>
    <col min="4099" max="4099" width="11.5546875" style="389" bestFit="1" customWidth="1"/>
    <col min="4100" max="4100" width="10.77734375" style="389" bestFit="1" customWidth="1"/>
    <col min="4101" max="4101" width="9.109375" style="389"/>
    <col min="4102" max="4102" width="9.77734375" style="389" bestFit="1" customWidth="1"/>
    <col min="4103" max="4350" width="9.109375" style="389"/>
    <col min="4351" max="4351" width="42.5546875" style="389" bestFit="1" customWidth="1"/>
    <col min="4352" max="4352" width="9.88671875" style="389" bestFit="1" customWidth="1"/>
    <col min="4353" max="4353" width="9.109375" style="389"/>
    <col min="4354" max="4354" width="25.109375" style="389" bestFit="1" customWidth="1"/>
    <col min="4355" max="4355" width="11.5546875" style="389" bestFit="1" customWidth="1"/>
    <col min="4356" max="4356" width="10.77734375" style="389" bestFit="1" customWidth="1"/>
    <col min="4357" max="4357" width="9.109375" style="389"/>
    <col min="4358" max="4358" width="9.77734375" style="389" bestFit="1" customWidth="1"/>
    <col min="4359" max="4606" width="9.109375" style="389"/>
    <col min="4607" max="4607" width="42.5546875" style="389" bestFit="1" customWidth="1"/>
    <col min="4608" max="4608" width="9.88671875" style="389" bestFit="1" customWidth="1"/>
    <col min="4609" max="4609" width="9.109375" style="389"/>
    <col min="4610" max="4610" width="25.109375" style="389" bestFit="1" customWidth="1"/>
    <col min="4611" max="4611" width="11.5546875" style="389" bestFit="1" customWidth="1"/>
    <col min="4612" max="4612" width="10.77734375" style="389" bestFit="1" customWidth="1"/>
    <col min="4613" max="4613" width="9.109375" style="389"/>
    <col min="4614" max="4614" width="9.77734375" style="389" bestFit="1" customWidth="1"/>
    <col min="4615" max="4862" width="9.109375" style="389"/>
    <col min="4863" max="4863" width="42.5546875" style="389" bestFit="1" customWidth="1"/>
    <col min="4864" max="4864" width="9.88671875" style="389" bestFit="1" customWidth="1"/>
    <col min="4865" max="4865" width="9.109375" style="389"/>
    <col min="4866" max="4866" width="25.109375" style="389" bestFit="1" customWidth="1"/>
    <col min="4867" max="4867" width="11.5546875" style="389" bestFit="1" customWidth="1"/>
    <col min="4868" max="4868" width="10.77734375" style="389" bestFit="1" customWidth="1"/>
    <col min="4869" max="4869" width="9.109375" style="389"/>
    <col min="4870" max="4870" width="9.77734375" style="389" bestFit="1" customWidth="1"/>
    <col min="4871" max="5118" width="9.109375" style="389"/>
    <col min="5119" max="5119" width="42.5546875" style="389" bestFit="1" customWidth="1"/>
    <col min="5120" max="5120" width="9.88671875" style="389" bestFit="1" customWidth="1"/>
    <col min="5121" max="5121" width="9.109375" style="389"/>
    <col min="5122" max="5122" width="25.109375" style="389" bestFit="1" customWidth="1"/>
    <col min="5123" max="5123" width="11.5546875" style="389" bestFit="1" customWidth="1"/>
    <col min="5124" max="5124" width="10.77734375" style="389" bestFit="1" customWidth="1"/>
    <col min="5125" max="5125" width="9.109375" style="389"/>
    <col min="5126" max="5126" width="9.77734375" style="389" bestFit="1" customWidth="1"/>
    <col min="5127" max="5374" width="9.109375" style="389"/>
    <col min="5375" max="5375" width="42.5546875" style="389" bestFit="1" customWidth="1"/>
    <col min="5376" max="5376" width="9.88671875" style="389" bestFit="1" customWidth="1"/>
    <col min="5377" max="5377" width="9.109375" style="389"/>
    <col min="5378" max="5378" width="25.109375" style="389" bestFit="1" customWidth="1"/>
    <col min="5379" max="5379" width="11.5546875" style="389" bestFit="1" customWidth="1"/>
    <col min="5380" max="5380" width="10.77734375" style="389" bestFit="1" customWidth="1"/>
    <col min="5381" max="5381" width="9.109375" style="389"/>
    <col min="5382" max="5382" width="9.77734375" style="389" bestFit="1" customWidth="1"/>
    <col min="5383" max="5630" width="9.109375" style="389"/>
    <col min="5631" max="5631" width="42.5546875" style="389" bestFit="1" customWidth="1"/>
    <col min="5632" max="5632" width="9.88671875" style="389" bestFit="1" customWidth="1"/>
    <col min="5633" max="5633" width="9.109375" style="389"/>
    <col min="5634" max="5634" width="25.109375" style="389" bestFit="1" customWidth="1"/>
    <col min="5635" max="5635" width="11.5546875" style="389" bestFit="1" customWidth="1"/>
    <col min="5636" max="5636" width="10.77734375" style="389" bestFit="1" customWidth="1"/>
    <col min="5637" max="5637" width="9.109375" style="389"/>
    <col min="5638" max="5638" width="9.77734375" style="389" bestFit="1" customWidth="1"/>
    <col min="5639" max="5886" width="9.109375" style="389"/>
    <col min="5887" max="5887" width="42.5546875" style="389" bestFit="1" customWidth="1"/>
    <col min="5888" max="5888" width="9.88671875" style="389" bestFit="1" customWidth="1"/>
    <col min="5889" max="5889" width="9.109375" style="389"/>
    <col min="5890" max="5890" width="25.109375" style="389" bestFit="1" customWidth="1"/>
    <col min="5891" max="5891" width="11.5546875" style="389" bestFit="1" customWidth="1"/>
    <col min="5892" max="5892" width="10.77734375" style="389" bestFit="1" customWidth="1"/>
    <col min="5893" max="5893" width="9.109375" style="389"/>
    <col min="5894" max="5894" width="9.77734375" style="389" bestFit="1" customWidth="1"/>
    <col min="5895" max="6142" width="9.109375" style="389"/>
    <col min="6143" max="6143" width="42.5546875" style="389" bestFit="1" customWidth="1"/>
    <col min="6144" max="6144" width="9.88671875" style="389" bestFit="1" customWidth="1"/>
    <col min="6145" max="6145" width="9.109375" style="389"/>
    <col min="6146" max="6146" width="25.109375" style="389" bestFit="1" customWidth="1"/>
    <col min="6147" max="6147" width="11.5546875" style="389" bestFit="1" customWidth="1"/>
    <col min="6148" max="6148" width="10.77734375" style="389" bestFit="1" customWidth="1"/>
    <col min="6149" max="6149" width="9.109375" style="389"/>
    <col min="6150" max="6150" width="9.77734375" style="389" bestFit="1" customWidth="1"/>
    <col min="6151" max="6398" width="9.109375" style="389"/>
    <col min="6399" max="6399" width="42.5546875" style="389" bestFit="1" customWidth="1"/>
    <col min="6400" max="6400" width="9.88671875" style="389" bestFit="1" customWidth="1"/>
    <col min="6401" max="6401" width="9.109375" style="389"/>
    <col min="6402" max="6402" width="25.109375" style="389" bestFit="1" customWidth="1"/>
    <col min="6403" max="6403" width="11.5546875" style="389" bestFit="1" customWidth="1"/>
    <col min="6404" max="6404" width="10.77734375" style="389" bestFit="1" customWidth="1"/>
    <col min="6405" max="6405" width="9.109375" style="389"/>
    <col min="6406" max="6406" width="9.77734375" style="389" bestFit="1" customWidth="1"/>
    <col min="6407" max="6654" width="9.109375" style="389"/>
    <col min="6655" max="6655" width="42.5546875" style="389" bestFit="1" customWidth="1"/>
    <col min="6656" max="6656" width="9.88671875" style="389" bestFit="1" customWidth="1"/>
    <col min="6657" max="6657" width="9.109375" style="389"/>
    <col min="6658" max="6658" width="25.109375" style="389" bestFit="1" customWidth="1"/>
    <col min="6659" max="6659" width="11.5546875" style="389" bestFit="1" customWidth="1"/>
    <col min="6660" max="6660" width="10.77734375" style="389" bestFit="1" customWidth="1"/>
    <col min="6661" max="6661" width="9.109375" style="389"/>
    <col min="6662" max="6662" width="9.77734375" style="389" bestFit="1" customWidth="1"/>
    <col min="6663" max="6910" width="9.109375" style="389"/>
    <col min="6911" max="6911" width="42.5546875" style="389" bestFit="1" customWidth="1"/>
    <col min="6912" max="6912" width="9.88671875" style="389" bestFit="1" customWidth="1"/>
    <col min="6913" max="6913" width="9.109375" style="389"/>
    <col min="6914" max="6914" width="25.109375" style="389" bestFit="1" customWidth="1"/>
    <col min="6915" max="6915" width="11.5546875" style="389" bestFit="1" customWidth="1"/>
    <col min="6916" max="6916" width="10.77734375" style="389" bestFit="1" customWidth="1"/>
    <col min="6917" max="6917" width="9.109375" style="389"/>
    <col min="6918" max="6918" width="9.77734375" style="389" bestFit="1" customWidth="1"/>
    <col min="6919" max="7166" width="9.109375" style="389"/>
    <col min="7167" max="7167" width="42.5546875" style="389" bestFit="1" customWidth="1"/>
    <col min="7168" max="7168" width="9.88671875" style="389" bestFit="1" customWidth="1"/>
    <col min="7169" max="7169" width="9.109375" style="389"/>
    <col min="7170" max="7170" width="25.109375" style="389" bestFit="1" customWidth="1"/>
    <col min="7171" max="7171" width="11.5546875" style="389" bestFit="1" customWidth="1"/>
    <col min="7172" max="7172" width="10.77734375" style="389" bestFit="1" customWidth="1"/>
    <col min="7173" max="7173" width="9.109375" style="389"/>
    <col min="7174" max="7174" width="9.77734375" style="389" bestFit="1" customWidth="1"/>
    <col min="7175" max="7422" width="9.109375" style="389"/>
    <col min="7423" max="7423" width="42.5546875" style="389" bestFit="1" customWidth="1"/>
    <col min="7424" max="7424" width="9.88671875" style="389" bestFit="1" customWidth="1"/>
    <col min="7425" max="7425" width="9.109375" style="389"/>
    <col min="7426" max="7426" width="25.109375" style="389" bestFit="1" customWidth="1"/>
    <col min="7427" max="7427" width="11.5546875" style="389" bestFit="1" customWidth="1"/>
    <col min="7428" max="7428" width="10.77734375" style="389" bestFit="1" customWidth="1"/>
    <col min="7429" max="7429" width="9.109375" style="389"/>
    <col min="7430" max="7430" width="9.77734375" style="389" bestFit="1" customWidth="1"/>
    <col min="7431" max="7678" width="9.109375" style="389"/>
    <col min="7679" max="7679" width="42.5546875" style="389" bestFit="1" customWidth="1"/>
    <col min="7680" max="7680" width="9.88671875" style="389" bestFit="1" customWidth="1"/>
    <col min="7681" max="7681" width="9.109375" style="389"/>
    <col min="7682" max="7682" width="25.109375" style="389" bestFit="1" customWidth="1"/>
    <col min="7683" max="7683" width="11.5546875" style="389" bestFit="1" customWidth="1"/>
    <col min="7684" max="7684" width="10.77734375" style="389" bestFit="1" customWidth="1"/>
    <col min="7685" max="7685" width="9.109375" style="389"/>
    <col min="7686" max="7686" width="9.77734375" style="389" bestFit="1" customWidth="1"/>
    <col min="7687" max="7934" width="9.109375" style="389"/>
    <col min="7935" max="7935" width="42.5546875" style="389" bestFit="1" customWidth="1"/>
    <col min="7936" max="7936" width="9.88671875" style="389" bestFit="1" customWidth="1"/>
    <col min="7937" max="7937" width="9.109375" style="389"/>
    <col min="7938" max="7938" width="25.109375" style="389" bestFit="1" customWidth="1"/>
    <col min="7939" max="7939" width="11.5546875" style="389" bestFit="1" customWidth="1"/>
    <col min="7940" max="7940" width="10.77734375" style="389" bestFit="1" customWidth="1"/>
    <col min="7941" max="7941" width="9.109375" style="389"/>
    <col min="7942" max="7942" width="9.77734375" style="389" bestFit="1" customWidth="1"/>
    <col min="7943" max="8190" width="9.109375" style="389"/>
    <col min="8191" max="8191" width="42.5546875" style="389" bestFit="1" customWidth="1"/>
    <col min="8192" max="8192" width="9.88671875" style="389" bestFit="1" customWidth="1"/>
    <col min="8193" max="8193" width="9.109375" style="389"/>
    <col min="8194" max="8194" width="25.109375" style="389" bestFit="1" customWidth="1"/>
    <col min="8195" max="8195" width="11.5546875" style="389" bestFit="1" customWidth="1"/>
    <col min="8196" max="8196" width="10.77734375" style="389" bestFit="1" customWidth="1"/>
    <col min="8197" max="8197" width="9.109375" style="389"/>
    <col min="8198" max="8198" width="9.77734375" style="389" bestFit="1" customWidth="1"/>
    <col min="8199" max="8446" width="9.109375" style="389"/>
    <col min="8447" max="8447" width="42.5546875" style="389" bestFit="1" customWidth="1"/>
    <col min="8448" max="8448" width="9.88671875" style="389" bestFit="1" customWidth="1"/>
    <col min="8449" max="8449" width="9.109375" style="389"/>
    <col min="8450" max="8450" width="25.109375" style="389" bestFit="1" customWidth="1"/>
    <col min="8451" max="8451" width="11.5546875" style="389" bestFit="1" customWidth="1"/>
    <col min="8452" max="8452" width="10.77734375" style="389" bestFit="1" customWidth="1"/>
    <col min="8453" max="8453" width="9.109375" style="389"/>
    <col min="8454" max="8454" width="9.77734375" style="389" bestFit="1" customWidth="1"/>
    <col min="8455" max="8702" width="9.109375" style="389"/>
    <col min="8703" max="8703" width="42.5546875" style="389" bestFit="1" customWidth="1"/>
    <col min="8704" max="8704" width="9.88671875" style="389" bestFit="1" customWidth="1"/>
    <col min="8705" max="8705" width="9.109375" style="389"/>
    <col min="8706" max="8706" width="25.109375" style="389" bestFit="1" customWidth="1"/>
    <col min="8707" max="8707" width="11.5546875" style="389" bestFit="1" customWidth="1"/>
    <col min="8708" max="8708" width="10.77734375" style="389" bestFit="1" customWidth="1"/>
    <col min="8709" max="8709" width="9.109375" style="389"/>
    <col min="8710" max="8710" width="9.77734375" style="389" bestFit="1" customWidth="1"/>
    <col min="8711" max="8958" width="9.109375" style="389"/>
    <col min="8959" max="8959" width="42.5546875" style="389" bestFit="1" customWidth="1"/>
    <col min="8960" max="8960" width="9.88671875" style="389" bestFit="1" customWidth="1"/>
    <col min="8961" max="8961" width="9.109375" style="389"/>
    <col min="8962" max="8962" width="25.109375" style="389" bestFit="1" customWidth="1"/>
    <col min="8963" max="8963" width="11.5546875" style="389" bestFit="1" customWidth="1"/>
    <col min="8964" max="8964" width="10.77734375" style="389" bestFit="1" customWidth="1"/>
    <col min="8965" max="8965" width="9.109375" style="389"/>
    <col min="8966" max="8966" width="9.77734375" style="389" bestFit="1" customWidth="1"/>
    <col min="8967" max="9214" width="9.109375" style="389"/>
    <col min="9215" max="9215" width="42.5546875" style="389" bestFit="1" customWidth="1"/>
    <col min="9216" max="9216" width="9.88671875" style="389" bestFit="1" customWidth="1"/>
    <col min="9217" max="9217" width="9.109375" style="389"/>
    <col min="9218" max="9218" width="25.109375" style="389" bestFit="1" customWidth="1"/>
    <col min="9219" max="9219" width="11.5546875" style="389" bestFit="1" customWidth="1"/>
    <col min="9220" max="9220" width="10.77734375" style="389" bestFit="1" customWidth="1"/>
    <col min="9221" max="9221" width="9.109375" style="389"/>
    <col min="9222" max="9222" width="9.77734375" style="389" bestFit="1" customWidth="1"/>
    <col min="9223" max="9470" width="9.109375" style="389"/>
    <col min="9471" max="9471" width="42.5546875" style="389" bestFit="1" customWidth="1"/>
    <col min="9472" max="9472" width="9.88671875" style="389" bestFit="1" customWidth="1"/>
    <col min="9473" max="9473" width="9.109375" style="389"/>
    <col min="9474" max="9474" width="25.109375" style="389" bestFit="1" customWidth="1"/>
    <col min="9475" max="9475" width="11.5546875" style="389" bestFit="1" customWidth="1"/>
    <col min="9476" max="9476" width="10.77734375" style="389" bestFit="1" customWidth="1"/>
    <col min="9477" max="9477" width="9.109375" style="389"/>
    <col min="9478" max="9478" width="9.77734375" style="389" bestFit="1" customWidth="1"/>
    <col min="9479" max="9726" width="9.109375" style="389"/>
    <col min="9727" max="9727" width="42.5546875" style="389" bestFit="1" customWidth="1"/>
    <col min="9728" max="9728" width="9.88671875" style="389" bestFit="1" customWidth="1"/>
    <col min="9729" max="9729" width="9.109375" style="389"/>
    <col min="9730" max="9730" width="25.109375" style="389" bestFit="1" customWidth="1"/>
    <col min="9731" max="9731" width="11.5546875" style="389" bestFit="1" customWidth="1"/>
    <col min="9732" max="9732" width="10.77734375" style="389" bestFit="1" customWidth="1"/>
    <col min="9733" max="9733" width="9.109375" style="389"/>
    <col min="9734" max="9734" width="9.77734375" style="389" bestFit="1" customWidth="1"/>
    <col min="9735" max="9982" width="9.109375" style="389"/>
    <col min="9983" max="9983" width="42.5546875" style="389" bestFit="1" customWidth="1"/>
    <col min="9984" max="9984" width="9.88671875" style="389" bestFit="1" customWidth="1"/>
    <col min="9985" max="9985" width="9.109375" style="389"/>
    <col min="9986" max="9986" width="25.109375" style="389" bestFit="1" customWidth="1"/>
    <col min="9987" max="9987" width="11.5546875" style="389" bestFit="1" customWidth="1"/>
    <col min="9988" max="9988" width="10.77734375" style="389" bestFit="1" customWidth="1"/>
    <col min="9989" max="9989" width="9.109375" style="389"/>
    <col min="9990" max="9990" width="9.77734375" style="389" bestFit="1" customWidth="1"/>
    <col min="9991" max="10238" width="9.109375" style="389"/>
    <col min="10239" max="10239" width="42.5546875" style="389" bestFit="1" customWidth="1"/>
    <col min="10240" max="10240" width="9.88671875" style="389" bestFit="1" customWidth="1"/>
    <col min="10241" max="10241" width="9.109375" style="389"/>
    <col min="10242" max="10242" width="25.109375" style="389" bestFit="1" customWidth="1"/>
    <col min="10243" max="10243" width="11.5546875" style="389" bestFit="1" customWidth="1"/>
    <col min="10244" max="10244" width="10.77734375" style="389" bestFit="1" customWidth="1"/>
    <col min="10245" max="10245" width="9.109375" style="389"/>
    <col min="10246" max="10246" width="9.77734375" style="389" bestFit="1" customWidth="1"/>
    <col min="10247" max="10494" width="9.109375" style="389"/>
    <col min="10495" max="10495" width="42.5546875" style="389" bestFit="1" customWidth="1"/>
    <col min="10496" max="10496" width="9.88671875" style="389" bestFit="1" customWidth="1"/>
    <col min="10497" max="10497" width="9.109375" style="389"/>
    <col min="10498" max="10498" width="25.109375" style="389" bestFit="1" customWidth="1"/>
    <col min="10499" max="10499" width="11.5546875" style="389" bestFit="1" customWidth="1"/>
    <col min="10500" max="10500" width="10.77734375" style="389" bestFit="1" customWidth="1"/>
    <col min="10501" max="10501" width="9.109375" style="389"/>
    <col min="10502" max="10502" width="9.77734375" style="389" bestFit="1" customWidth="1"/>
    <col min="10503" max="10750" width="9.109375" style="389"/>
    <col min="10751" max="10751" width="42.5546875" style="389" bestFit="1" customWidth="1"/>
    <col min="10752" max="10752" width="9.88671875" style="389" bestFit="1" customWidth="1"/>
    <col min="10753" max="10753" width="9.109375" style="389"/>
    <col min="10754" max="10754" width="25.109375" style="389" bestFit="1" customWidth="1"/>
    <col min="10755" max="10755" width="11.5546875" style="389" bestFit="1" customWidth="1"/>
    <col min="10756" max="10756" width="10.77734375" style="389" bestFit="1" customWidth="1"/>
    <col min="10757" max="10757" width="9.109375" style="389"/>
    <col min="10758" max="10758" width="9.77734375" style="389" bestFit="1" customWidth="1"/>
    <col min="10759" max="11006" width="9.109375" style="389"/>
    <col min="11007" max="11007" width="42.5546875" style="389" bestFit="1" customWidth="1"/>
    <col min="11008" max="11008" width="9.88671875" style="389" bestFit="1" customWidth="1"/>
    <col min="11009" max="11009" width="9.109375" style="389"/>
    <col min="11010" max="11010" width="25.109375" style="389" bestFit="1" customWidth="1"/>
    <col min="11011" max="11011" width="11.5546875" style="389" bestFit="1" customWidth="1"/>
    <col min="11012" max="11012" width="10.77734375" style="389" bestFit="1" customWidth="1"/>
    <col min="11013" max="11013" width="9.109375" style="389"/>
    <col min="11014" max="11014" width="9.77734375" style="389" bestFit="1" customWidth="1"/>
    <col min="11015" max="11262" width="9.109375" style="389"/>
    <col min="11263" max="11263" width="42.5546875" style="389" bestFit="1" customWidth="1"/>
    <col min="11264" max="11264" width="9.88671875" style="389" bestFit="1" customWidth="1"/>
    <col min="11265" max="11265" width="9.109375" style="389"/>
    <col min="11266" max="11266" width="25.109375" style="389" bestFit="1" customWidth="1"/>
    <col min="11267" max="11267" width="11.5546875" style="389" bestFit="1" customWidth="1"/>
    <col min="11268" max="11268" width="10.77734375" style="389" bestFit="1" customWidth="1"/>
    <col min="11269" max="11269" width="9.109375" style="389"/>
    <col min="11270" max="11270" width="9.77734375" style="389" bestFit="1" customWidth="1"/>
    <col min="11271" max="11518" width="9.109375" style="389"/>
    <col min="11519" max="11519" width="42.5546875" style="389" bestFit="1" customWidth="1"/>
    <col min="11520" max="11520" width="9.88671875" style="389" bestFit="1" customWidth="1"/>
    <col min="11521" max="11521" width="9.109375" style="389"/>
    <col min="11522" max="11522" width="25.109375" style="389" bestFit="1" customWidth="1"/>
    <col min="11523" max="11523" width="11.5546875" style="389" bestFit="1" customWidth="1"/>
    <col min="11524" max="11524" width="10.77734375" style="389" bestFit="1" customWidth="1"/>
    <col min="11525" max="11525" width="9.109375" style="389"/>
    <col min="11526" max="11526" width="9.77734375" style="389" bestFit="1" customWidth="1"/>
    <col min="11527" max="11774" width="9.109375" style="389"/>
    <col min="11775" max="11775" width="42.5546875" style="389" bestFit="1" customWidth="1"/>
    <col min="11776" max="11776" width="9.88671875" style="389" bestFit="1" customWidth="1"/>
    <col min="11777" max="11777" width="9.109375" style="389"/>
    <col min="11778" max="11778" width="25.109375" style="389" bestFit="1" customWidth="1"/>
    <col min="11779" max="11779" width="11.5546875" style="389" bestFit="1" customWidth="1"/>
    <col min="11780" max="11780" width="10.77734375" style="389" bestFit="1" customWidth="1"/>
    <col min="11781" max="11781" width="9.109375" style="389"/>
    <col min="11782" max="11782" width="9.77734375" style="389" bestFit="1" customWidth="1"/>
    <col min="11783" max="12030" width="9.109375" style="389"/>
    <col min="12031" max="12031" width="42.5546875" style="389" bestFit="1" customWidth="1"/>
    <col min="12032" max="12032" width="9.88671875" style="389" bestFit="1" customWidth="1"/>
    <col min="12033" max="12033" width="9.109375" style="389"/>
    <col min="12034" max="12034" width="25.109375" style="389" bestFit="1" customWidth="1"/>
    <col min="12035" max="12035" width="11.5546875" style="389" bestFit="1" customWidth="1"/>
    <col min="12036" max="12036" width="10.77734375" style="389" bestFit="1" customWidth="1"/>
    <col min="12037" max="12037" width="9.109375" style="389"/>
    <col min="12038" max="12038" width="9.77734375" style="389" bestFit="1" customWidth="1"/>
    <col min="12039" max="12286" width="9.109375" style="389"/>
    <col min="12287" max="12287" width="42.5546875" style="389" bestFit="1" customWidth="1"/>
    <col min="12288" max="12288" width="9.88671875" style="389" bestFit="1" customWidth="1"/>
    <col min="12289" max="12289" width="9.109375" style="389"/>
    <col min="12290" max="12290" width="25.109375" style="389" bestFit="1" customWidth="1"/>
    <col min="12291" max="12291" width="11.5546875" style="389" bestFit="1" customWidth="1"/>
    <col min="12292" max="12292" width="10.77734375" style="389" bestFit="1" customWidth="1"/>
    <col min="12293" max="12293" width="9.109375" style="389"/>
    <col min="12294" max="12294" width="9.77734375" style="389" bestFit="1" customWidth="1"/>
    <col min="12295" max="12542" width="9.109375" style="389"/>
    <col min="12543" max="12543" width="42.5546875" style="389" bestFit="1" customWidth="1"/>
    <col min="12544" max="12544" width="9.88671875" style="389" bestFit="1" customWidth="1"/>
    <col min="12545" max="12545" width="9.109375" style="389"/>
    <col min="12546" max="12546" width="25.109375" style="389" bestFit="1" customWidth="1"/>
    <col min="12547" max="12547" width="11.5546875" style="389" bestFit="1" customWidth="1"/>
    <col min="12548" max="12548" width="10.77734375" style="389" bestFit="1" customWidth="1"/>
    <col min="12549" max="12549" width="9.109375" style="389"/>
    <col min="12550" max="12550" width="9.77734375" style="389" bestFit="1" customWidth="1"/>
    <col min="12551" max="12798" width="9.109375" style="389"/>
    <col min="12799" max="12799" width="42.5546875" style="389" bestFit="1" customWidth="1"/>
    <col min="12800" max="12800" width="9.88671875" style="389" bestFit="1" customWidth="1"/>
    <col min="12801" max="12801" width="9.109375" style="389"/>
    <col min="12802" max="12802" width="25.109375" style="389" bestFit="1" customWidth="1"/>
    <col min="12803" max="12803" width="11.5546875" style="389" bestFit="1" customWidth="1"/>
    <col min="12804" max="12804" width="10.77734375" style="389" bestFit="1" customWidth="1"/>
    <col min="12805" max="12805" width="9.109375" style="389"/>
    <col min="12806" max="12806" width="9.77734375" style="389" bestFit="1" customWidth="1"/>
    <col min="12807" max="13054" width="9.109375" style="389"/>
    <col min="13055" max="13055" width="42.5546875" style="389" bestFit="1" customWidth="1"/>
    <col min="13056" max="13056" width="9.88671875" style="389" bestFit="1" customWidth="1"/>
    <col min="13057" max="13057" width="9.109375" style="389"/>
    <col min="13058" max="13058" width="25.109375" style="389" bestFit="1" customWidth="1"/>
    <col min="13059" max="13059" width="11.5546875" style="389" bestFit="1" customWidth="1"/>
    <col min="13060" max="13060" width="10.77734375" style="389" bestFit="1" customWidth="1"/>
    <col min="13061" max="13061" width="9.109375" style="389"/>
    <col min="13062" max="13062" width="9.77734375" style="389" bestFit="1" customWidth="1"/>
    <col min="13063" max="13310" width="9.109375" style="389"/>
    <col min="13311" max="13311" width="42.5546875" style="389" bestFit="1" customWidth="1"/>
    <col min="13312" max="13312" width="9.88671875" style="389" bestFit="1" customWidth="1"/>
    <col min="13313" max="13313" width="9.109375" style="389"/>
    <col min="13314" max="13314" width="25.109375" style="389" bestFit="1" customWidth="1"/>
    <col min="13315" max="13315" width="11.5546875" style="389" bestFit="1" customWidth="1"/>
    <col min="13316" max="13316" width="10.77734375" style="389" bestFit="1" customWidth="1"/>
    <col min="13317" max="13317" width="9.109375" style="389"/>
    <col min="13318" max="13318" width="9.77734375" style="389" bestFit="1" customWidth="1"/>
    <col min="13319" max="13566" width="9.109375" style="389"/>
    <col min="13567" max="13567" width="42.5546875" style="389" bestFit="1" customWidth="1"/>
    <col min="13568" max="13568" width="9.88671875" style="389" bestFit="1" customWidth="1"/>
    <col min="13569" max="13569" width="9.109375" style="389"/>
    <col min="13570" max="13570" width="25.109375" style="389" bestFit="1" customWidth="1"/>
    <col min="13571" max="13571" width="11.5546875" style="389" bestFit="1" customWidth="1"/>
    <col min="13572" max="13572" width="10.77734375" style="389" bestFit="1" customWidth="1"/>
    <col min="13573" max="13573" width="9.109375" style="389"/>
    <col min="13574" max="13574" width="9.77734375" style="389" bestFit="1" customWidth="1"/>
    <col min="13575" max="13822" width="9.109375" style="389"/>
    <col min="13823" max="13823" width="42.5546875" style="389" bestFit="1" customWidth="1"/>
    <col min="13824" max="13824" width="9.88671875" style="389" bestFit="1" customWidth="1"/>
    <col min="13825" max="13825" width="9.109375" style="389"/>
    <col min="13826" max="13826" width="25.109375" style="389" bestFit="1" customWidth="1"/>
    <col min="13827" max="13827" width="11.5546875" style="389" bestFit="1" customWidth="1"/>
    <col min="13828" max="13828" width="10.77734375" style="389" bestFit="1" customWidth="1"/>
    <col min="13829" max="13829" width="9.109375" style="389"/>
    <col min="13830" max="13830" width="9.77734375" style="389" bestFit="1" customWidth="1"/>
    <col min="13831" max="14078" width="9.109375" style="389"/>
    <col min="14079" max="14079" width="42.5546875" style="389" bestFit="1" customWidth="1"/>
    <col min="14080" max="14080" width="9.88671875" style="389" bestFit="1" customWidth="1"/>
    <col min="14081" max="14081" width="9.109375" style="389"/>
    <col min="14082" max="14082" width="25.109375" style="389" bestFit="1" customWidth="1"/>
    <col min="14083" max="14083" width="11.5546875" style="389" bestFit="1" customWidth="1"/>
    <col min="14084" max="14084" width="10.77734375" style="389" bestFit="1" customWidth="1"/>
    <col min="14085" max="14085" width="9.109375" style="389"/>
    <col min="14086" max="14086" width="9.77734375" style="389" bestFit="1" customWidth="1"/>
    <col min="14087" max="14334" width="9.109375" style="389"/>
    <col min="14335" max="14335" width="42.5546875" style="389" bestFit="1" customWidth="1"/>
    <col min="14336" max="14336" width="9.88671875" style="389" bestFit="1" customWidth="1"/>
    <col min="14337" max="14337" width="9.109375" style="389"/>
    <col min="14338" max="14338" width="25.109375" style="389" bestFit="1" customWidth="1"/>
    <col min="14339" max="14339" width="11.5546875" style="389" bestFit="1" customWidth="1"/>
    <col min="14340" max="14340" width="10.77734375" style="389" bestFit="1" customWidth="1"/>
    <col min="14341" max="14341" width="9.109375" style="389"/>
    <col min="14342" max="14342" width="9.77734375" style="389" bestFit="1" customWidth="1"/>
    <col min="14343" max="14590" width="9.109375" style="389"/>
    <col min="14591" max="14591" width="42.5546875" style="389" bestFit="1" customWidth="1"/>
    <col min="14592" max="14592" width="9.88671875" style="389" bestFit="1" customWidth="1"/>
    <col min="14593" max="14593" width="9.109375" style="389"/>
    <col min="14594" max="14594" width="25.109375" style="389" bestFit="1" customWidth="1"/>
    <col min="14595" max="14595" width="11.5546875" style="389" bestFit="1" customWidth="1"/>
    <col min="14596" max="14596" width="10.77734375" style="389" bestFit="1" customWidth="1"/>
    <col min="14597" max="14597" width="9.109375" style="389"/>
    <col min="14598" max="14598" width="9.77734375" style="389" bestFit="1" customWidth="1"/>
    <col min="14599" max="14846" width="9.109375" style="389"/>
    <col min="14847" max="14847" width="42.5546875" style="389" bestFit="1" customWidth="1"/>
    <col min="14848" max="14848" width="9.88671875" style="389" bestFit="1" customWidth="1"/>
    <col min="14849" max="14849" width="9.109375" style="389"/>
    <col min="14850" max="14850" width="25.109375" style="389" bestFit="1" customWidth="1"/>
    <col min="14851" max="14851" width="11.5546875" style="389" bestFit="1" customWidth="1"/>
    <col min="14852" max="14852" width="10.77734375" style="389" bestFit="1" customWidth="1"/>
    <col min="14853" max="14853" width="9.109375" style="389"/>
    <col min="14854" max="14854" width="9.77734375" style="389" bestFit="1" customWidth="1"/>
    <col min="14855" max="15102" width="9.109375" style="389"/>
    <col min="15103" max="15103" width="42.5546875" style="389" bestFit="1" customWidth="1"/>
    <col min="15104" max="15104" width="9.88671875" style="389" bestFit="1" customWidth="1"/>
    <col min="15105" max="15105" width="9.109375" style="389"/>
    <col min="15106" max="15106" width="25.109375" style="389" bestFit="1" customWidth="1"/>
    <col min="15107" max="15107" width="11.5546875" style="389" bestFit="1" customWidth="1"/>
    <col min="15108" max="15108" width="10.77734375" style="389" bestFit="1" customWidth="1"/>
    <col min="15109" max="15109" width="9.109375" style="389"/>
    <col min="15110" max="15110" width="9.77734375" style="389" bestFit="1" customWidth="1"/>
    <col min="15111" max="15358" width="9.109375" style="389"/>
    <col min="15359" max="15359" width="42.5546875" style="389" bestFit="1" customWidth="1"/>
    <col min="15360" max="15360" width="9.88671875" style="389" bestFit="1" customWidth="1"/>
    <col min="15361" max="15361" width="9.109375" style="389"/>
    <col min="15362" max="15362" width="25.109375" style="389" bestFit="1" customWidth="1"/>
    <col min="15363" max="15363" width="11.5546875" style="389" bestFit="1" customWidth="1"/>
    <col min="15364" max="15364" width="10.77734375" style="389" bestFit="1" customWidth="1"/>
    <col min="15365" max="15365" width="9.109375" style="389"/>
    <col min="15366" max="15366" width="9.77734375" style="389" bestFit="1" customWidth="1"/>
    <col min="15367" max="15614" width="9.109375" style="389"/>
    <col min="15615" max="15615" width="42.5546875" style="389" bestFit="1" customWidth="1"/>
    <col min="15616" max="15616" width="9.88671875" style="389" bestFit="1" customWidth="1"/>
    <col min="15617" max="15617" width="9.109375" style="389"/>
    <col min="15618" max="15618" width="25.109375" style="389" bestFit="1" customWidth="1"/>
    <col min="15619" max="15619" width="11.5546875" style="389" bestFit="1" customWidth="1"/>
    <col min="15620" max="15620" width="10.77734375" style="389" bestFit="1" customWidth="1"/>
    <col min="15621" max="15621" width="9.109375" style="389"/>
    <col min="15622" max="15622" width="9.77734375" style="389" bestFit="1" customWidth="1"/>
    <col min="15623" max="15870" width="9.109375" style="389"/>
    <col min="15871" max="15871" width="42.5546875" style="389" bestFit="1" customWidth="1"/>
    <col min="15872" max="15872" width="9.88671875" style="389" bestFit="1" customWidth="1"/>
    <col min="15873" max="15873" width="9.109375" style="389"/>
    <col min="15874" max="15874" width="25.109375" style="389" bestFit="1" customWidth="1"/>
    <col min="15875" max="15875" width="11.5546875" style="389" bestFit="1" customWidth="1"/>
    <col min="15876" max="15876" width="10.77734375" style="389" bestFit="1" customWidth="1"/>
    <col min="15877" max="15877" width="9.109375" style="389"/>
    <col min="15878" max="15878" width="9.77734375" style="389" bestFit="1" customWidth="1"/>
    <col min="15879" max="16126" width="9.109375" style="389"/>
    <col min="16127" max="16127" width="42.5546875" style="389" bestFit="1" customWidth="1"/>
    <col min="16128" max="16128" width="9.88671875" style="389" bestFit="1" customWidth="1"/>
    <col min="16129" max="16129" width="9.109375" style="389"/>
    <col min="16130" max="16130" width="25.109375" style="389" bestFit="1" customWidth="1"/>
    <col min="16131" max="16131" width="11.5546875" style="389" bestFit="1" customWidth="1"/>
    <col min="16132" max="16132" width="10.77734375" style="389" bestFit="1" customWidth="1"/>
    <col min="16133" max="16133" width="9.109375" style="389"/>
    <col min="16134" max="16134" width="9.77734375" style="389" bestFit="1" customWidth="1"/>
    <col min="16135" max="16384" width="9.109375" style="389"/>
  </cols>
  <sheetData>
    <row r="1" spans="1:3" x14ac:dyDescent="0.2">
      <c r="B1" s="289" t="s">
        <v>689</v>
      </c>
      <c r="C1" s="390"/>
    </row>
    <row r="2" spans="1:3" x14ac:dyDescent="0.2">
      <c r="B2" s="390" t="s">
        <v>899</v>
      </c>
      <c r="C2" s="390"/>
    </row>
    <row r="3" spans="1:3" x14ac:dyDescent="0.2">
      <c r="B3" s="390" t="s">
        <v>1046</v>
      </c>
    </row>
    <row r="6" spans="1:3" x14ac:dyDescent="0.2">
      <c r="B6" s="391"/>
      <c r="C6" s="392"/>
    </row>
    <row r="7" spans="1:3" x14ac:dyDescent="0.2">
      <c r="B7" s="391"/>
      <c r="C7" s="392"/>
    </row>
    <row r="8" spans="1:3" x14ac:dyDescent="0.2">
      <c r="C8" s="392"/>
    </row>
    <row r="9" spans="1:3" x14ac:dyDescent="0.2">
      <c r="B9" s="390" t="s">
        <v>1047</v>
      </c>
      <c r="C9" s="393">
        <f>'XIII.Resultado Fiscal'!$F$74</f>
        <v>40647058.357614428</v>
      </c>
    </row>
    <row r="10" spans="1:3" x14ac:dyDescent="0.2">
      <c r="C10" s="393"/>
    </row>
    <row r="11" spans="1:3" x14ac:dyDescent="0.2">
      <c r="B11" s="394" t="s">
        <v>895</v>
      </c>
      <c r="C11" s="395"/>
    </row>
    <row r="12" spans="1:3" x14ac:dyDescent="0.2">
      <c r="B12" s="389" t="s">
        <v>896</v>
      </c>
      <c r="C12" s="396">
        <f>'XIII.Resultado Fiscal'!$E$110</f>
        <v>190880948.95046011</v>
      </c>
    </row>
    <row r="13" spans="1:3" x14ac:dyDescent="0.2">
      <c r="A13" s="389" t="s">
        <v>897</v>
      </c>
      <c r="B13" s="389" t="s">
        <v>898</v>
      </c>
      <c r="C13" s="396">
        <v>0</v>
      </c>
    </row>
    <row r="14" spans="1:3" x14ac:dyDescent="0.2">
      <c r="B14" s="389" t="s">
        <v>228</v>
      </c>
      <c r="C14" s="396">
        <f>+C12-C13</f>
        <v>190880948.95046011</v>
      </c>
    </row>
    <row r="15" spans="1:3" x14ac:dyDescent="0.2">
      <c r="B15" s="391"/>
      <c r="C15" s="396"/>
    </row>
    <row r="16" spans="1:3" ht="13.5" thickBot="1" x14ac:dyDescent="0.25">
      <c r="B16" s="397" t="s">
        <v>1048</v>
      </c>
      <c r="C16" s="534">
        <f>ROUND(C9/C14,4)</f>
        <v>0.21290000000000001</v>
      </c>
    </row>
    <row r="17" ht="13.5" thickTop="1" x14ac:dyDescent="0.2"/>
  </sheetData>
  <pageMargins left="0.75" right="0.75" top="1" bottom="1" header="0" footer="0"/>
  <pageSetup scale="80" orientation="portrait" r:id="rId1"/>
  <headerFooter alignWithMargins="0">
    <oddFooter>&amp;C&amp;Z&amp;F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FD17-DCFA-41F9-9403-7BC37BC9FD78}">
  <dimension ref="B4:E37"/>
  <sheetViews>
    <sheetView showGridLines="0" tabSelected="1" workbookViewId="0">
      <selection activeCell="B1" sqref="B1"/>
    </sheetView>
  </sheetViews>
  <sheetFormatPr baseColWidth="10" defaultColWidth="10.88671875" defaultRowHeight="12.75" x14ac:dyDescent="0.2"/>
  <cols>
    <col min="1" max="2" width="10.88671875" style="153"/>
    <col min="3" max="3" width="44.5546875" style="153" customWidth="1"/>
    <col min="4" max="4" width="12.44140625" style="294" bestFit="1" customWidth="1"/>
    <col min="5" max="5" width="13.33203125" style="294" bestFit="1" customWidth="1"/>
    <col min="6" max="16384" width="10.88671875" style="153"/>
  </cols>
  <sheetData>
    <row r="4" spans="2:5" x14ac:dyDescent="0.2">
      <c r="B4" s="293" t="s">
        <v>689</v>
      </c>
    </row>
    <row r="5" spans="2:5" x14ac:dyDescent="0.2">
      <c r="B5" s="293" t="s">
        <v>724</v>
      </c>
    </row>
    <row r="6" spans="2:5" x14ac:dyDescent="0.2">
      <c r="B6" s="293"/>
    </row>
    <row r="7" spans="2:5" x14ac:dyDescent="0.2">
      <c r="B7" s="293"/>
    </row>
    <row r="8" spans="2:5" x14ac:dyDescent="0.2">
      <c r="B8" s="730" t="s">
        <v>725</v>
      </c>
      <c r="C8" s="730"/>
      <c r="D8" s="730"/>
      <c r="E8" s="730"/>
    </row>
    <row r="9" spans="2:5" x14ac:dyDescent="0.2">
      <c r="B9" s="295" t="s">
        <v>726</v>
      </c>
      <c r="C9" s="295" t="s">
        <v>727</v>
      </c>
      <c r="D9" s="296" t="s">
        <v>728</v>
      </c>
      <c r="E9" s="296" t="s">
        <v>729</v>
      </c>
    </row>
    <row r="10" spans="2:5" x14ac:dyDescent="0.2">
      <c r="B10" s="153">
        <v>11080001</v>
      </c>
      <c r="C10" s="297" t="s">
        <v>20</v>
      </c>
      <c r="D10" s="294">
        <f>VLOOKUP(B10,'XII. Provisiones'!$A$7:$O$32,15,0)</f>
        <v>339716.6</v>
      </c>
      <c r="E10" s="294">
        <f>VLOOKUP(B10,'XII. Provisiones'!$A$8:$C$31,3,0)</f>
        <v>247882.17</v>
      </c>
    </row>
    <row r="11" spans="2:5" x14ac:dyDescent="0.2">
      <c r="B11" s="153">
        <v>11180001</v>
      </c>
      <c r="C11" s="191" t="s">
        <v>36</v>
      </c>
      <c r="D11" s="294">
        <f>VLOOKUP(B11,'XII. Provisiones'!$A$7:$O$32,15,0)</f>
        <v>1533803.21</v>
      </c>
      <c r="E11" s="294">
        <f>VLOOKUP(B11,'XII. Provisiones'!$A$8:$C$31,3,0)</f>
        <v>5860176.4800000004</v>
      </c>
    </row>
    <row r="12" spans="2:5" x14ac:dyDescent="0.2">
      <c r="B12" s="153">
        <v>21010001</v>
      </c>
      <c r="C12" s="191" t="s">
        <v>83</v>
      </c>
      <c r="D12" s="294">
        <f>VLOOKUP(B12,'XII. Provisiones'!$A$7:$O$32,15,0)</f>
        <v>0</v>
      </c>
      <c r="E12" s="294">
        <f>VLOOKUP(B12,'XII. Provisiones'!$A$8:$C$31,3,0)</f>
        <v>64144</v>
      </c>
    </row>
    <row r="13" spans="2:5" x14ac:dyDescent="0.2">
      <c r="B13" s="153">
        <v>21010003</v>
      </c>
      <c r="C13" s="297" t="s">
        <v>85</v>
      </c>
      <c r="D13" s="294">
        <v>0</v>
      </c>
      <c r="E13" s="294">
        <f>VLOOKUP(B13,'XII. Provisiones'!$A$8:$C$31,3,0)</f>
        <v>2228476.23</v>
      </c>
    </row>
    <row r="14" spans="2:5" x14ac:dyDescent="0.2">
      <c r="B14" s="153">
        <v>21100001</v>
      </c>
      <c r="C14" s="153" t="s">
        <v>118</v>
      </c>
      <c r="D14" s="294">
        <f>VLOOKUP(B14,'XII. Provisiones'!$A$7:$O$32,15,0)</f>
        <v>343485.43</v>
      </c>
      <c r="E14" s="294">
        <f>VLOOKUP(B14,'XII. Provisiones'!$A$8:$C$31,3,0)</f>
        <v>385296.81</v>
      </c>
    </row>
    <row r="15" spans="2:5" x14ac:dyDescent="0.2">
      <c r="B15" s="153">
        <v>21100020</v>
      </c>
      <c r="C15" s="153" t="s">
        <v>257</v>
      </c>
      <c r="D15" s="294">
        <f>VLOOKUP(B15,'XII. Provisiones'!$A$7:$O$32,15,0)</f>
        <v>703109.06</v>
      </c>
      <c r="E15" s="294">
        <f>VLOOKUP(B15,'XII. Provisiones'!$A$8:$C$31,3,0)</f>
        <v>811640.48</v>
      </c>
    </row>
    <row r="16" spans="2:5" x14ac:dyDescent="0.2">
      <c r="B16" s="153">
        <v>21010002</v>
      </c>
      <c r="C16" s="153" t="s">
        <v>84</v>
      </c>
      <c r="D16" s="294">
        <f>VLOOKUP(B16,'XII. Provisiones'!$A$7:$O$32,15,0)</f>
        <v>0</v>
      </c>
      <c r="E16" s="294">
        <f>VLOOKUP(B16,'XII. Provisiones'!$A$8:$C$31,3,0)</f>
        <v>0</v>
      </c>
    </row>
    <row r="17" spans="2:5" x14ac:dyDescent="0.2">
      <c r="B17" s="153">
        <v>21110001</v>
      </c>
      <c r="C17" s="153" t="s">
        <v>121</v>
      </c>
      <c r="D17" s="294">
        <f>VLOOKUP(B17,'XII. Provisiones'!$A$7:$O$32,15,0)</f>
        <v>0</v>
      </c>
      <c r="E17" s="294">
        <f>VLOOKUP(B17,'XII. Provisiones'!$A$8:$C$31,3,0)</f>
        <v>0</v>
      </c>
    </row>
    <row r="18" spans="2:5" x14ac:dyDescent="0.2">
      <c r="B18" s="153">
        <v>21110002</v>
      </c>
      <c r="C18" s="153" t="s">
        <v>122</v>
      </c>
      <c r="D18" s="294">
        <f>VLOOKUP(B18,'XII. Provisiones'!$A$7:$O$32,15,0)</f>
        <v>5476644.3899999997</v>
      </c>
      <c r="E18" s="294">
        <f>VLOOKUP(B18,'XII. Provisiones'!$A$8:$C$31,3,0)</f>
        <v>4607589</v>
      </c>
    </row>
    <row r="19" spans="2:5" x14ac:dyDescent="0.2">
      <c r="B19" s="153">
        <v>13030001</v>
      </c>
      <c r="C19" s="297" t="s">
        <v>74</v>
      </c>
      <c r="D19" s="294">
        <f>VLOOKUP(B19,'XII. Provisiones'!$A$7:$O$32,15,0)</f>
        <v>-345198.15</v>
      </c>
      <c r="E19" s="294">
        <f>VLOOKUP(B19,'XII. Provisiones'!$A$8:$C$31,3,0)</f>
        <v>-149443.73000000001</v>
      </c>
    </row>
    <row r="20" spans="2:5" x14ac:dyDescent="0.2">
      <c r="B20" s="153">
        <v>22100001</v>
      </c>
      <c r="C20" s="153" t="s">
        <v>124</v>
      </c>
      <c r="D20" s="294">
        <f>VLOOKUP(B20,'XII. Provisiones'!$A$7:$O$32,15,0)</f>
        <v>620206</v>
      </c>
      <c r="E20" s="294">
        <f>VLOOKUP(B20,'XII. Provisiones'!$A$8:$C$31,3,0)</f>
        <v>549714.71</v>
      </c>
    </row>
    <row r="21" spans="2:5" x14ac:dyDescent="0.2">
      <c r="B21" s="153">
        <v>22100002</v>
      </c>
      <c r="C21" s="153" t="s">
        <v>707</v>
      </c>
      <c r="D21" s="294">
        <f>VLOOKUP(B21,'XII. Provisiones'!$A$7:$O$32,15,0)</f>
        <v>751130.07</v>
      </c>
      <c r="E21" s="294">
        <f>VLOOKUP(B21,'XII. Provisiones'!$A$8:$C$31,3,0)</f>
        <v>583441.62</v>
      </c>
    </row>
    <row r="22" spans="2:5" x14ac:dyDescent="0.2">
      <c r="B22" s="153">
        <v>22100003</v>
      </c>
      <c r="C22" s="153" t="s">
        <v>126</v>
      </c>
      <c r="D22" s="294">
        <f>VLOOKUP(B22,'XII. Provisiones'!$A$7:$O$32,15,0)</f>
        <v>2236875.9300000002</v>
      </c>
      <c r="E22" s="294">
        <f>VLOOKUP(B22,'XII. Provisiones'!$A$8:$C$31,3,0)</f>
        <v>1050089.96</v>
      </c>
    </row>
    <row r="23" spans="2:5" x14ac:dyDescent="0.2">
      <c r="B23" s="153">
        <v>21030001</v>
      </c>
      <c r="C23" s="153" t="s">
        <v>93</v>
      </c>
      <c r="D23" s="294">
        <f>-VLOOKUP(B23,'I. Balanza'!C8:Q620,15,0)</f>
        <v>836736.11000000453</v>
      </c>
      <c r="E23" s="294">
        <f>-VLOOKUP(B23,'I. Balanza'!$C$8:$E$620,3,0)</f>
        <v>787788.26999999641</v>
      </c>
    </row>
    <row r="24" spans="2:5" x14ac:dyDescent="0.2">
      <c r="B24" s="153">
        <v>21020005</v>
      </c>
      <c r="C24" s="153" t="s">
        <v>520</v>
      </c>
      <c r="D24" s="294">
        <f>VLOOKUP(B24,'XII. Provisiones'!$A$7:$O$32,15,0)</f>
        <v>3072.38</v>
      </c>
      <c r="E24" s="294">
        <f>VLOOKUP(B24,'XII. Provisiones'!$A$8:$C$31,3,0)</f>
        <v>841796.99</v>
      </c>
    </row>
    <row r="25" spans="2:5" x14ac:dyDescent="0.2">
      <c r="C25" s="153" t="s">
        <v>894</v>
      </c>
      <c r="D25" s="294">
        <f>'I. Balanza'!Q455-'XI. Regalias Pagadas'!G19</f>
        <v>109218.35000000009</v>
      </c>
    </row>
    <row r="26" spans="2:5" ht="13.5" thickBot="1" x14ac:dyDescent="0.25">
      <c r="C26" s="153" t="s">
        <v>893</v>
      </c>
      <c r="D26" s="388">
        <f>'XIII.Resultado Fiscal'!E45</f>
        <v>201122.14655172414</v>
      </c>
      <c r="E26" s="388">
        <f>'XIII.Resultado Fiscal'!E56</f>
        <v>71137.200000000012</v>
      </c>
    </row>
    <row r="27" spans="2:5" ht="13.5" thickTop="1" x14ac:dyDescent="0.2">
      <c r="D27" s="294">
        <f>SUM(D10:D26)</f>
        <v>12809921.526551729</v>
      </c>
      <c r="E27" s="294">
        <f>SUM(E10:E26)</f>
        <v>17939730.189999994</v>
      </c>
    </row>
    <row r="29" spans="2:5" x14ac:dyDescent="0.2">
      <c r="C29" s="153" t="s">
        <v>978</v>
      </c>
      <c r="D29" s="294">
        <f>D27*30%</f>
        <v>3842976.4579655183</v>
      </c>
      <c r="E29" s="294">
        <f>E27*30%</f>
        <v>5381919.0569999982</v>
      </c>
    </row>
    <row r="30" spans="2:5" x14ac:dyDescent="0.2">
      <c r="C30" s="153" t="s">
        <v>436</v>
      </c>
      <c r="D30" s="398">
        <f>E29-D29</f>
        <v>1538942.5990344798</v>
      </c>
    </row>
    <row r="31" spans="2:5" x14ac:dyDescent="0.2">
      <c r="C31" s="153" t="s">
        <v>979</v>
      </c>
      <c r="D31" s="294">
        <f>'XIII.Resultado Fiscal'!F76</f>
        <v>12194117.507284328</v>
      </c>
    </row>
    <row r="32" spans="2:5" x14ac:dyDescent="0.2">
      <c r="C32" s="153" t="s">
        <v>980</v>
      </c>
      <c r="D32" s="294">
        <f>D30+D31</f>
        <v>13733060.106318809</v>
      </c>
    </row>
    <row r="33" spans="2:5" x14ac:dyDescent="0.2">
      <c r="C33" s="153" t="s">
        <v>981</v>
      </c>
      <c r="D33" s="294">
        <f>'III. Estado de Resultados'!AJ254</f>
        <v>50570937.145495936</v>
      </c>
      <c r="E33" s="153"/>
    </row>
    <row r="34" spans="2:5" x14ac:dyDescent="0.2">
      <c r="C34" s="153" t="s">
        <v>982</v>
      </c>
      <c r="D34" s="298">
        <f>D32/D33</f>
        <v>0.2715603245952885</v>
      </c>
    </row>
    <row r="35" spans="2:5" x14ac:dyDescent="0.2">
      <c r="D35" s="398"/>
    </row>
    <row r="36" spans="2:5" x14ac:dyDescent="0.2">
      <c r="B36" s="153">
        <v>22400001</v>
      </c>
      <c r="C36" s="153" t="s">
        <v>436</v>
      </c>
      <c r="D36" s="294">
        <f>-VLOOKUP(B36,'I. Balanza'!C8:Q627,15,0)</f>
        <v>232502.12699999899</v>
      </c>
    </row>
    <row r="37" spans="2:5" x14ac:dyDescent="0.2">
      <c r="C37" s="153" t="s">
        <v>900</v>
      </c>
      <c r="D37" s="294">
        <f>D30-D36</f>
        <v>1306440.4720344809</v>
      </c>
    </row>
  </sheetData>
  <mergeCells count="1">
    <mergeCell ref="B8:E8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2B47-481C-45D9-8060-179615EE607B}">
  <dimension ref="A4:E171"/>
  <sheetViews>
    <sheetView showGridLines="0" workbookViewId="0"/>
  </sheetViews>
  <sheetFormatPr baseColWidth="10" defaultColWidth="10.88671875" defaultRowHeight="15" x14ac:dyDescent="0.2"/>
  <cols>
    <col min="1" max="1" width="10.88671875" style="342"/>
    <col min="2" max="2" width="40.109375" style="342" customWidth="1"/>
    <col min="3" max="4" width="10.88671875" style="343"/>
    <col min="5" max="5" width="21.44140625" style="344" customWidth="1"/>
    <col min="6" max="16384" width="10.88671875" style="344"/>
  </cols>
  <sheetData>
    <row r="4" spans="1:4" x14ac:dyDescent="0.2">
      <c r="B4" s="342" t="s">
        <v>760</v>
      </c>
    </row>
    <row r="7" spans="1:4" x14ac:dyDescent="0.2">
      <c r="A7" s="345" t="s">
        <v>726</v>
      </c>
      <c r="B7" s="345" t="s">
        <v>727</v>
      </c>
      <c r="C7" s="346" t="s">
        <v>761</v>
      </c>
      <c r="D7" s="346" t="s">
        <v>762</v>
      </c>
    </row>
    <row r="8" spans="1:4" x14ac:dyDescent="0.2">
      <c r="A8" s="342">
        <v>67010001</v>
      </c>
      <c r="B8" s="342" t="s">
        <v>114</v>
      </c>
      <c r="C8" s="343">
        <v>90000</v>
      </c>
    </row>
    <row r="9" spans="1:4" x14ac:dyDescent="0.2">
      <c r="A9" s="342">
        <v>21070001</v>
      </c>
      <c r="B9" s="342" t="s">
        <v>114</v>
      </c>
      <c r="D9" s="343">
        <v>90000</v>
      </c>
    </row>
    <row r="11" spans="1:4" x14ac:dyDescent="0.2">
      <c r="C11" s="343">
        <f>SUM(C8:C10)</f>
        <v>90000</v>
      </c>
      <c r="D11" s="343">
        <f>SUM(D8:D10)</f>
        <v>90000</v>
      </c>
    </row>
    <row r="13" spans="1:4" x14ac:dyDescent="0.2">
      <c r="B13" s="342" t="s">
        <v>763</v>
      </c>
    </row>
    <row r="15" spans="1:4" x14ac:dyDescent="0.2">
      <c r="A15" s="345" t="s">
        <v>726</v>
      </c>
      <c r="B15" s="345" t="s">
        <v>727</v>
      </c>
      <c r="C15" s="346" t="s">
        <v>761</v>
      </c>
      <c r="D15" s="346" t="s">
        <v>762</v>
      </c>
    </row>
    <row r="16" spans="1:4" x14ac:dyDescent="0.2">
      <c r="A16" s="342">
        <v>1102</v>
      </c>
      <c r="B16" s="342" t="s">
        <v>7</v>
      </c>
      <c r="D16" s="343">
        <v>50000</v>
      </c>
    </row>
    <row r="17" spans="1:4" x14ac:dyDescent="0.2">
      <c r="A17" s="342">
        <v>21070001</v>
      </c>
      <c r="B17" s="342" t="s">
        <v>114</v>
      </c>
      <c r="C17" s="343">
        <v>50000</v>
      </c>
    </row>
    <row r="19" spans="1:4" x14ac:dyDescent="0.2">
      <c r="C19" s="343">
        <f>SUM(C16:C17)</f>
        <v>50000</v>
      </c>
      <c r="D19" s="343">
        <f>SUM(D16:D17)</f>
        <v>50000</v>
      </c>
    </row>
    <row r="21" spans="1:4" x14ac:dyDescent="0.2">
      <c r="B21" s="342" t="s">
        <v>764</v>
      </c>
    </row>
    <row r="23" spans="1:4" x14ac:dyDescent="0.2">
      <c r="A23" s="345" t="s">
        <v>726</v>
      </c>
      <c r="B23" s="345" t="s">
        <v>727</v>
      </c>
      <c r="C23" s="346" t="s">
        <v>761</v>
      </c>
      <c r="D23" s="346" t="s">
        <v>762</v>
      </c>
    </row>
    <row r="24" spans="1:4" x14ac:dyDescent="0.2">
      <c r="A24" s="342">
        <v>1102</v>
      </c>
      <c r="B24" s="342" t="s">
        <v>7</v>
      </c>
      <c r="D24" s="343">
        <v>40000</v>
      </c>
    </row>
    <row r="25" spans="1:4" x14ac:dyDescent="0.2">
      <c r="A25" s="342">
        <v>21070001</v>
      </c>
      <c r="B25" s="342" t="s">
        <v>114</v>
      </c>
      <c r="C25" s="343">
        <v>40000</v>
      </c>
    </row>
    <row r="27" spans="1:4" x14ac:dyDescent="0.2">
      <c r="C27" s="343">
        <f>SUM(C24:C25)</f>
        <v>40000</v>
      </c>
      <c r="D27" s="343">
        <f>SUM(D24:D25)</f>
        <v>40000</v>
      </c>
    </row>
    <row r="29" spans="1:4" x14ac:dyDescent="0.2">
      <c r="B29" s="342" t="s">
        <v>765</v>
      </c>
    </row>
    <row r="31" spans="1:4" x14ac:dyDescent="0.2">
      <c r="A31" s="345" t="s">
        <v>726</v>
      </c>
      <c r="B31" s="345" t="s">
        <v>727</v>
      </c>
      <c r="C31" s="346" t="s">
        <v>761</v>
      </c>
      <c r="D31" s="346" t="s">
        <v>762</v>
      </c>
    </row>
    <row r="32" spans="1:4" x14ac:dyDescent="0.2">
      <c r="A32" s="342">
        <v>21110002</v>
      </c>
      <c r="B32" s="342" t="s">
        <v>122</v>
      </c>
      <c r="D32" s="343">
        <v>10000</v>
      </c>
    </row>
    <row r="33" spans="1:4" x14ac:dyDescent="0.2">
      <c r="A33" s="342">
        <v>68010001</v>
      </c>
      <c r="B33" s="342" t="s">
        <v>174</v>
      </c>
      <c r="C33" s="343">
        <v>10000</v>
      </c>
    </row>
    <row r="35" spans="1:4" x14ac:dyDescent="0.2">
      <c r="C35" s="343">
        <f>SUM(C32:C34)</f>
        <v>10000</v>
      </c>
      <c r="D35" s="343">
        <f>SUM(D32:D34)</f>
        <v>10000</v>
      </c>
    </row>
    <row r="37" spans="1:4" x14ac:dyDescent="0.2">
      <c r="B37" s="342" t="s">
        <v>766</v>
      </c>
    </row>
    <row r="39" spans="1:4" x14ac:dyDescent="0.2">
      <c r="A39" s="345" t="s">
        <v>726</v>
      </c>
      <c r="B39" s="345" t="s">
        <v>727</v>
      </c>
      <c r="C39" s="346" t="s">
        <v>761</v>
      </c>
      <c r="D39" s="346" t="s">
        <v>762</v>
      </c>
    </row>
    <row r="40" spans="1:4" x14ac:dyDescent="0.2">
      <c r="A40" s="342">
        <v>21110001</v>
      </c>
      <c r="B40" s="342" t="s">
        <v>121</v>
      </c>
      <c r="D40" s="343">
        <v>10000</v>
      </c>
    </row>
    <row r="41" spans="1:4" x14ac:dyDescent="0.2">
      <c r="A41" s="342">
        <v>21110002</v>
      </c>
      <c r="B41" s="342" t="s">
        <v>122</v>
      </c>
      <c r="C41" s="343">
        <v>10000</v>
      </c>
    </row>
    <row r="43" spans="1:4" x14ac:dyDescent="0.2">
      <c r="C43" s="343">
        <f>SUM(C40:C42)</f>
        <v>10000</v>
      </c>
      <c r="D43" s="343">
        <f>SUM(D40:D42)</f>
        <v>10000</v>
      </c>
    </row>
    <row r="45" spans="1:4" x14ac:dyDescent="0.2">
      <c r="B45" s="342" t="s">
        <v>767</v>
      </c>
    </row>
    <row r="47" spans="1:4" x14ac:dyDescent="0.2">
      <c r="A47" s="345" t="s">
        <v>726</v>
      </c>
      <c r="B47" s="345" t="s">
        <v>727</v>
      </c>
      <c r="C47" s="346" t="s">
        <v>761</v>
      </c>
      <c r="D47" s="346" t="s">
        <v>762</v>
      </c>
    </row>
    <row r="48" spans="1:4" x14ac:dyDescent="0.2">
      <c r="A48" s="342">
        <v>21110001</v>
      </c>
      <c r="B48" s="342" t="s">
        <v>121</v>
      </c>
      <c r="C48" s="343">
        <v>10000</v>
      </c>
    </row>
    <row r="49" spans="1:4" x14ac:dyDescent="0.2">
      <c r="A49" s="342">
        <v>1102</v>
      </c>
      <c r="B49" s="342" t="s">
        <v>7</v>
      </c>
      <c r="D49" s="343">
        <f>9850</f>
        <v>9850</v>
      </c>
    </row>
    <row r="50" spans="1:4" x14ac:dyDescent="0.2">
      <c r="A50" s="342">
        <v>21050001</v>
      </c>
      <c r="B50" s="342" t="s">
        <v>95</v>
      </c>
      <c r="D50" s="343">
        <v>150</v>
      </c>
    </row>
    <row r="52" spans="1:4" x14ac:dyDescent="0.2">
      <c r="C52" s="343">
        <f>SUM(C48:C50)</f>
        <v>10000</v>
      </c>
      <c r="D52" s="343">
        <f>SUM(D48:D50)</f>
        <v>10000</v>
      </c>
    </row>
    <row r="55" spans="1:4" x14ac:dyDescent="0.2">
      <c r="B55" s="342" t="s">
        <v>768</v>
      </c>
    </row>
    <row r="57" spans="1:4" x14ac:dyDescent="0.2">
      <c r="A57" s="345" t="s">
        <v>726</v>
      </c>
      <c r="B57" s="345" t="s">
        <v>727</v>
      </c>
      <c r="C57" s="346" t="s">
        <v>761</v>
      </c>
      <c r="D57" s="346" t="s">
        <v>762</v>
      </c>
    </row>
    <row r="58" spans="1:4" x14ac:dyDescent="0.2">
      <c r="A58" s="347"/>
      <c r="B58" s="348" t="s">
        <v>769</v>
      </c>
      <c r="C58" s="343">
        <v>1000</v>
      </c>
    </row>
    <row r="59" spans="1:4" x14ac:dyDescent="0.2">
      <c r="A59" s="347"/>
      <c r="B59" s="348" t="s">
        <v>770</v>
      </c>
      <c r="D59" s="343">
        <v>1000</v>
      </c>
    </row>
    <row r="61" spans="1:4" x14ac:dyDescent="0.2">
      <c r="C61" s="343">
        <f>SUM(C58:C60)</f>
        <v>1000</v>
      </c>
      <c r="D61" s="343">
        <f>SUM(D58:D60)</f>
        <v>1000</v>
      </c>
    </row>
    <row r="64" spans="1:4" x14ac:dyDescent="0.2">
      <c r="B64" s="342" t="s">
        <v>771</v>
      </c>
    </row>
    <row r="66" spans="1:4" x14ac:dyDescent="0.2">
      <c r="A66" s="345" t="s">
        <v>726</v>
      </c>
      <c r="B66" s="345" t="s">
        <v>727</v>
      </c>
      <c r="C66" s="346" t="s">
        <v>761</v>
      </c>
      <c r="D66" s="346" t="s">
        <v>762</v>
      </c>
    </row>
    <row r="67" spans="1:4" x14ac:dyDescent="0.2">
      <c r="A67" s="342">
        <v>21020001</v>
      </c>
      <c r="B67" s="342" t="s">
        <v>88</v>
      </c>
      <c r="D67" s="343">
        <v>1120</v>
      </c>
    </row>
    <row r="68" spans="1:4" x14ac:dyDescent="0.2">
      <c r="B68" s="342" t="s">
        <v>772</v>
      </c>
      <c r="C68" s="343">
        <v>1000</v>
      </c>
    </row>
    <row r="69" spans="1:4" x14ac:dyDescent="0.2">
      <c r="A69" s="342">
        <v>11190002</v>
      </c>
      <c r="B69" s="342" t="s">
        <v>40</v>
      </c>
      <c r="C69" s="343">
        <v>160</v>
      </c>
    </row>
    <row r="70" spans="1:4" x14ac:dyDescent="0.2">
      <c r="B70" s="342" t="s">
        <v>773</v>
      </c>
      <c r="D70" s="343">
        <v>40</v>
      </c>
    </row>
    <row r="72" spans="1:4" x14ac:dyDescent="0.2">
      <c r="C72" s="343">
        <f>SUM(C67:C70)</f>
        <v>1160</v>
      </c>
      <c r="D72" s="343">
        <f>SUM(D67:D70)</f>
        <v>1160</v>
      </c>
    </row>
    <row r="74" spans="1:4" x14ac:dyDescent="0.2">
      <c r="B74" s="342" t="s">
        <v>774</v>
      </c>
    </row>
    <row r="76" spans="1:4" x14ac:dyDescent="0.2">
      <c r="A76" s="345" t="s">
        <v>726</v>
      </c>
      <c r="B76" s="345" t="s">
        <v>727</v>
      </c>
      <c r="C76" s="346" t="s">
        <v>761</v>
      </c>
      <c r="D76" s="346" t="s">
        <v>762</v>
      </c>
    </row>
    <row r="77" spans="1:4" x14ac:dyDescent="0.2">
      <c r="A77" s="342">
        <v>11040001</v>
      </c>
      <c r="B77" s="342" t="s">
        <v>15</v>
      </c>
      <c r="C77" s="343">
        <v>2320</v>
      </c>
      <c r="D77" s="342"/>
    </row>
    <row r="78" spans="1:4" x14ac:dyDescent="0.2">
      <c r="A78" s="342">
        <v>4101</v>
      </c>
      <c r="B78" s="342" t="s">
        <v>143</v>
      </c>
      <c r="D78" s="343">
        <v>2000</v>
      </c>
    </row>
    <row r="79" spans="1:4" x14ac:dyDescent="0.2">
      <c r="A79" s="342">
        <v>21060002</v>
      </c>
      <c r="B79" s="342" t="s">
        <v>109</v>
      </c>
      <c r="D79" s="343">
        <v>320</v>
      </c>
    </row>
    <row r="81" spans="1:4" x14ac:dyDescent="0.2">
      <c r="C81" s="343">
        <f>SUM(C77:C79)</f>
        <v>2320</v>
      </c>
      <c r="D81" s="343">
        <f>SUM(D77:D79)</f>
        <v>2320</v>
      </c>
    </row>
    <row r="83" spans="1:4" x14ac:dyDescent="0.2">
      <c r="B83" s="342" t="s">
        <v>775</v>
      </c>
    </row>
    <row r="85" spans="1:4" x14ac:dyDescent="0.2">
      <c r="A85" s="345" t="s">
        <v>726</v>
      </c>
      <c r="B85" s="345" t="s">
        <v>727</v>
      </c>
      <c r="C85" s="346" t="s">
        <v>761</v>
      </c>
      <c r="D85" s="346" t="s">
        <v>762</v>
      </c>
    </row>
    <row r="86" spans="1:4" x14ac:dyDescent="0.2">
      <c r="A86" s="342">
        <v>21020001</v>
      </c>
      <c r="B86" s="342" t="s">
        <v>88</v>
      </c>
      <c r="C86" s="343">
        <v>1120</v>
      </c>
    </row>
    <row r="87" spans="1:4" x14ac:dyDescent="0.2">
      <c r="A87" s="342">
        <v>1102</v>
      </c>
      <c r="B87" s="342" t="s">
        <v>7</v>
      </c>
      <c r="D87" s="343">
        <v>1120</v>
      </c>
    </row>
    <row r="88" spans="1:4" x14ac:dyDescent="0.2">
      <c r="A88" s="342">
        <v>11190001</v>
      </c>
      <c r="B88" s="342" t="s">
        <v>39</v>
      </c>
      <c r="C88" s="343">
        <v>160</v>
      </c>
    </row>
    <row r="89" spans="1:4" x14ac:dyDescent="0.2">
      <c r="A89" s="342">
        <v>11190002</v>
      </c>
      <c r="B89" s="342" t="s">
        <v>40</v>
      </c>
      <c r="D89" s="343">
        <v>160</v>
      </c>
    </row>
    <row r="90" spans="1:4" x14ac:dyDescent="0.2">
      <c r="B90" s="342" t="s">
        <v>773</v>
      </c>
      <c r="C90" s="343">
        <v>40</v>
      </c>
    </row>
    <row r="91" spans="1:4" x14ac:dyDescent="0.2">
      <c r="B91" s="342" t="s">
        <v>776</v>
      </c>
      <c r="D91" s="343">
        <v>40</v>
      </c>
    </row>
    <row r="93" spans="1:4" x14ac:dyDescent="0.2">
      <c r="C93" s="343">
        <f>SUM(C86:C91)</f>
        <v>1320</v>
      </c>
      <c r="D93" s="343">
        <f>SUM(D86:D91)</f>
        <v>1320</v>
      </c>
    </row>
    <row r="95" spans="1:4" x14ac:dyDescent="0.2">
      <c r="B95" s="342" t="s">
        <v>777</v>
      </c>
    </row>
    <row r="97" spans="1:5" x14ac:dyDescent="0.2">
      <c r="A97" s="345" t="s">
        <v>726</v>
      </c>
      <c r="B97" s="345" t="s">
        <v>727</v>
      </c>
      <c r="C97" s="346" t="s">
        <v>761</v>
      </c>
      <c r="D97" s="346" t="s">
        <v>762</v>
      </c>
    </row>
    <row r="98" spans="1:5" x14ac:dyDescent="0.2">
      <c r="A98" s="342">
        <v>11040001</v>
      </c>
      <c r="B98" s="342" t="s">
        <v>15</v>
      </c>
      <c r="D98" s="343">
        <v>2320</v>
      </c>
    </row>
    <row r="99" spans="1:5" x14ac:dyDescent="0.2">
      <c r="A99" s="342">
        <v>1102</v>
      </c>
      <c r="B99" s="342" t="s">
        <v>7</v>
      </c>
      <c r="C99" s="343">
        <v>2320</v>
      </c>
    </row>
    <row r="100" spans="1:5" x14ac:dyDescent="0.2">
      <c r="A100" s="342">
        <v>21060002</v>
      </c>
      <c r="B100" s="342" t="s">
        <v>109</v>
      </c>
      <c r="C100" s="343">
        <v>320</v>
      </c>
    </row>
    <row r="101" spans="1:5" x14ac:dyDescent="0.2">
      <c r="A101" s="342">
        <v>21060001</v>
      </c>
      <c r="B101" s="342" t="s">
        <v>108</v>
      </c>
      <c r="D101" s="343">
        <v>320</v>
      </c>
    </row>
    <row r="103" spans="1:5" x14ac:dyDescent="0.2">
      <c r="C103" s="343">
        <f>SUM(C98:C100)</f>
        <v>2640</v>
      </c>
      <c r="D103" s="343">
        <f>SUM(D98:D100)</f>
        <v>2320</v>
      </c>
    </row>
    <row r="106" spans="1:5" x14ac:dyDescent="0.2">
      <c r="B106" s="342" t="s">
        <v>778</v>
      </c>
    </row>
    <row r="108" spans="1:5" x14ac:dyDescent="0.2">
      <c r="A108" s="345" t="s">
        <v>726</v>
      </c>
      <c r="B108" s="345" t="s">
        <v>727</v>
      </c>
      <c r="C108" s="346" t="s">
        <v>761</v>
      </c>
      <c r="D108" s="346" t="s">
        <v>762</v>
      </c>
    </row>
    <row r="109" spans="1:5" ht="60" x14ac:dyDescent="0.2">
      <c r="A109" s="342">
        <v>11190001</v>
      </c>
      <c r="B109" s="342" t="s">
        <v>39</v>
      </c>
      <c r="D109" s="343">
        <f>D89-D91</f>
        <v>120</v>
      </c>
      <c r="E109" s="349" t="s">
        <v>779</v>
      </c>
    </row>
    <row r="110" spans="1:5" x14ac:dyDescent="0.2">
      <c r="A110" s="342">
        <v>21060001</v>
      </c>
      <c r="B110" s="342" t="s">
        <v>108</v>
      </c>
      <c r="C110" s="343">
        <v>320</v>
      </c>
    </row>
    <row r="111" spans="1:5" ht="25.5" x14ac:dyDescent="0.2">
      <c r="B111" s="350" t="s">
        <v>780</v>
      </c>
      <c r="D111" s="343">
        <v>30</v>
      </c>
    </row>
    <row r="112" spans="1:5" x14ac:dyDescent="0.2">
      <c r="A112" s="342">
        <v>21060005</v>
      </c>
      <c r="B112" s="342" t="s">
        <v>107</v>
      </c>
      <c r="D112" s="343">
        <v>170</v>
      </c>
    </row>
    <row r="114" spans="1:4" x14ac:dyDescent="0.2">
      <c r="C114" s="343">
        <f>SUM(C109:C112)</f>
        <v>320</v>
      </c>
      <c r="D114" s="343">
        <f>SUM(D109:D112)</f>
        <v>320</v>
      </c>
    </row>
    <row r="117" spans="1:4" x14ac:dyDescent="0.2">
      <c r="B117" s="342" t="s">
        <v>781</v>
      </c>
    </row>
    <row r="119" spans="1:4" x14ac:dyDescent="0.2">
      <c r="A119" s="345" t="s">
        <v>726</v>
      </c>
      <c r="B119" s="345" t="s">
        <v>727</v>
      </c>
      <c r="C119" s="346" t="s">
        <v>761</v>
      </c>
      <c r="D119" s="346" t="s">
        <v>762</v>
      </c>
    </row>
    <row r="120" spans="1:4" x14ac:dyDescent="0.2">
      <c r="A120" s="342">
        <v>21060005</v>
      </c>
      <c r="B120" s="342" t="s">
        <v>107</v>
      </c>
      <c r="C120" s="343">
        <v>170</v>
      </c>
    </row>
    <row r="121" spans="1:4" x14ac:dyDescent="0.2">
      <c r="A121" s="342">
        <v>1102</v>
      </c>
      <c r="B121" s="342" t="s">
        <v>7</v>
      </c>
      <c r="D121" s="343">
        <v>170</v>
      </c>
    </row>
    <row r="123" spans="1:4" x14ac:dyDescent="0.2">
      <c r="C123" s="343">
        <f>SUM(C120:C121)</f>
        <v>170</v>
      </c>
      <c r="D123" s="343">
        <f>SUM(D120:D121)</f>
        <v>170</v>
      </c>
    </row>
    <row r="126" spans="1:4" x14ac:dyDescent="0.2">
      <c r="B126" s="342" t="s">
        <v>782</v>
      </c>
    </row>
    <row r="128" spans="1:4" x14ac:dyDescent="0.2">
      <c r="A128" s="345" t="s">
        <v>726</v>
      </c>
      <c r="B128" s="345" t="s">
        <v>727</v>
      </c>
      <c r="C128" s="346" t="s">
        <v>761</v>
      </c>
      <c r="D128" s="346" t="s">
        <v>762</v>
      </c>
    </row>
    <row r="129" spans="1:4" x14ac:dyDescent="0.2">
      <c r="A129" s="347"/>
      <c r="B129" s="342" t="s">
        <v>783</v>
      </c>
      <c r="C129" s="343">
        <v>450</v>
      </c>
      <c r="D129" s="351"/>
    </row>
    <row r="130" spans="1:4" x14ac:dyDescent="0.2">
      <c r="A130" s="342">
        <v>21010001</v>
      </c>
      <c r="B130" s="342" t="s">
        <v>83</v>
      </c>
      <c r="D130" s="343">
        <v>400</v>
      </c>
    </row>
    <row r="131" spans="1:4" x14ac:dyDescent="0.2">
      <c r="A131" s="342">
        <v>21050001</v>
      </c>
      <c r="B131" s="342" t="s">
        <v>95</v>
      </c>
      <c r="D131" s="343">
        <v>20</v>
      </c>
    </row>
    <row r="132" spans="1:4" x14ac:dyDescent="0.2">
      <c r="A132" s="342">
        <v>21050004</v>
      </c>
      <c r="B132" s="342" t="s">
        <v>98</v>
      </c>
      <c r="D132" s="343">
        <v>30</v>
      </c>
    </row>
    <row r="133" spans="1:4" x14ac:dyDescent="0.2">
      <c r="A133" s="342">
        <v>21050005</v>
      </c>
      <c r="B133" s="342" t="s">
        <v>99</v>
      </c>
      <c r="D133" s="343">
        <v>25</v>
      </c>
    </row>
    <row r="134" spans="1:4" x14ac:dyDescent="0.2">
      <c r="A134" s="342">
        <v>21050006</v>
      </c>
      <c r="B134" s="342" t="s">
        <v>100</v>
      </c>
      <c r="D134" s="343">
        <v>20</v>
      </c>
    </row>
    <row r="135" spans="1:4" x14ac:dyDescent="0.2">
      <c r="A135" s="342">
        <v>21050007</v>
      </c>
      <c r="B135" s="342" t="s">
        <v>101</v>
      </c>
      <c r="D135" s="343">
        <v>10</v>
      </c>
    </row>
    <row r="136" spans="1:4" x14ac:dyDescent="0.2">
      <c r="A136" s="342">
        <v>61010213</v>
      </c>
      <c r="B136" s="342" t="s">
        <v>325</v>
      </c>
      <c r="C136" s="343">
        <v>25</v>
      </c>
    </row>
    <row r="137" spans="1:4" x14ac:dyDescent="0.2">
      <c r="A137" s="342">
        <v>61010214</v>
      </c>
      <c r="B137" s="342" t="s">
        <v>326</v>
      </c>
      <c r="C137" s="343">
        <v>20</v>
      </c>
    </row>
    <row r="138" spans="1:4" x14ac:dyDescent="0.2">
      <c r="A138" s="342">
        <v>61010215</v>
      </c>
      <c r="B138" s="342" t="s">
        <v>327</v>
      </c>
      <c r="C138" s="343">
        <v>10</v>
      </c>
    </row>
    <row r="142" spans="1:4" x14ac:dyDescent="0.2">
      <c r="C142" s="343">
        <f>SUM(C129:C141)</f>
        <v>505</v>
      </c>
      <c r="D142" s="343">
        <f>SUM(D129:D141)</f>
        <v>505</v>
      </c>
    </row>
    <row r="145" spans="1:4" x14ac:dyDescent="0.2">
      <c r="B145" s="342" t="s">
        <v>784</v>
      </c>
    </row>
    <row r="147" spans="1:4" x14ac:dyDescent="0.2">
      <c r="A147" s="345" t="s">
        <v>726</v>
      </c>
      <c r="B147" s="345" t="s">
        <v>727</v>
      </c>
      <c r="C147" s="346" t="s">
        <v>761</v>
      </c>
      <c r="D147" s="346" t="s">
        <v>762</v>
      </c>
    </row>
    <row r="148" spans="1:4" x14ac:dyDescent="0.2">
      <c r="A148" s="342">
        <v>21010001</v>
      </c>
      <c r="B148" s="342" t="s">
        <v>83</v>
      </c>
      <c r="C148" s="343">
        <v>400</v>
      </c>
    </row>
    <row r="149" spans="1:4" x14ac:dyDescent="0.2">
      <c r="A149" s="342">
        <v>1102</v>
      </c>
      <c r="B149" s="342" t="s">
        <v>7</v>
      </c>
      <c r="D149" s="343">
        <v>400</v>
      </c>
    </row>
    <row r="151" spans="1:4" x14ac:dyDescent="0.2">
      <c r="C151" s="343">
        <f>SUM(C148:C149)</f>
        <v>400</v>
      </c>
      <c r="D151" s="343">
        <f>SUM(D148:D149)</f>
        <v>400</v>
      </c>
    </row>
    <row r="154" spans="1:4" x14ac:dyDescent="0.2">
      <c r="B154" s="342" t="s">
        <v>785</v>
      </c>
    </row>
    <row r="156" spans="1:4" x14ac:dyDescent="0.2">
      <c r="A156" s="345" t="s">
        <v>726</v>
      </c>
      <c r="B156" s="345" t="s">
        <v>727</v>
      </c>
      <c r="C156" s="346" t="s">
        <v>761</v>
      </c>
      <c r="D156" s="346" t="s">
        <v>762</v>
      </c>
    </row>
    <row r="157" spans="1:4" x14ac:dyDescent="0.2">
      <c r="A157" s="342">
        <v>21050005</v>
      </c>
      <c r="B157" s="342" t="s">
        <v>99</v>
      </c>
      <c r="C157" s="343">
        <v>25</v>
      </c>
    </row>
    <row r="158" spans="1:4" x14ac:dyDescent="0.2">
      <c r="A158" s="342">
        <v>21050006</v>
      </c>
      <c r="B158" s="342" t="s">
        <v>100</v>
      </c>
      <c r="C158" s="343">
        <v>20</v>
      </c>
    </row>
    <row r="159" spans="1:4" x14ac:dyDescent="0.2">
      <c r="A159" s="342">
        <v>21050007</v>
      </c>
      <c r="B159" s="342" t="s">
        <v>101</v>
      </c>
      <c r="C159" s="343">
        <v>10</v>
      </c>
    </row>
    <row r="160" spans="1:4" x14ac:dyDescent="0.2">
      <c r="A160" s="342">
        <v>21050004</v>
      </c>
      <c r="B160" s="342" t="s">
        <v>98</v>
      </c>
      <c r="C160" s="343">
        <v>30</v>
      </c>
    </row>
    <row r="161" spans="1:4" x14ac:dyDescent="0.2">
      <c r="A161" s="342">
        <v>1102</v>
      </c>
      <c r="B161" s="342" t="s">
        <v>7</v>
      </c>
      <c r="D161" s="343">
        <v>85</v>
      </c>
    </row>
    <row r="163" spans="1:4" x14ac:dyDescent="0.2">
      <c r="C163" s="343">
        <f>SUM(C157:C161)</f>
        <v>85</v>
      </c>
      <c r="D163" s="343">
        <f>SUM(D157:D161)</f>
        <v>85</v>
      </c>
    </row>
    <row r="165" spans="1:4" x14ac:dyDescent="0.2">
      <c r="B165" s="342" t="s">
        <v>786</v>
      </c>
    </row>
    <row r="167" spans="1:4" x14ac:dyDescent="0.2">
      <c r="A167" s="345" t="s">
        <v>726</v>
      </c>
      <c r="B167" s="345" t="s">
        <v>727</v>
      </c>
      <c r="C167" s="346" t="s">
        <v>761</v>
      </c>
      <c r="D167" s="346" t="s">
        <v>762</v>
      </c>
    </row>
    <row r="168" spans="1:4" x14ac:dyDescent="0.2">
      <c r="A168" s="342">
        <v>21050001</v>
      </c>
      <c r="B168" s="342" t="s">
        <v>95</v>
      </c>
      <c r="C168" s="343">
        <v>20</v>
      </c>
    </row>
    <row r="169" spans="1:4" x14ac:dyDescent="0.2">
      <c r="A169" s="342">
        <v>1102</v>
      </c>
      <c r="B169" s="342" t="s">
        <v>7</v>
      </c>
      <c r="D169" s="343">
        <v>20</v>
      </c>
    </row>
    <row r="171" spans="1:4" x14ac:dyDescent="0.2">
      <c r="C171" s="343">
        <f>SUM(C168:C170)</f>
        <v>20</v>
      </c>
      <c r="D171" s="343">
        <f>SUM(D168:D170)</f>
        <v>20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E5CB-2BE7-445F-9DFF-32C557DDFCC0}">
  <dimension ref="A1:AR60"/>
  <sheetViews>
    <sheetView showGridLines="0" workbookViewId="0">
      <pane ySplit="3" topLeftCell="A4" activePane="bottomLeft" state="frozen"/>
      <selection activeCell="A4" sqref="A4"/>
      <selection pane="bottomLeft"/>
    </sheetView>
  </sheetViews>
  <sheetFormatPr baseColWidth="10" defaultColWidth="8.77734375" defaultRowHeight="15" x14ac:dyDescent="0.2"/>
  <sheetData>
    <row r="1" spans="1:44" s="261" customFormat="1" ht="12.75" x14ac:dyDescent="0.2"/>
    <row r="2" spans="1:44" s="261" customFormat="1" ht="12.75" x14ac:dyDescent="0.2"/>
    <row r="3" spans="1:44" s="266" customFormat="1" ht="13.5" thickBot="1" x14ac:dyDescent="0.25">
      <c r="A3" s="262"/>
      <c r="B3" s="262"/>
      <c r="C3" s="263"/>
      <c r="D3" s="263"/>
      <c r="E3" s="263"/>
      <c r="F3" s="264"/>
      <c r="G3" s="263"/>
      <c r="H3" s="263"/>
      <c r="I3" s="265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</row>
    <row r="4" spans="1:44" s="267" customFormat="1" ht="13.5" thickTop="1" x14ac:dyDescent="0.2"/>
    <row r="5" spans="1:44" s="267" customFormat="1" ht="12.75" x14ac:dyDescent="0.2">
      <c r="A5" s="268" t="s">
        <v>667</v>
      </c>
      <c r="B5" s="268"/>
      <c r="C5" s="268"/>
    </row>
    <row r="6" spans="1:44" s="267" customFormat="1" ht="12.75" x14ac:dyDescent="0.2"/>
    <row r="7" spans="1:44" s="267" customFormat="1" ht="12.75" x14ac:dyDescent="0.2"/>
    <row r="8" spans="1:44" s="267" customFormat="1" ht="12.75" x14ac:dyDescent="0.2"/>
    <row r="9" spans="1:44" s="267" customFormat="1" ht="12.75" x14ac:dyDescent="0.2"/>
    <row r="10" spans="1:44" s="267" customFormat="1" ht="12.75" x14ac:dyDescent="0.2"/>
    <row r="11" spans="1:44" s="267" customFormat="1" ht="12.75" x14ac:dyDescent="0.2"/>
    <row r="12" spans="1:44" s="267" customFormat="1" ht="12.75" x14ac:dyDescent="0.2"/>
    <row r="13" spans="1:44" s="267" customFormat="1" ht="12.75" x14ac:dyDescent="0.2"/>
    <row r="14" spans="1:44" s="267" customFormat="1" ht="12.75" x14ac:dyDescent="0.2"/>
    <row r="15" spans="1:44" s="267" customFormat="1" ht="12.75" x14ac:dyDescent="0.2"/>
    <row r="16" spans="1:44" s="267" customFormat="1" ht="12.75" x14ac:dyDescent="0.2"/>
    <row r="17" s="267" customFormat="1" ht="12.75" x14ac:dyDescent="0.2"/>
    <row r="18" s="267" customFormat="1" ht="12.75" x14ac:dyDescent="0.2"/>
    <row r="19" s="267" customFormat="1" ht="12.75" x14ac:dyDescent="0.2"/>
    <row r="20" s="267" customFormat="1" ht="12.75" x14ac:dyDescent="0.2"/>
    <row r="21" s="267" customFormat="1" ht="12.75" x14ac:dyDescent="0.2"/>
    <row r="22" s="267" customFormat="1" ht="12.75" x14ac:dyDescent="0.2"/>
    <row r="23" s="267" customFormat="1" ht="12.75" x14ac:dyDescent="0.2"/>
    <row r="24" s="267" customFormat="1" ht="12.75" x14ac:dyDescent="0.2"/>
    <row r="25" s="267" customFormat="1" ht="12.75" x14ac:dyDescent="0.2"/>
    <row r="26" s="267" customFormat="1" ht="12.75" x14ac:dyDescent="0.2"/>
    <row r="27" s="267" customFormat="1" ht="12.75" x14ac:dyDescent="0.2"/>
    <row r="28" s="267" customFormat="1" ht="12.75" x14ac:dyDescent="0.2"/>
    <row r="29" s="267" customFormat="1" ht="12.75" x14ac:dyDescent="0.2"/>
    <row r="30" s="267" customFormat="1" ht="12.75" x14ac:dyDescent="0.2"/>
    <row r="31" s="267" customFormat="1" ht="12.75" x14ac:dyDescent="0.2"/>
    <row r="32" s="267" customFormat="1" ht="12.75" x14ac:dyDescent="0.2"/>
    <row r="33" s="267" customFormat="1" ht="12.75" x14ac:dyDescent="0.2"/>
    <row r="34" s="267" customFormat="1" ht="12.75" x14ac:dyDescent="0.2"/>
    <row r="35" s="267" customFormat="1" ht="12.75" x14ac:dyDescent="0.2"/>
    <row r="36" s="267" customFormat="1" ht="12.75" x14ac:dyDescent="0.2"/>
    <row r="37" s="267" customFormat="1" ht="12.75" x14ac:dyDescent="0.2"/>
    <row r="38" s="267" customFormat="1" ht="12.75" x14ac:dyDescent="0.2"/>
    <row r="39" s="267" customFormat="1" ht="12.75" x14ac:dyDescent="0.2"/>
    <row r="40" s="267" customFormat="1" ht="12.75" x14ac:dyDescent="0.2"/>
    <row r="41" s="267" customFormat="1" ht="12.75" x14ac:dyDescent="0.2"/>
    <row r="42" s="267" customFormat="1" ht="12.75" x14ac:dyDescent="0.2"/>
    <row r="43" s="267" customFormat="1" ht="12.75" x14ac:dyDescent="0.2"/>
    <row r="44" s="267" customFormat="1" ht="12.75" x14ac:dyDescent="0.2"/>
    <row r="45" s="267" customFormat="1" ht="12.75" x14ac:dyDescent="0.2"/>
    <row r="46" s="267" customFormat="1" ht="12.75" x14ac:dyDescent="0.2"/>
    <row r="47" s="267" customFormat="1" ht="12.75" x14ac:dyDescent="0.2"/>
    <row r="48" s="267" customFormat="1" ht="12.75" x14ac:dyDescent="0.2"/>
    <row r="49" s="267" customFormat="1" ht="12.75" x14ac:dyDescent="0.2"/>
    <row r="50" s="267" customFormat="1" ht="12.75" x14ac:dyDescent="0.2"/>
    <row r="51" s="267" customFormat="1" ht="12.75" x14ac:dyDescent="0.2"/>
    <row r="52" s="267" customFormat="1" ht="12.75" x14ac:dyDescent="0.2"/>
    <row r="53" s="267" customFormat="1" ht="12.75" x14ac:dyDescent="0.2"/>
    <row r="54" s="267" customFormat="1" ht="12.75" x14ac:dyDescent="0.2"/>
    <row r="55" s="267" customFormat="1" ht="12.75" x14ac:dyDescent="0.2"/>
    <row r="56" s="267" customFormat="1" ht="12.75" x14ac:dyDescent="0.2"/>
    <row r="57" s="267" customFormat="1" ht="12.75" x14ac:dyDescent="0.2"/>
    <row r="58" s="267" customFormat="1" ht="12.75" x14ac:dyDescent="0.2"/>
    <row r="59" s="267" customFormat="1" ht="12.75" x14ac:dyDescent="0.2"/>
    <row r="60" s="267" customFormat="1" ht="12.75" x14ac:dyDescent="0.2"/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8A2A8-FF3F-4501-8AD6-EC082976B7F5}">
  <dimension ref="B3:S58"/>
  <sheetViews>
    <sheetView showGridLines="0" workbookViewId="0">
      <selection activeCell="G4" sqref="G4"/>
    </sheetView>
  </sheetViews>
  <sheetFormatPr baseColWidth="10" defaultColWidth="8.77734375" defaultRowHeight="15" x14ac:dyDescent="0.2"/>
  <cols>
    <col min="1" max="1" width="2.109375" customWidth="1"/>
    <col min="2" max="8" width="5.44140625" customWidth="1"/>
    <col min="9" max="9" width="3.77734375" customWidth="1"/>
    <col min="10" max="16" width="5.44140625" customWidth="1"/>
    <col min="17" max="17" width="2.109375" customWidth="1"/>
  </cols>
  <sheetData>
    <row r="3" spans="2:19" ht="18.75" x14ac:dyDescent="0.3">
      <c r="G3" s="733" t="s">
        <v>538</v>
      </c>
      <c r="H3" s="733"/>
      <c r="I3" s="733"/>
      <c r="J3" s="733"/>
      <c r="K3" s="733"/>
    </row>
    <row r="4" spans="2:19" ht="19.5" x14ac:dyDescent="0.3">
      <c r="G4" s="176" t="s">
        <v>1049</v>
      </c>
      <c r="P4" s="177"/>
    </row>
    <row r="5" spans="2:19" ht="15.75" x14ac:dyDescent="0.25">
      <c r="B5" s="178"/>
    </row>
    <row r="6" spans="2:19" ht="18" x14ac:dyDescent="0.25">
      <c r="B6" s="179"/>
      <c r="C6" s="180"/>
      <c r="D6" s="734" t="s">
        <v>1050</v>
      </c>
      <c r="E6" s="735"/>
      <c r="F6" s="735"/>
      <c r="G6" s="180"/>
      <c r="H6" s="181"/>
      <c r="J6" s="182"/>
      <c r="K6" s="183"/>
      <c r="L6" s="731" t="s">
        <v>1051</v>
      </c>
      <c r="M6" s="732"/>
      <c r="N6" s="732"/>
      <c r="O6" s="183"/>
      <c r="P6" s="184"/>
    </row>
    <row r="7" spans="2:19" x14ac:dyDescent="0.2">
      <c r="B7" s="185" t="s">
        <v>539</v>
      </c>
      <c r="C7" s="186" t="s">
        <v>540</v>
      </c>
      <c r="D7" s="186" t="s">
        <v>541</v>
      </c>
      <c r="E7" s="186" t="s">
        <v>542</v>
      </c>
      <c r="F7" s="186" t="s">
        <v>543</v>
      </c>
      <c r="G7" s="186" t="s">
        <v>544</v>
      </c>
      <c r="H7" s="187" t="s">
        <v>545</v>
      </c>
      <c r="J7" s="188" t="s">
        <v>539</v>
      </c>
      <c r="K7" s="189" t="s">
        <v>540</v>
      </c>
      <c r="L7" s="189" t="s">
        <v>541</v>
      </c>
      <c r="M7" s="189" t="s">
        <v>542</v>
      </c>
      <c r="N7" s="189" t="s">
        <v>543</v>
      </c>
      <c r="O7" s="189" t="s">
        <v>544</v>
      </c>
      <c r="P7" s="190" t="s">
        <v>545</v>
      </c>
      <c r="S7" t="s">
        <v>597</v>
      </c>
    </row>
    <row r="8" spans="2:19" x14ac:dyDescent="0.2">
      <c r="B8" s="535"/>
      <c r="C8" s="536"/>
      <c r="D8" s="536"/>
      <c r="E8" s="536"/>
      <c r="F8" s="536"/>
      <c r="G8" s="536"/>
      <c r="H8" s="541">
        <v>44927</v>
      </c>
      <c r="J8" s="546"/>
      <c r="K8" s="547"/>
      <c r="L8" s="554">
        <v>44958</v>
      </c>
      <c r="M8" s="554">
        <v>44959</v>
      </c>
      <c r="N8" s="554">
        <v>44960</v>
      </c>
      <c r="O8" s="554">
        <v>44961</v>
      </c>
      <c r="P8" s="552">
        <v>44962</v>
      </c>
      <c r="S8" t="s">
        <v>596</v>
      </c>
    </row>
    <row r="9" spans="2:19" x14ac:dyDescent="0.2">
      <c r="B9" s="542">
        <v>44928</v>
      </c>
      <c r="C9" s="543">
        <v>44929</v>
      </c>
      <c r="D9" s="543">
        <v>44930</v>
      </c>
      <c r="E9" s="543">
        <v>44931</v>
      </c>
      <c r="F9" s="543">
        <v>44932</v>
      </c>
      <c r="G9" s="543">
        <v>44933</v>
      </c>
      <c r="H9" s="541">
        <v>44934</v>
      </c>
      <c r="J9" s="553">
        <v>44963</v>
      </c>
      <c r="K9" s="554">
        <v>44964</v>
      </c>
      <c r="L9" s="554">
        <v>44965</v>
      </c>
      <c r="M9" s="554">
        <v>44966</v>
      </c>
      <c r="N9" s="554">
        <v>44967</v>
      </c>
      <c r="O9" s="554">
        <v>44968</v>
      </c>
      <c r="P9" s="552">
        <v>44969</v>
      </c>
    </row>
    <row r="10" spans="2:19" x14ac:dyDescent="0.2">
      <c r="B10" s="542">
        <v>44935</v>
      </c>
      <c r="C10" s="543">
        <v>44936</v>
      </c>
      <c r="D10" s="543">
        <v>44937</v>
      </c>
      <c r="E10" s="543">
        <v>44938</v>
      </c>
      <c r="F10" s="543">
        <v>44939</v>
      </c>
      <c r="G10" s="543">
        <v>44940</v>
      </c>
      <c r="H10" s="541">
        <v>44941</v>
      </c>
      <c r="J10" s="553">
        <v>44970</v>
      </c>
      <c r="K10" s="554">
        <v>44971</v>
      </c>
      <c r="L10" s="554">
        <v>44972</v>
      </c>
      <c r="M10" s="554">
        <v>44973</v>
      </c>
      <c r="N10" s="554">
        <v>44974</v>
      </c>
      <c r="O10" s="554">
        <v>44975</v>
      </c>
      <c r="P10" s="552">
        <v>44976</v>
      </c>
    </row>
    <row r="11" spans="2:19" x14ac:dyDescent="0.2">
      <c r="B11" s="542">
        <v>44942</v>
      </c>
      <c r="C11" s="543">
        <v>44943</v>
      </c>
      <c r="D11" s="543">
        <v>44944</v>
      </c>
      <c r="E11" s="543">
        <v>44945</v>
      </c>
      <c r="F11" s="543">
        <v>44946</v>
      </c>
      <c r="G11" s="543">
        <v>44947</v>
      </c>
      <c r="H11" s="541">
        <v>44948</v>
      </c>
      <c r="J11" s="553">
        <v>44977</v>
      </c>
      <c r="K11" s="554">
        <v>44978</v>
      </c>
      <c r="L11" s="554">
        <v>44979</v>
      </c>
      <c r="M11" s="554">
        <v>44980</v>
      </c>
      <c r="N11" s="554">
        <v>44981</v>
      </c>
      <c r="O11" s="554">
        <v>44982</v>
      </c>
      <c r="P11" s="552">
        <v>44983</v>
      </c>
    </row>
    <row r="12" spans="2:19" x14ac:dyDescent="0.2">
      <c r="B12" s="542">
        <v>44949</v>
      </c>
      <c r="C12" s="543">
        <v>44950</v>
      </c>
      <c r="D12" s="543">
        <v>44951</v>
      </c>
      <c r="E12" s="543">
        <v>44952</v>
      </c>
      <c r="F12" s="543">
        <v>44953</v>
      </c>
      <c r="G12" s="543">
        <v>44954</v>
      </c>
      <c r="H12" s="541">
        <v>44955</v>
      </c>
      <c r="J12" s="553">
        <v>44984</v>
      </c>
      <c r="K12" s="554">
        <v>44985</v>
      </c>
      <c r="L12" s="547"/>
      <c r="M12" s="547"/>
      <c r="N12" s="547"/>
      <c r="O12" s="547"/>
      <c r="P12" s="551"/>
    </row>
    <row r="13" spans="2:19" x14ac:dyDescent="0.2">
      <c r="B13" s="540">
        <v>44956</v>
      </c>
      <c r="C13" s="539">
        <v>44957</v>
      </c>
      <c r="D13" s="537"/>
      <c r="E13" s="537"/>
      <c r="F13" s="537"/>
      <c r="G13" s="537"/>
      <c r="H13" s="538"/>
      <c r="J13" s="548"/>
      <c r="K13" s="549"/>
      <c r="L13" s="549"/>
      <c r="M13" s="549"/>
      <c r="N13" s="549"/>
      <c r="O13" s="549"/>
      <c r="P13" s="550"/>
    </row>
    <row r="14" spans="2:19" x14ac:dyDescent="0.2">
      <c r="B14" s="544"/>
      <c r="C14" s="544"/>
      <c r="D14" s="545"/>
      <c r="E14" s="545"/>
      <c r="F14" s="545"/>
      <c r="G14" s="545"/>
      <c r="H14" s="545"/>
      <c r="J14" s="192"/>
      <c r="K14" s="192"/>
      <c r="L14" s="192"/>
      <c r="M14" s="192"/>
      <c r="N14" s="192"/>
      <c r="O14" s="192"/>
      <c r="P14" s="192"/>
    </row>
    <row r="15" spans="2:19" ht="18" x14ac:dyDescent="0.25">
      <c r="B15" s="182"/>
      <c r="C15" s="183"/>
      <c r="D15" s="731" t="s">
        <v>1056</v>
      </c>
      <c r="E15" s="732"/>
      <c r="F15" s="732"/>
      <c r="G15" s="183"/>
      <c r="H15" s="184"/>
      <c r="J15" s="182"/>
      <c r="K15" s="183"/>
      <c r="L15" s="731" t="s">
        <v>1052</v>
      </c>
      <c r="M15" s="732"/>
      <c r="N15" s="732"/>
      <c r="O15" s="183"/>
      <c r="P15" s="184"/>
    </row>
    <row r="16" spans="2:19" x14ac:dyDescent="0.2">
      <c r="B16" s="188" t="s">
        <v>539</v>
      </c>
      <c r="C16" s="189" t="s">
        <v>540</v>
      </c>
      <c r="D16" s="189" t="s">
        <v>541</v>
      </c>
      <c r="E16" s="189" t="s">
        <v>542</v>
      </c>
      <c r="F16" s="189" t="s">
        <v>543</v>
      </c>
      <c r="G16" s="189" t="s">
        <v>544</v>
      </c>
      <c r="H16" s="190" t="s">
        <v>545</v>
      </c>
      <c r="J16" s="188" t="s">
        <v>539</v>
      </c>
      <c r="K16" s="189" t="s">
        <v>540</v>
      </c>
      <c r="L16" s="189" t="s">
        <v>541</v>
      </c>
      <c r="M16" s="189" t="s">
        <v>542</v>
      </c>
      <c r="N16" s="189" t="s">
        <v>543</v>
      </c>
      <c r="O16" s="189" t="s">
        <v>544</v>
      </c>
      <c r="P16" s="190" t="s">
        <v>545</v>
      </c>
    </row>
    <row r="17" spans="2:16" x14ac:dyDescent="0.2">
      <c r="B17" s="555"/>
      <c r="C17" s="556"/>
      <c r="D17" s="563">
        <v>44986</v>
      </c>
      <c r="E17" s="563">
        <v>44987</v>
      </c>
      <c r="F17" s="563">
        <v>44988</v>
      </c>
      <c r="G17" s="563">
        <v>44989</v>
      </c>
      <c r="H17" s="561">
        <v>44990</v>
      </c>
      <c r="J17" s="564"/>
      <c r="K17" s="565"/>
      <c r="L17" s="565"/>
      <c r="M17" s="565"/>
      <c r="N17" s="565"/>
      <c r="O17" s="571">
        <v>45017</v>
      </c>
      <c r="P17" s="569">
        <v>45018</v>
      </c>
    </row>
    <row r="18" spans="2:16" x14ac:dyDescent="0.2">
      <c r="B18" s="562">
        <v>44991</v>
      </c>
      <c r="C18" s="563">
        <v>44992</v>
      </c>
      <c r="D18" s="563">
        <v>44993</v>
      </c>
      <c r="E18" s="563">
        <v>44994</v>
      </c>
      <c r="F18" s="563">
        <v>44995</v>
      </c>
      <c r="G18" s="563">
        <v>44996</v>
      </c>
      <c r="H18" s="561">
        <v>44997</v>
      </c>
      <c r="J18" s="570">
        <v>45019</v>
      </c>
      <c r="K18" s="571">
        <v>45020</v>
      </c>
      <c r="L18" s="571">
        <v>45021</v>
      </c>
      <c r="M18" s="571">
        <v>45022</v>
      </c>
      <c r="N18" s="571">
        <v>45023</v>
      </c>
      <c r="O18" s="571">
        <v>45024</v>
      </c>
      <c r="P18" s="569">
        <v>45025</v>
      </c>
    </row>
    <row r="19" spans="2:16" x14ac:dyDescent="0.2">
      <c r="B19" s="562">
        <v>44998</v>
      </c>
      <c r="C19" s="563">
        <v>44999</v>
      </c>
      <c r="D19" s="563">
        <v>45000</v>
      </c>
      <c r="E19" s="563">
        <v>45001</v>
      </c>
      <c r="F19" s="563">
        <v>45002</v>
      </c>
      <c r="G19" s="563">
        <v>45003</v>
      </c>
      <c r="H19" s="561">
        <v>45004</v>
      </c>
      <c r="J19" s="570">
        <v>45026</v>
      </c>
      <c r="K19" s="571">
        <v>45027</v>
      </c>
      <c r="L19" s="571">
        <v>45028</v>
      </c>
      <c r="M19" s="571">
        <v>45029</v>
      </c>
      <c r="N19" s="571">
        <v>45030</v>
      </c>
      <c r="O19" s="571">
        <v>45031</v>
      </c>
      <c r="P19" s="569">
        <v>45032</v>
      </c>
    </row>
    <row r="20" spans="2:16" x14ac:dyDescent="0.2">
      <c r="B20" s="562">
        <v>45005</v>
      </c>
      <c r="C20" s="563">
        <v>45006</v>
      </c>
      <c r="D20" s="563">
        <v>45007</v>
      </c>
      <c r="E20" s="563">
        <v>45008</v>
      </c>
      <c r="F20" s="563">
        <v>45009</v>
      </c>
      <c r="G20" s="563">
        <v>45010</v>
      </c>
      <c r="H20" s="561">
        <v>45011</v>
      </c>
      <c r="J20" s="570">
        <v>45033</v>
      </c>
      <c r="K20" s="571">
        <v>45034</v>
      </c>
      <c r="L20" s="571">
        <v>45035</v>
      </c>
      <c r="M20" s="571">
        <v>45036</v>
      </c>
      <c r="N20" s="571">
        <v>45037</v>
      </c>
      <c r="O20" s="571">
        <v>45038</v>
      </c>
      <c r="P20" s="569">
        <v>45039</v>
      </c>
    </row>
    <row r="21" spans="2:16" x14ac:dyDescent="0.2">
      <c r="B21" s="562">
        <v>45012</v>
      </c>
      <c r="C21" s="563">
        <v>45013</v>
      </c>
      <c r="D21" s="563">
        <v>45014</v>
      </c>
      <c r="E21" s="563">
        <v>45015</v>
      </c>
      <c r="F21" s="563">
        <v>45016</v>
      </c>
      <c r="G21" s="556"/>
      <c r="H21" s="560"/>
      <c r="J21" s="570">
        <v>45040</v>
      </c>
      <c r="K21" s="571">
        <v>45041</v>
      </c>
      <c r="L21" s="571">
        <v>45042</v>
      </c>
      <c r="M21" s="571">
        <v>45043</v>
      </c>
      <c r="N21" s="571">
        <v>45044</v>
      </c>
      <c r="O21" s="571">
        <v>45045</v>
      </c>
      <c r="P21" s="569">
        <v>45046</v>
      </c>
    </row>
    <row r="22" spans="2:16" x14ac:dyDescent="0.2">
      <c r="B22" s="557"/>
      <c r="C22" s="558"/>
      <c r="D22" s="558"/>
      <c r="E22" s="558"/>
      <c r="F22" s="558"/>
      <c r="G22" s="558"/>
      <c r="H22" s="559"/>
      <c r="J22" s="566"/>
      <c r="K22" s="567"/>
      <c r="L22" s="567"/>
      <c r="M22" s="567"/>
      <c r="N22" s="567"/>
      <c r="O22" s="567"/>
      <c r="P22" s="568"/>
    </row>
    <row r="23" spans="2:16" ht="18" x14ac:dyDescent="0.25">
      <c r="B23" s="182"/>
      <c r="C23" s="183"/>
      <c r="D23" s="731" t="s">
        <v>1057</v>
      </c>
      <c r="E23" s="732"/>
      <c r="F23" s="732"/>
      <c r="G23" s="183"/>
      <c r="H23" s="184"/>
      <c r="J23" s="182"/>
      <c r="K23" s="183"/>
      <c r="L23" s="731" t="s">
        <v>1053</v>
      </c>
      <c r="M23" s="732"/>
      <c r="N23" s="732"/>
      <c r="O23" s="183"/>
      <c r="P23" s="184"/>
    </row>
    <row r="24" spans="2:16" x14ac:dyDescent="0.2">
      <c r="B24" s="188" t="s">
        <v>539</v>
      </c>
      <c r="C24" s="189" t="s">
        <v>540</v>
      </c>
      <c r="D24" s="189" t="s">
        <v>541</v>
      </c>
      <c r="E24" s="189" t="s">
        <v>542</v>
      </c>
      <c r="F24" s="189" t="s">
        <v>543</v>
      </c>
      <c r="G24" s="189" t="s">
        <v>544</v>
      </c>
      <c r="H24" s="190" t="s">
        <v>545</v>
      </c>
      <c r="J24" s="188" t="s">
        <v>539</v>
      </c>
      <c r="K24" s="189" t="s">
        <v>540</v>
      </c>
      <c r="L24" s="189" t="s">
        <v>541</v>
      </c>
      <c r="M24" s="189" t="s">
        <v>542</v>
      </c>
      <c r="N24" s="189" t="s">
        <v>543</v>
      </c>
      <c r="O24" s="189" t="s">
        <v>544</v>
      </c>
      <c r="P24" s="190" t="s">
        <v>545</v>
      </c>
    </row>
    <row r="25" spans="2:16" x14ac:dyDescent="0.2">
      <c r="B25" s="578">
        <v>45047</v>
      </c>
      <c r="C25" s="579">
        <v>45048</v>
      </c>
      <c r="D25" s="579">
        <v>45049</v>
      </c>
      <c r="E25" s="579">
        <v>45050</v>
      </c>
      <c r="F25" s="579">
        <v>45051</v>
      </c>
      <c r="G25" s="579">
        <v>45052</v>
      </c>
      <c r="H25" s="577">
        <v>45053</v>
      </c>
      <c r="J25" s="580"/>
      <c r="K25" s="581"/>
      <c r="L25" s="581"/>
      <c r="M25" s="588">
        <v>45078</v>
      </c>
      <c r="N25" s="588">
        <v>45079</v>
      </c>
      <c r="O25" s="588">
        <v>45080</v>
      </c>
      <c r="P25" s="586">
        <v>45081</v>
      </c>
    </row>
    <row r="26" spans="2:16" x14ac:dyDescent="0.2">
      <c r="B26" s="578">
        <v>45054</v>
      </c>
      <c r="C26" s="579">
        <v>45055</v>
      </c>
      <c r="D26" s="579">
        <v>45056</v>
      </c>
      <c r="E26" s="579">
        <v>45057</v>
      </c>
      <c r="F26" s="579">
        <v>45058</v>
      </c>
      <c r="G26" s="579">
        <v>45059</v>
      </c>
      <c r="H26" s="577">
        <v>45060</v>
      </c>
      <c r="J26" s="587">
        <v>45082</v>
      </c>
      <c r="K26" s="588">
        <v>45083</v>
      </c>
      <c r="L26" s="588">
        <v>45084</v>
      </c>
      <c r="M26" s="588">
        <v>45085</v>
      </c>
      <c r="N26" s="588">
        <v>45086</v>
      </c>
      <c r="O26" s="588">
        <v>45087</v>
      </c>
      <c r="P26" s="586">
        <v>45088</v>
      </c>
    </row>
    <row r="27" spans="2:16" x14ac:dyDescent="0.2">
      <c r="B27" s="578">
        <v>45061</v>
      </c>
      <c r="C27" s="579">
        <v>45062</v>
      </c>
      <c r="D27" s="579">
        <v>45063</v>
      </c>
      <c r="E27" s="579">
        <v>45064</v>
      </c>
      <c r="F27" s="579">
        <v>45065</v>
      </c>
      <c r="G27" s="579">
        <v>45066</v>
      </c>
      <c r="H27" s="577">
        <v>45067</v>
      </c>
      <c r="J27" s="587">
        <v>45089</v>
      </c>
      <c r="K27" s="588">
        <v>45090</v>
      </c>
      <c r="L27" s="588">
        <v>45091</v>
      </c>
      <c r="M27" s="588">
        <v>45092</v>
      </c>
      <c r="N27" s="588">
        <v>45093</v>
      </c>
      <c r="O27" s="588">
        <v>45094</v>
      </c>
      <c r="P27" s="586">
        <v>45095</v>
      </c>
    </row>
    <row r="28" spans="2:16" x14ac:dyDescent="0.2">
      <c r="B28" s="578">
        <v>45068</v>
      </c>
      <c r="C28" s="579">
        <v>45069</v>
      </c>
      <c r="D28" s="579">
        <v>45070</v>
      </c>
      <c r="E28" s="579">
        <v>45071</v>
      </c>
      <c r="F28" s="579">
        <v>45072</v>
      </c>
      <c r="G28" s="579">
        <v>45073</v>
      </c>
      <c r="H28" s="577">
        <v>45074</v>
      </c>
      <c r="J28" s="587">
        <v>45096</v>
      </c>
      <c r="K28" s="588">
        <v>45097</v>
      </c>
      <c r="L28" s="588">
        <v>45098</v>
      </c>
      <c r="M28" s="588">
        <v>45099</v>
      </c>
      <c r="N28" s="588">
        <v>45100</v>
      </c>
      <c r="O28" s="588">
        <v>45101</v>
      </c>
      <c r="P28" s="586">
        <v>45102</v>
      </c>
    </row>
    <row r="29" spans="2:16" x14ac:dyDescent="0.2">
      <c r="B29" s="578">
        <v>45075</v>
      </c>
      <c r="C29" s="579">
        <v>45076</v>
      </c>
      <c r="D29" s="579">
        <v>45077</v>
      </c>
      <c r="E29" s="572"/>
      <c r="F29" s="572"/>
      <c r="G29" s="572"/>
      <c r="H29" s="576"/>
      <c r="J29" s="587">
        <v>45103</v>
      </c>
      <c r="K29" s="588">
        <v>45104</v>
      </c>
      <c r="L29" s="588">
        <v>45105</v>
      </c>
      <c r="M29" s="588">
        <v>45106</v>
      </c>
      <c r="N29" s="588">
        <v>45107</v>
      </c>
      <c r="O29" s="581"/>
      <c r="P29" s="585"/>
    </row>
    <row r="30" spans="2:16" x14ac:dyDescent="0.2">
      <c r="B30" s="573"/>
      <c r="C30" s="574"/>
      <c r="D30" s="574"/>
      <c r="E30" s="574"/>
      <c r="F30" s="574"/>
      <c r="G30" s="574"/>
      <c r="H30" s="575"/>
      <c r="J30" s="582"/>
      <c r="K30" s="583"/>
      <c r="L30" s="583"/>
      <c r="M30" s="583"/>
      <c r="N30" s="583"/>
      <c r="O30" s="583"/>
      <c r="P30" s="584"/>
    </row>
    <row r="31" spans="2:16" x14ac:dyDescent="0.2">
      <c r="B31" s="192"/>
      <c r="C31" s="192"/>
      <c r="D31" s="192"/>
      <c r="E31" s="192"/>
      <c r="F31" s="192"/>
      <c r="G31" s="192"/>
      <c r="H31" s="192"/>
    </row>
    <row r="32" spans="2:16" ht="18" x14ac:dyDescent="0.25">
      <c r="B32" s="182"/>
      <c r="C32" s="183"/>
      <c r="D32" s="731" t="s">
        <v>1058</v>
      </c>
      <c r="E32" s="732"/>
      <c r="F32" s="732"/>
      <c r="G32" s="183"/>
      <c r="H32" s="184"/>
      <c r="J32" s="182"/>
      <c r="K32" s="183"/>
      <c r="L32" s="731" t="s">
        <v>1054</v>
      </c>
      <c r="M32" s="732"/>
      <c r="N32" s="732"/>
      <c r="O32" s="183"/>
      <c r="P32" s="184"/>
    </row>
    <row r="33" spans="2:16" x14ac:dyDescent="0.2">
      <c r="B33" s="188" t="s">
        <v>539</v>
      </c>
      <c r="C33" s="189" t="s">
        <v>540</v>
      </c>
      <c r="D33" s="189" t="s">
        <v>541</v>
      </c>
      <c r="E33" s="189" t="s">
        <v>542</v>
      </c>
      <c r="F33" s="189" t="s">
        <v>543</v>
      </c>
      <c r="G33" s="189" t="s">
        <v>544</v>
      </c>
      <c r="H33" s="190" t="s">
        <v>545</v>
      </c>
      <c r="J33" s="188" t="s">
        <v>539</v>
      </c>
      <c r="K33" s="189" t="s">
        <v>540</v>
      </c>
      <c r="L33" s="189" t="s">
        <v>541</v>
      </c>
      <c r="M33" s="189" t="s">
        <v>542</v>
      </c>
      <c r="N33" s="189" t="s">
        <v>543</v>
      </c>
      <c r="O33" s="189" t="s">
        <v>544</v>
      </c>
      <c r="P33" s="190" t="s">
        <v>545</v>
      </c>
    </row>
    <row r="34" spans="2:16" x14ac:dyDescent="0.2">
      <c r="B34" s="589"/>
      <c r="C34" s="590"/>
      <c r="D34" s="590"/>
      <c r="E34" s="590"/>
      <c r="F34" s="590"/>
      <c r="G34" s="596">
        <v>45108</v>
      </c>
      <c r="H34" s="594">
        <v>45109</v>
      </c>
      <c r="J34" s="597"/>
      <c r="K34" s="605">
        <v>45139</v>
      </c>
      <c r="L34" s="605">
        <v>45140</v>
      </c>
      <c r="M34" s="605">
        <v>45141</v>
      </c>
      <c r="N34" s="605">
        <v>45142</v>
      </c>
      <c r="O34" s="605">
        <v>45143</v>
      </c>
      <c r="P34" s="603">
        <v>45144</v>
      </c>
    </row>
    <row r="35" spans="2:16" x14ac:dyDescent="0.2">
      <c r="B35" s="595">
        <v>45110</v>
      </c>
      <c r="C35" s="596">
        <v>45111</v>
      </c>
      <c r="D35" s="596">
        <v>45112</v>
      </c>
      <c r="E35" s="596">
        <v>45113</v>
      </c>
      <c r="F35" s="596">
        <v>45114</v>
      </c>
      <c r="G35" s="596">
        <v>45115</v>
      </c>
      <c r="H35" s="594">
        <v>45116</v>
      </c>
      <c r="J35" s="604">
        <v>45145</v>
      </c>
      <c r="K35" s="605">
        <v>45146</v>
      </c>
      <c r="L35" s="605">
        <v>45147</v>
      </c>
      <c r="M35" s="605">
        <v>45148</v>
      </c>
      <c r="N35" s="605">
        <v>45149</v>
      </c>
      <c r="O35" s="605">
        <v>45150</v>
      </c>
      <c r="P35" s="603">
        <v>45151</v>
      </c>
    </row>
    <row r="36" spans="2:16" x14ac:dyDescent="0.2">
      <c r="B36" s="595">
        <v>45117</v>
      </c>
      <c r="C36" s="596">
        <v>45118</v>
      </c>
      <c r="D36" s="596">
        <v>45119</v>
      </c>
      <c r="E36" s="596">
        <v>45120</v>
      </c>
      <c r="F36" s="596">
        <v>45121</v>
      </c>
      <c r="G36" s="596">
        <v>45122</v>
      </c>
      <c r="H36" s="594">
        <v>45123</v>
      </c>
      <c r="J36" s="604">
        <v>45152</v>
      </c>
      <c r="K36" s="605">
        <v>45153</v>
      </c>
      <c r="L36" s="605">
        <v>45154</v>
      </c>
      <c r="M36" s="605">
        <v>45155</v>
      </c>
      <c r="N36" s="605">
        <v>45156</v>
      </c>
      <c r="O36" s="605">
        <v>45157</v>
      </c>
      <c r="P36" s="603">
        <v>45158</v>
      </c>
    </row>
    <row r="37" spans="2:16" x14ac:dyDescent="0.2">
      <c r="B37" s="595">
        <v>45124</v>
      </c>
      <c r="C37" s="596">
        <v>45125</v>
      </c>
      <c r="D37" s="596">
        <v>45126</v>
      </c>
      <c r="E37" s="596">
        <v>45127</v>
      </c>
      <c r="F37" s="596">
        <v>45128</v>
      </c>
      <c r="G37" s="596">
        <v>45129</v>
      </c>
      <c r="H37" s="594">
        <v>45130</v>
      </c>
      <c r="J37" s="604">
        <v>45159</v>
      </c>
      <c r="K37" s="605">
        <v>45160</v>
      </c>
      <c r="L37" s="605">
        <v>45161</v>
      </c>
      <c r="M37" s="605">
        <v>45162</v>
      </c>
      <c r="N37" s="605">
        <v>45163</v>
      </c>
      <c r="O37" s="605">
        <v>45164</v>
      </c>
      <c r="P37" s="603">
        <v>45165</v>
      </c>
    </row>
    <row r="38" spans="2:16" x14ac:dyDescent="0.2">
      <c r="B38" s="595">
        <v>45131</v>
      </c>
      <c r="C38" s="596">
        <v>45132</v>
      </c>
      <c r="D38" s="596">
        <v>45133</v>
      </c>
      <c r="E38" s="596">
        <v>45134</v>
      </c>
      <c r="F38" s="596">
        <v>45135</v>
      </c>
      <c r="G38" s="596">
        <v>45136</v>
      </c>
      <c r="H38" s="594">
        <v>45137</v>
      </c>
      <c r="J38" s="604">
        <v>45166</v>
      </c>
      <c r="K38" s="605">
        <v>45167</v>
      </c>
      <c r="L38" s="605">
        <v>45168</v>
      </c>
      <c r="M38" s="605">
        <v>45169</v>
      </c>
      <c r="N38" s="598"/>
      <c r="O38" s="598"/>
      <c r="P38" s="602"/>
    </row>
    <row r="39" spans="2:16" x14ac:dyDescent="0.2">
      <c r="B39" s="593">
        <v>45138</v>
      </c>
      <c r="C39" s="591"/>
      <c r="D39" s="591"/>
      <c r="E39" s="591"/>
      <c r="F39" s="591"/>
      <c r="G39" s="591"/>
      <c r="H39" s="592"/>
      <c r="J39" s="599"/>
      <c r="K39" s="600"/>
      <c r="L39" s="600"/>
      <c r="M39" s="600"/>
      <c r="N39" s="600"/>
      <c r="O39" s="600"/>
      <c r="P39" s="601"/>
    </row>
    <row r="40" spans="2:16" x14ac:dyDescent="0.2">
      <c r="J40" s="192"/>
      <c r="K40" s="192"/>
      <c r="L40" s="192"/>
      <c r="M40" s="192"/>
      <c r="N40" s="192"/>
      <c r="O40" s="192"/>
      <c r="P40" s="192"/>
    </row>
    <row r="41" spans="2:16" ht="18" x14ac:dyDescent="0.25">
      <c r="B41" s="182"/>
      <c r="C41" s="183"/>
      <c r="D41" s="731" t="s">
        <v>1059</v>
      </c>
      <c r="E41" s="732"/>
      <c r="F41" s="732"/>
      <c r="G41" s="183"/>
      <c r="H41" s="184"/>
      <c r="J41" s="182"/>
      <c r="K41" s="183"/>
      <c r="L41" s="731" t="s">
        <v>1055</v>
      </c>
      <c r="M41" s="732"/>
      <c r="N41" s="732"/>
      <c r="O41" s="183"/>
      <c r="P41" s="184"/>
    </row>
    <row r="42" spans="2:16" x14ac:dyDescent="0.2">
      <c r="B42" s="188" t="s">
        <v>539</v>
      </c>
      <c r="C42" s="189" t="s">
        <v>540</v>
      </c>
      <c r="D42" s="189" t="s">
        <v>541</v>
      </c>
      <c r="E42" s="189" t="s">
        <v>542</v>
      </c>
      <c r="F42" s="189" t="s">
        <v>543</v>
      </c>
      <c r="G42" s="189" t="s">
        <v>544</v>
      </c>
      <c r="H42" s="190" t="s">
        <v>545</v>
      </c>
      <c r="J42" s="188" t="s">
        <v>539</v>
      </c>
      <c r="K42" s="189" t="s">
        <v>540</v>
      </c>
      <c r="L42" s="189" t="s">
        <v>541</v>
      </c>
      <c r="M42" s="189" t="s">
        <v>542</v>
      </c>
      <c r="N42" s="189" t="s">
        <v>543</v>
      </c>
      <c r="O42" s="189" t="s">
        <v>544</v>
      </c>
      <c r="P42" s="190" t="s">
        <v>545</v>
      </c>
    </row>
    <row r="43" spans="2:16" x14ac:dyDescent="0.2">
      <c r="B43" s="606"/>
      <c r="C43" s="607"/>
      <c r="D43" s="607"/>
      <c r="E43" s="607"/>
      <c r="F43" s="614">
        <v>45170</v>
      </c>
      <c r="G43" s="614">
        <v>45171</v>
      </c>
      <c r="H43" s="612">
        <v>45172</v>
      </c>
      <c r="J43" s="616"/>
      <c r="K43" s="617"/>
      <c r="L43" s="617"/>
      <c r="M43" s="617"/>
      <c r="N43" s="617"/>
      <c r="O43" s="617"/>
      <c r="P43" s="622">
        <v>45200</v>
      </c>
    </row>
    <row r="44" spans="2:16" x14ac:dyDescent="0.2">
      <c r="B44" s="613">
        <v>45173</v>
      </c>
      <c r="C44" s="614">
        <v>45174</v>
      </c>
      <c r="D44" s="614">
        <v>45175</v>
      </c>
      <c r="E44" s="614">
        <v>45176</v>
      </c>
      <c r="F44" s="614">
        <v>45177</v>
      </c>
      <c r="G44" s="614">
        <v>45178</v>
      </c>
      <c r="H44" s="612">
        <v>45179</v>
      </c>
      <c r="J44" s="623">
        <v>45201</v>
      </c>
      <c r="K44" s="624">
        <v>45202</v>
      </c>
      <c r="L44" s="624">
        <v>45203</v>
      </c>
      <c r="M44" s="624">
        <v>45204</v>
      </c>
      <c r="N44" s="624">
        <v>45205</v>
      </c>
      <c r="O44" s="624">
        <v>45206</v>
      </c>
      <c r="P44" s="622">
        <v>45207</v>
      </c>
    </row>
    <row r="45" spans="2:16" x14ac:dyDescent="0.2">
      <c r="B45" s="613">
        <v>45180</v>
      </c>
      <c r="C45" s="614">
        <v>45181</v>
      </c>
      <c r="D45" s="614">
        <v>45182</v>
      </c>
      <c r="E45" s="614">
        <v>45183</v>
      </c>
      <c r="F45" s="614">
        <v>45184</v>
      </c>
      <c r="G45" s="614">
        <v>45185</v>
      </c>
      <c r="H45" s="612">
        <v>45186</v>
      </c>
      <c r="J45" s="623">
        <v>45208</v>
      </c>
      <c r="K45" s="624">
        <v>45209</v>
      </c>
      <c r="L45" s="624">
        <v>45210</v>
      </c>
      <c r="M45" s="624">
        <v>45211</v>
      </c>
      <c r="N45" s="624">
        <v>45212</v>
      </c>
      <c r="O45" s="624">
        <v>45213</v>
      </c>
      <c r="P45" s="622">
        <v>45214</v>
      </c>
    </row>
    <row r="46" spans="2:16" x14ac:dyDescent="0.2">
      <c r="B46" s="613">
        <v>45187</v>
      </c>
      <c r="C46" s="614">
        <v>45188</v>
      </c>
      <c r="D46" s="614">
        <v>45189</v>
      </c>
      <c r="E46" s="614">
        <v>45190</v>
      </c>
      <c r="F46" s="614">
        <v>45191</v>
      </c>
      <c r="G46" s="614">
        <v>45192</v>
      </c>
      <c r="H46" s="612">
        <v>45193</v>
      </c>
      <c r="J46" s="623">
        <v>45215</v>
      </c>
      <c r="K46" s="624">
        <v>45216</v>
      </c>
      <c r="L46" s="624">
        <v>45217</v>
      </c>
      <c r="M46" s="624">
        <v>45218</v>
      </c>
      <c r="N46" s="624">
        <v>45219</v>
      </c>
      <c r="O46" s="624">
        <v>45220</v>
      </c>
      <c r="P46" s="622">
        <v>45221</v>
      </c>
    </row>
    <row r="47" spans="2:16" x14ac:dyDescent="0.2">
      <c r="B47" s="613">
        <v>45194</v>
      </c>
      <c r="C47" s="614">
        <v>45195</v>
      </c>
      <c r="D47" s="614">
        <v>45196</v>
      </c>
      <c r="E47" s="614">
        <v>45197</v>
      </c>
      <c r="F47" s="614">
        <v>45198</v>
      </c>
      <c r="G47" s="614">
        <v>45199</v>
      </c>
      <c r="H47" s="611"/>
      <c r="J47" s="623">
        <v>45222</v>
      </c>
      <c r="K47" s="624">
        <v>45223</v>
      </c>
      <c r="L47" s="624">
        <v>45224</v>
      </c>
      <c r="M47" s="624">
        <v>45225</v>
      </c>
      <c r="N47" s="624">
        <v>45226</v>
      </c>
      <c r="O47" s="624">
        <v>45227</v>
      </c>
      <c r="P47" s="622">
        <v>45228</v>
      </c>
    </row>
    <row r="48" spans="2:16" x14ac:dyDescent="0.2">
      <c r="B48" s="608"/>
      <c r="C48" s="609"/>
      <c r="D48" s="609"/>
      <c r="E48" s="609"/>
      <c r="F48" s="609"/>
      <c r="G48" s="609"/>
      <c r="H48" s="610"/>
      <c r="J48" s="621">
        <v>45229</v>
      </c>
      <c r="K48" s="620">
        <v>45230</v>
      </c>
      <c r="L48" s="618"/>
      <c r="M48" s="618"/>
      <c r="N48" s="618"/>
      <c r="O48" s="618"/>
      <c r="P48" s="619"/>
    </row>
    <row r="49" spans="2:16" x14ac:dyDescent="0.2">
      <c r="B49" s="615"/>
      <c r="C49" s="615"/>
      <c r="D49" s="615"/>
      <c r="E49" s="615"/>
      <c r="F49" s="615"/>
      <c r="G49" s="615"/>
      <c r="H49" s="615"/>
      <c r="J49" s="192"/>
      <c r="K49" s="192"/>
      <c r="L49" s="192"/>
      <c r="M49" s="192"/>
      <c r="N49" s="192"/>
      <c r="O49" s="192"/>
      <c r="P49" s="192"/>
    </row>
    <row r="50" spans="2:16" ht="18" x14ac:dyDescent="0.25">
      <c r="B50" s="182"/>
      <c r="C50" s="183"/>
      <c r="D50" s="731" t="s">
        <v>1060</v>
      </c>
      <c r="E50" s="732"/>
      <c r="F50" s="732"/>
      <c r="G50" s="183"/>
      <c r="H50" s="184"/>
      <c r="J50" s="182"/>
      <c r="K50" s="183"/>
      <c r="L50" s="731" t="s">
        <v>1037</v>
      </c>
      <c r="M50" s="732"/>
      <c r="N50" s="732"/>
      <c r="O50" s="183"/>
      <c r="P50" s="184"/>
    </row>
    <row r="51" spans="2:16" x14ac:dyDescent="0.2">
      <c r="B51" s="188" t="s">
        <v>539</v>
      </c>
      <c r="C51" s="189" t="s">
        <v>540</v>
      </c>
      <c r="D51" s="189" t="s">
        <v>541</v>
      </c>
      <c r="E51" s="189" t="s">
        <v>542</v>
      </c>
      <c r="F51" s="189" t="s">
        <v>543</v>
      </c>
      <c r="G51" s="189" t="s">
        <v>544</v>
      </c>
      <c r="H51" s="190" t="s">
        <v>545</v>
      </c>
      <c r="J51" s="188" t="s">
        <v>539</v>
      </c>
      <c r="K51" s="189" t="s">
        <v>540</v>
      </c>
      <c r="L51" s="189" t="s">
        <v>541</v>
      </c>
      <c r="M51" s="189" t="s">
        <v>542</v>
      </c>
      <c r="N51" s="189" t="s">
        <v>543</v>
      </c>
      <c r="O51" s="189" t="s">
        <v>544</v>
      </c>
      <c r="P51" s="190" t="s">
        <v>545</v>
      </c>
    </row>
    <row r="52" spans="2:16" x14ac:dyDescent="0.2">
      <c r="B52" s="625"/>
      <c r="C52" s="626"/>
      <c r="D52" s="633">
        <v>45231</v>
      </c>
      <c r="E52" s="633">
        <v>45232</v>
      </c>
      <c r="F52" s="633">
        <v>45233</v>
      </c>
      <c r="G52" s="633">
        <v>45234</v>
      </c>
      <c r="H52" s="631">
        <v>45235</v>
      </c>
      <c r="J52" s="634"/>
      <c r="K52" s="635"/>
      <c r="L52" s="635"/>
      <c r="M52" s="635"/>
      <c r="N52" s="641">
        <v>45261</v>
      </c>
      <c r="O52" s="641">
        <v>45262</v>
      </c>
      <c r="P52" s="639">
        <v>45263</v>
      </c>
    </row>
    <row r="53" spans="2:16" x14ac:dyDescent="0.2">
      <c r="B53" s="632">
        <v>45236</v>
      </c>
      <c r="C53" s="633">
        <v>45237</v>
      </c>
      <c r="D53" s="633">
        <v>45238</v>
      </c>
      <c r="E53" s="633">
        <v>45239</v>
      </c>
      <c r="F53" s="633">
        <v>45240</v>
      </c>
      <c r="G53" s="633">
        <v>45241</v>
      </c>
      <c r="H53" s="631">
        <v>45242</v>
      </c>
      <c r="J53" s="640">
        <v>45264</v>
      </c>
      <c r="K53" s="641">
        <v>45265</v>
      </c>
      <c r="L53" s="641">
        <v>45266</v>
      </c>
      <c r="M53" s="641">
        <v>45267</v>
      </c>
      <c r="N53" s="641">
        <v>45268</v>
      </c>
      <c r="O53" s="641">
        <v>45269</v>
      </c>
      <c r="P53" s="639">
        <v>45270</v>
      </c>
    </row>
    <row r="54" spans="2:16" x14ac:dyDescent="0.2">
      <c r="B54" s="632">
        <v>45243</v>
      </c>
      <c r="C54" s="633">
        <v>45244</v>
      </c>
      <c r="D54" s="633">
        <v>45245</v>
      </c>
      <c r="E54" s="633">
        <v>45246</v>
      </c>
      <c r="F54" s="633">
        <v>45247</v>
      </c>
      <c r="G54" s="633">
        <v>45248</v>
      </c>
      <c r="H54" s="631">
        <v>45249</v>
      </c>
      <c r="J54" s="640">
        <v>45271</v>
      </c>
      <c r="K54" s="641">
        <v>45272</v>
      </c>
      <c r="L54" s="641">
        <v>45273</v>
      </c>
      <c r="M54" s="641">
        <v>45274</v>
      </c>
      <c r="N54" s="641">
        <v>45275</v>
      </c>
      <c r="O54" s="641">
        <v>45276</v>
      </c>
      <c r="P54" s="639">
        <v>45277</v>
      </c>
    </row>
    <row r="55" spans="2:16" x14ac:dyDescent="0.2">
      <c r="B55" s="632">
        <v>45250</v>
      </c>
      <c r="C55" s="633">
        <v>45251</v>
      </c>
      <c r="D55" s="633">
        <v>45252</v>
      </c>
      <c r="E55" s="633">
        <v>45253</v>
      </c>
      <c r="F55" s="633">
        <v>45254</v>
      </c>
      <c r="G55" s="633">
        <v>45255</v>
      </c>
      <c r="H55" s="631">
        <v>45256</v>
      </c>
      <c r="J55" s="640">
        <v>45278</v>
      </c>
      <c r="K55" s="641">
        <v>45279</v>
      </c>
      <c r="L55" s="641">
        <v>45280</v>
      </c>
      <c r="M55" s="641">
        <v>45281</v>
      </c>
      <c r="N55" s="641">
        <v>45282</v>
      </c>
      <c r="O55" s="641">
        <v>45283</v>
      </c>
      <c r="P55" s="639">
        <v>45284</v>
      </c>
    </row>
    <row r="56" spans="2:16" x14ac:dyDescent="0.2">
      <c r="B56" s="632">
        <v>45257</v>
      </c>
      <c r="C56" s="633">
        <v>45258</v>
      </c>
      <c r="D56" s="633">
        <v>45259</v>
      </c>
      <c r="E56" s="633">
        <v>45260</v>
      </c>
      <c r="F56" s="626"/>
      <c r="G56" s="626"/>
      <c r="H56" s="630"/>
      <c r="J56" s="640">
        <v>45285</v>
      </c>
      <c r="K56" s="641">
        <v>45286</v>
      </c>
      <c r="L56" s="641">
        <v>45287</v>
      </c>
      <c r="M56" s="641">
        <v>45288</v>
      </c>
      <c r="N56" s="641">
        <v>45289</v>
      </c>
      <c r="O56" s="641">
        <v>45290</v>
      </c>
      <c r="P56" s="639">
        <v>45291</v>
      </c>
    </row>
    <row r="57" spans="2:16" x14ac:dyDescent="0.2">
      <c r="B57" s="627"/>
      <c r="C57" s="628"/>
      <c r="D57" s="628"/>
      <c r="E57" s="628"/>
      <c r="F57" s="628"/>
      <c r="G57" s="628"/>
      <c r="H57" s="629"/>
      <c r="J57" s="636"/>
      <c r="K57" s="637"/>
      <c r="L57" s="637"/>
      <c r="M57" s="637"/>
      <c r="N57" s="637"/>
      <c r="O57" s="637"/>
      <c r="P57" s="638"/>
    </row>
    <row r="58" spans="2:16" x14ac:dyDescent="0.2">
      <c r="B58" s="193"/>
      <c r="P58" s="194"/>
    </row>
  </sheetData>
  <mergeCells count="13">
    <mergeCell ref="D32:F32"/>
    <mergeCell ref="L32:N32"/>
    <mergeCell ref="D41:F41"/>
    <mergeCell ref="L41:N41"/>
    <mergeCell ref="D50:F50"/>
    <mergeCell ref="L50:N50"/>
    <mergeCell ref="D23:F23"/>
    <mergeCell ref="L23:N23"/>
    <mergeCell ref="G3:K3"/>
    <mergeCell ref="D6:F6"/>
    <mergeCell ref="L6:N6"/>
    <mergeCell ref="D15:F15"/>
    <mergeCell ref="L15:N1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F4ABD-F9B6-426A-9392-3C787CC8C6B2}">
  <dimension ref="A2:U67"/>
  <sheetViews>
    <sheetView showGridLines="0" zoomScale="120" zoomScaleNormal="120" workbookViewId="0">
      <pane xSplit="1" ySplit="7" topLeftCell="B8" activePane="bottomRight" state="frozen"/>
      <selection activeCell="A5" sqref="A5"/>
      <selection pane="topRight" activeCell="A5" sqref="A5"/>
      <selection pane="bottomLeft" activeCell="A5" sqref="A5"/>
      <selection pane="bottomRight" activeCell="B1" sqref="B1"/>
    </sheetView>
  </sheetViews>
  <sheetFormatPr baseColWidth="10" defaultColWidth="8.77734375" defaultRowHeight="12.75" x14ac:dyDescent="0.2"/>
  <cols>
    <col min="1" max="1" width="3.5546875" style="442" customWidth="1"/>
    <col min="2" max="2" width="59.33203125" style="442" customWidth="1"/>
    <col min="3" max="3" width="5.44140625" style="443" customWidth="1"/>
    <col min="4" max="16" width="3.5546875" style="342" customWidth="1"/>
    <col min="17" max="256" width="8.77734375" style="342"/>
    <col min="257" max="257" width="3.5546875" style="342" customWidth="1"/>
    <col min="258" max="258" width="59.33203125" style="342" customWidth="1"/>
    <col min="259" max="259" width="5.44140625" style="342" customWidth="1"/>
    <col min="260" max="272" width="3.5546875" style="342" customWidth="1"/>
    <col min="273" max="512" width="8.77734375" style="342"/>
    <col min="513" max="513" width="3.5546875" style="342" customWidth="1"/>
    <col min="514" max="514" width="59.33203125" style="342" customWidth="1"/>
    <col min="515" max="515" width="5.44140625" style="342" customWidth="1"/>
    <col min="516" max="528" width="3.5546875" style="342" customWidth="1"/>
    <col min="529" max="768" width="8.77734375" style="342"/>
    <col min="769" max="769" width="3.5546875" style="342" customWidth="1"/>
    <col min="770" max="770" width="59.33203125" style="342" customWidth="1"/>
    <col min="771" max="771" width="5.44140625" style="342" customWidth="1"/>
    <col min="772" max="784" width="3.5546875" style="342" customWidth="1"/>
    <col min="785" max="1024" width="8.77734375" style="342"/>
    <col min="1025" max="1025" width="3.5546875" style="342" customWidth="1"/>
    <col min="1026" max="1026" width="59.33203125" style="342" customWidth="1"/>
    <col min="1027" max="1027" width="5.44140625" style="342" customWidth="1"/>
    <col min="1028" max="1040" width="3.5546875" style="342" customWidth="1"/>
    <col min="1041" max="1280" width="8.77734375" style="342"/>
    <col min="1281" max="1281" width="3.5546875" style="342" customWidth="1"/>
    <col min="1282" max="1282" width="59.33203125" style="342" customWidth="1"/>
    <col min="1283" max="1283" width="5.44140625" style="342" customWidth="1"/>
    <col min="1284" max="1296" width="3.5546875" style="342" customWidth="1"/>
    <col min="1297" max="1536" width="8.77734375" style="342"/>
    <col min="1537" max="1537" width="3.5546875" style="342" customWidth="1"/>
    <col min="1538" max="1538" width="59.33203125" style="342" customWidth="1"/>
    <col min="1539" max="1539" width="5.44140625" style="342" customWidth="1"/>
    <col min="1540" max="1552" width="3.5546875" style="342" customWidth="1"/>
    <col min="1553" max="1792" width="8.77734375" style="342"/>
    <col min="1793" max="1793" width="3.5546875" style="342" customWidth="1"/>
    <col min="1794" max="1794" width="59.33203125" style="342" customWidth="1"/>
    <col min="1795" max="1795" width="5.44140625" style="342" customWidth="1"/>
    <col min="1796" max="1808" width="3.5546875" style="342" customWidth="1"/>
    <col min="1809" max="2048" width="8.77734375" style="342"/>
    <col min="2049" max="2049" width="3.5546875" style="342" customWidth="1"/>
    <col min="2050" max="2050" width="59.33203125" style="342" customWidth="1"/>
    <col min="2051" max="2051" width="5.44140625" style="342" customWidth="1"/>
    <col min="2052" max="2064" width="3.5546875" style="342" customWidth="1"/>
    <col min="2065" max="2304" width="8.77734375" style="342"/>
    <col min="2305" max="2305" width="3.5546875" style="342" customWidth="1"/>
    <col min="2306" max="2306" width="59.33203125" style="342" customWidth="1"/>
    <col min="2307" max="2307" width="5.44140625" style="342" customWidth="1"/>
    <col min="2308" max="2320" width="3.5546875" style="342" customWidth="1"/>
    <col min="2321" max="2560" width="8.77734375" style="342"/>
    <col min="2561" max="2561" width="3.5546875" style="342" customWidth="1"/>
    <col min="2562" max="2562" width="59.33203125" style="342" customWidth="1"/>
    <col min="2563" max="2563" width="5.44140625" style="342" customWidth="1"/>
    <col min="2564" max="2576" width="3.5546875" style="342" customWidth="1"/>
    <col min="2577" max="2816" width="8.77734375" style="342"/>
    <col min="2817" max="2817" width="3.5546875" style="342" customWidth="1"/>
    <col min="2818" max="2818" width="59.33203125" style="342" customWidth="1"/>
    <col min="2819" max="2819" width="5.44140625" style="342" customWidth="1"/>
    <col min="2820" max="2832" width="3.5546875" style="342" customWidth="1"/>
    <col min="2833" max="3072" width="8.77734375" style="342"/>
    <col min="3073" max="3073" width="3.5546875" style="342" customWidth="1"/>
    <col min="3074" max="3074" width="59.33203125" style="342" customWidth="1"/>
    <col min="3075" max="3075" width="5.44140625" style="342" customWidth="1"/>
    <col min="3076" max="3088" width="3.5546875" style="342" customWidth="1"/>
    <col min="3089" max="3328" width="8.77734375" style="342"/>
    <col min="3329" max="3329" width="3.5546875" style="342" customWidth="1"/>
    <col min="3330" max="3330" width="59.33203125" style="342" customWidth="1"/>
    <col min="3331" max="3331" width="5.44140625" style="342" customWidth="1"/>
    <col min="3332" max="3344" width="3.5546875" style="342" customWidth="1"/>
    <col min="3345" max="3584" width="8.77734375" style="342"/>
    <col min="3585" max="3585" width="3.5546875" style="342" customWidth="1"/>
    <col min="3586" max="3586" width="59.33203125" style="342" customWidth="1"/>
    <col min="3587" max="3587" width="5.44140625" style="342" customWidth="1"/>
    <col min="3588" max="3600" width="3.5546875" style="342" customWidth="1"/>
    <col min="3601" max="3840" width="8.77734375" style="342"/>
    <col min="3841" max="3841" width="3.5546875" style="342" customWidth="1"/>
    <col min="3842" max="3842" width="59.33203125" style="342" customWidth="1"/>
    <col min="3843" max="3843" width="5.44140625" style="342" customWidth="1"/>
    <col min="3844" max="3856" width="3.5546875" style="342" customWidth="1"/>
    <col min="3857" max="4096" width="8.77734375" style="342"/>
    <col min="4097" max="4097" width="3.5546875" style="342" customWidth="1"/>
    <col min="4098" max="4098" width="59.33203125" style="342" customWidth="1"/>
    <col min="4099" max="4099" width="5.44140625" style="342" customWidth="1"/>
    <col min="4100" max="4112" width="3.5546875" style="342" customWidth="1"/>
    <col min="4113" max="4352" width="8.77734375" style="342"/>
    <col min="4353" max="4353" width="3.5546875" style="342" customWidth="1"/>
    <col min="4354" max="4354" width="59.33203125" style="342" customWidth="1"/>
    <col min="4355" max="4355" width="5.44140625" style="342" customWidth="1"/>
    <col min="4356" max="4368" width="3.5546875" style="342" customWidth="1"/>
    <col min="4369" max="4608" width="8.77734375" style="342"/>
    <col min="4609" max="4609" width="3.5546875" style="342" customWidth="1"/>
    <col min="4610" max="4610" width="59.33203125" style="342" customWidth="1"/>
    <col min="4611" max="4611" width="5.44140625" style="342" customWidth="1"/>
    <col min="4612" max="4624" width="3.5546875" style="342" customWidth="1"/>
    <col min="4625" max="4864" width="8.77734375" style="342"/>
    <col min="4865" max="4865" width="3.5546875" style="342" customWidth="1"/>
    <col min="4866" max="4866" width="59.33203125" style="342" customWidth="1"/>
    <col min="4867" max="4867" width="5.44140625" style="342" customWidth="1"/>
    <col min="4868" max="4880" width="3.5546875" style="342" customWidth="1"/>
    <col min="4881" max="5120" width="8.77734375" style="342"/>
    <col min="5121" max="5121" width="3.5546875" style="342" customWidth="1"/>
    <col min="5122" max="5122" width="59.33203125" style="342" customWidth="1"/>
    <col min="5123" max="5123" width="5.44140625" style="342" customWidth="1"/>
    <col min="5124" max="5136" width="3.5546875" style="342" customWidth="1"/>
    <col min="5137" max="5376" width="8.77734375" style="342"/>
    <col min="5377" max="5377" width="3.5546875" style="342" customWidth="1"/>
    <col min="5378" max="5378" width="59.33203125" style="342" customWidth="1"/>
    <col min="5379" max="5379" width="5.44140625" style="342" customWidth="1"/>
    <col min="5380" max="5392" width="3.5546875" style="342" customWidth="1"/>
    <col min="5393" max="5632" width="8.77734375" style="342"/>
    <col min="5633" max="5633" width="3.5546875" style="342" customWidth="1"/>
    <col min="5634" max="5634" width="59.33203125" style="342" customWidth="1"/>
    <col min="5635" max="5635" width="5.44140625" style="342" customWidth="1"/>
    <col min="5636" max="5648" width="3.5546875" style="342" customWidth="1"/>
    <col min="5649" max="5888" width="8.77734375" style="342"/>
    <col min="5889" max="5889" width="3.5546875" style="342" customWidth="1"/>
    <col min="5890" max="5890" width="59.33203125" style="342" customWidth="1"/>
    <col min="5891" max="5891" width="5.44140625" style="342" customWidth="1"/>
    <col min="5892" max="5904" width="3.5546875" style="342" customWidth="1"/>
    <col min="5905" max="6144" width="8.77734375" style="342"/>
    <col min="6145" max="6145" width="3.5546875" style="342" customWidth="1"/>
    <col min="6146" max="6146" width="59.33203125" style="342" customWidth="1"/>
    <col min="6147" max="6147" width="5.44140625" style="342" customWidth="1"/>
    <col min="6148" max="6160" width="3.5546875" style="342" customWidth="1"/>
    <col min="6161" max="6400" width="8.77734375" style="342"/>
    <col min="6401" max="6401" width="3.5546875" style="342" customWidth="1"/>
    <col min="6402" max="6402" width="59.33203125" style="342" customWidth="1"/>
    <col min="6403" max="6403" width="5.44140625" style="342" customWidth="1"/>
    <col min="6404" max="6416" width="3.5546875" style="342" customWidth="1"/>
    <col min="6417" max="6656" width="8.77734375" style="342"/>
    <col min="6657" max="6657" width="3.5546875" style="342" customWidth="1"/>
    <col min="6658" max="6658" width="59.33203125" style="342" customWidth="1"/>
    <col min="6659" max="6659" width="5.44140625" style="342" customWidth="1"/>
    <col min="6660" max="6672" width="3.5546875" style="342" customWidth="1"/>
    <col min="6673" max="6912" width="8.77734375" style="342"/>
    <col min="6913" max="6913" width="3.5546875" style="342" customWidth="1"/>
    <col min="6914" max="6914" width="59.33203125" style="342" customWidth="1"/>
    <col min="6915" max="6915" width="5.44140625" style="342" customWidth="1"/>
    <col min="6916" max="6928" width="3.5546875" style="342" customWidth="1"/>
    <col min="6929" max="7168" width="8.77734375" style="342"/>
    <col min="7169" max="7169" width="3.5546875" style="342" customWidth="1"/>
    <col min="7170" max="7170" width="59.33203125" style="342" customWidth="1"/>
    <col min="7171" max="7171" width="5.44140625" style="342" customWidth="1"/>
    <col min="7172" max="7184" width="3.5546875" style="342" customWidth="1"/>
    <col min="7185" max="7424" width="8.77734375" style="342"/>
    <col min="7425" max="7425" width="3.5546875" style="342" customWidth="1"/>
    <col min="7426" max="7426" width="59.33203125" style="342" customWidth="1"/>
    <col min="7427" max="7427" width="5.44140625" style="342" customWidth="1"/>
    <col min="7428" max="7440" width="3.5546875" style="342" customWidth="1"/>
    <col min="7441" max="7680" width="8.77734375" style="342"/>
    <col min="7681" max="7681" width="3.5546875" style="342" customWidth="1"/>
    <col min="7682" max="7682" width="59.33203125" style="342" customWidth="1"/>
    <col min="7683" max="7683" width="5.44140625" style="342" customWidth="1"/>
    <col min="7684" max="7696" width="3.5546875" style="342" customWidth="1"/>
    <col min="7697" max="7936" width="8.77734375" style="342"/>
    <col min="7937" max="7937" width="3.5546875" style="342" customWidth="1"/>
    <col min="7938" max="7938" width="59.33203125" style="342" customWidth="1"/>
    <col min="7939" max="7939" width="5.44140625" style="342" customWidth="1"/>
    <col min="7940" max="7952" width="3.5546875" style="342" customWidth="1"/>
    <col min="7953" max="8192" width="8.77734375" style="342"/>
    <col min="8193" max="8193" width="3.5546875" style="342" customWidth="1"/>
    <col min="8194" max="8194" width="59.33203125" style="342" customWidth="1"/>
    <col min="8195" max="8195" width="5.44140625" style="342" customWidth="1"/>
    <col min="8196" max="8208" width="3.5546875" style="342" customWidth="1"/>
    <col min="8209" max="8448" width="8.77734375" style="342"/>
    <col min="8449" max="8449" width="3.5546875" style="342" customWidth="1"/>
    <col min="8450" max="8450" width="59.33203125" style="342" customWidth="1"/>
    <col min="8451" max="8451" width="5.44140625" style="342" customWidth="1"/>
    <col min="8452" max="8464" width="3.5546875" style="342" customWidth="1"/>
    <col min="8465" max="8704" width="8.77734375" style="342"/>
    <col min="8705" max="8705" width="3.5546875" style="342" customWidth="1"/>
    <col min="8706" max="8706" width="59.33203125" style="342" customWidth="1"/>
    <col min="8707" max="8707" width="5.44140625" style="342" customWidth="1"/>
    <col min="8708" max="8720" width="3.5546875" style="342" customWidth="1"/>
    <col min="8721" max="8960" width="8.77734375" style="342"/>
    <col min="8961" max="8961" width="3.5546875" style="342" customWidth="1"/>
    <col min="8962" max="8962" width="59.33203125" style="342" customWidth="1"/>
    <col min="8963" max="8963" width="5.44140625" style="342" customWidth="1"/>
    <col min="8964" max="8976" width="3.5546875" style="342" customWidth="1"/>
    <col min="8977" max="9216" width="8.77734375" style="342"/>
    <col min="9217" max="9217" width="3.5546875" style="342" customWidth="1"/>
    <col min="9218" max="9218" width="59.33203125" style="342" customWidth="1"/>
    <col min="9219" max="9219" width="5.44140625" style="342" customWidth="1"/>
    <col min="9220" max="9232" width="3.5546875" style="342" customWidth="1"/>
    <col min="9233" max="9472" width="8.77734375" style="342"/>
    <col min="9473" max="9473" width="3.5546875" style="342" customWidth="1"/>
    <col min="9474" max="9474" width="59.33203125" style="342" customWidth="1"/>
    <col min="9475" max="9475" width="5.44140625" style="342" customWidth="1"/>
    <col min="9476" max="9488" width="3.5546875" style="342" customWidth="1"/>
    <col min="9489" max="9728" width="8.77734375" style="342"/>
    <col min="9729" max="9729" width="3.5546875" style="342" customWidth="1"/>
    <col min="9730" max="9730" width="59.33203125" style="342" customWidth="1"/>
    <col min="9731" max="9731" width="5.44140625" style="342" customWidth="1"/>
    <col min="9732" max="9744" width="3.5546875" style="342" customWidth="1"/>
    <col min="9745" max="9984" width="8.77734375" style="342"/>
    <col min="9985" max="9985" width="3.5546875" style="342" customWidth="1"/>
    <col min="9986" max="9986" width="59.33203125" style="342" customWidth="1"/>
    <col min="9987" max="9987" width="5.44140625" style="342" customWidth="1"/>
    <col min="9988" max="10000" width="3.5546875" style="342" customWidth="1"/>
    <col min="10001" max="10240" width="8.77734375" style="342"/>
    <col min="10241" max="10241" width="3.5546875" style="342" customWidth="1"/>
    <col min="10242" max="10242" width="59.33203125" style="342" customWidth="1"/>
    <col min="10243" max="10243" width="5.44140625" style="342" customWidth="1"/>
    <col min="10244" max="10256" width="3.5546875" style="342" customWidth="1"/>
    <col min="10257" max="10496" width="8.77734375" style="342"/>
    <col min="10497" max="10497" width="3.5546875" style="342" customWidth="1"/>
    <col min="10498" max="10498" width="59.33203125" style="342" customWidth="1"/>
    <col min="10499" max="10499" width="5.44140625" style="342" customWidth="1"/>
    <col min="10500" max="10512" width="3.5546875" style="342" customWidth="1"/>
    <col min="10513" max="10752" width="8.77734375" style="342"/>
    <col min="10753" max="10753" width="3.5546875" style="342" customWidth="1"/>
    <col min="10754" max="10754" width="59.33203125" style="342" customWidth="1"/>
    <col min="10755" max="10755" width="5.44140625" style="342" customWidth="1"/>
    <col min="10756" max="10768" width="3.5546875" style="342" customWidth="1"/>
    <col min="10769" max="11008" width="8.77734375" style="342"/>
    <col min="11009" max="11009" width="3.5546875" style="342" customWidth="1"/>
    <col min="11010" max="11010" width="59.33203125" style="342" customWidth="1"/>
    <col min="11011" max="11011" width="5.44140625" style="342" customWidth="1"/>
    <col min="11012" max="11024" width="3.5546875" style="342" customWidth="1"/>
    <col min="11025" max="11264" width="8.77734375" style="342"/>
    <col min="11265" max="11265" width="3.5546875" style="342" customWidth="1"/>
    <col min="11266" max="11266" width="59.33203125" style="342" customWidth="1"/>
    <col min="11267" max="11267" width="5.44140625" style="342" customWidth="1"/>
    <col min="11268" max="11280" width="3.5546875" style="342" customWidth="1"/>
    <col min="11281" max="11520" width="8.77734375" style="342"/>
    <col min="11521" max="11521" width="3.5546875" style="342" customWidth="1"/>
    <col min="11522" max="11522" width="59.33203125" style="342" customWidth="1"/>
    <col min="11523" max="11523" width="5.44140625" style="342" customWidth="1"/>
    <col min="11524" max="11536" width="3.5546875" style="342" customWidth="1"/>
    <col min="11537" max="11776" width="8.77734375" style="342"/>
    <col min="11777" max="11777" width="3.5546875" style="342" customWidth="1"/>
    <col min="11778" max="11778" width="59.33203125" style="342" customWidth="1"/>
    <col min="11779" max="11779" width="5.44140625" style="342" customWidth="1"/>
    <col min="11780" max="11792" width="3.5546875" style="342" customWidth="1"/>
    <col min="11793" max="12032" width="8.77734375" style="342"/>
    <col min="12033" max="12033" width="3.5546875" style="342" customWidth="1"/>
    <col min="12034" max="12034" width="59.33203125" style="342" customWidth="1"/>
    <col min="12035" max="12035" width="5.44140625" style="342" customWidth="1"/>
    <col min="12036" max="12048" width="3.5546875" style="342" customWidth="1"/>
    <col min="12049" max="12288" width="8.77734375" style="342"/>
    <col min="12289" max="12289" width="3.5546875" style="342" customWidth="1"/>
    <col min="12290" max="12290" width="59.33203125" style="342" customWidth="1"/>
    <col min="12291" max="12291" width="5.44140625" style="342" customWidth="1"/>
    <col min="12292" max="12304" width="3.5546875" style="342" customWidth="1"/>
    <col min="12305" max="12544" width="8.77734375" style="342"/>
    <col min="12545" max="12545" width="3.5546875" style="342" customWidth="1"/>
    <col min="12546" max="12546" width="59.33203125" style="342" customWidth="1"/>
    <col min="12547" max="12547" width="5.44140625" style="342" customWidth="1"/>
    <col min="12548" max="12560" width="3.5546875" style="342" customWidth="1"/>
    <col min="12561" max="12800" width="8.77734375" style="342"/>
    <col min="12801" max="12801" width="3.5546875" style="342" customWidth="1"/>
    <col min="12802" max="12802" width="59.33203125" style="342" customWidth="1"/>
    <col min="12803" max="12803" width="5.44140625" style="342" customWidth="1"/>
    <col min="12804" max="12816" width="3.5546875" style="342" customWidth="1"/>
    <col min="12817" max="13056" width="8.77734375" style="342"/>
    <col min="13057" max="13057" width="3.5546875" style="342" customWidth="1"/>
    <col min="13058" max="13058" width="59.33203125" style="342" customWidth="1"/>
    <col min="13059" max="13059" width="5.44140625" style="342" customWidth="1"/>
    <col min="13060" max="13072" width="3.5546875" style="342" customWidth="1"/>
    <col min="13073" max="13312" width="8.77734375" style="342"/>
    <col min="13313" max="13313" width="3.5546875" style="342" customWidth="1"/>
    <col min="13314" max="13314" width="59.33203125" style="342" customWidth="1"/>
    <col min="13315" max="13315" width="5.44140625" style="342" customWidth="1"/>
    <col min="13316" max="13328" width="3.5546875" style="342" customWidth="1"/>
    <col min="13329" max="13568" width="8.77734375" style="342"/>
    <col min="13569" max="13569" width="3.5546875" style="342" customWidth="1"/>
    <col min="13570" max="13570" width="59.33203125" style="342" customWidth="1"/>
    <col min="13571" max="13571" width="5.44140625" style="342" customWidth="1"/>
    <col min="13572" max="13584" width="3.5546875" style="342" customWidth="1"/>
    <col min="13585" max="13824" width="8.77734375" style="342"/>
    <col min="13825" max="13825" width="3.5546875" style="342" customWidth="1"/>
    <col min="13826" max="13826" width="59.33203125" style="342" customWidth="1"/>
    <col min="13827" max="13827" width="5.44140625" style="342" customWidth="1"/>
    <col min="13828" max="13840" width="3.5546875" style="342" customWidth="1"/>
    <col min="13841" max="14080" width="8.77734375" style="342"/>
    <col min="14081" max="14081" width="3.5546875" style="342" customWidth="1"/>
    <col min="14082" max="14082" width="59.33203125" style="342" customWidth="1"/>
    <col min="14083" max="14083" width="5.44140625" style="342" customWidth="1"/>
    <col min="14084" max="14096" width="3.5546875" style="342" customWidth="1"/>
    <col min="14097" max="14336" width="8.77734375" style="342"/>
    <col min="14337" max="14337" width="3.5546875" style="342" customWidth="1"/>
    <col min="14338" max="14338" width="59.33203125" style="342" customWidth="1"/>
    <col min="14339" max="14339" width="5.44140625" style="342" customWidth="1"/>
    <col min="14340" max="14352" width="3.5546875" style="342" customWidth="1"/>
    <col min="14353" max="14592" width="8.77734375" style="342"/>
    <col min="14593" max="14593" width="3.5546875" style="342" customWidth="1"/>
    <col min="14594" max="14594" width="59.33203125" style="342" customWidth="1"/>
    <col min="14595" max="14595" width="5.44140625" style="342" customWidth="1"/>
    <col min="14596" max="14608" width="3.5546875" style="342" customWidth="1"/>
    <col min="14609" max="14848" width="8.77734375" style="342"/>
    <col min="14849" max="14849" width="3.5546875" style="342" customWidth="1"/>
    <col min="14850" max="14850" width="59.33203125" style="342" customWidth="1"/>
    <col min="14851" max="14851" width="5.44140625" style="342" customWidth="1"/>
    <col min="14852" max="14864" width="3.5546875" style="342" customWidth="1"/>
    <col min="14865" max="15104" width="8.77734375" style="342"/>
    <col min="15105" max="15105" width="3.5546875" style="342" customWidth="1"/>
    <col min="15106" max="15106" width="59.33203125" style="342" customWidth="1"/>
    <col min="15107" max="15107" width="5.44140625" style="342" customWidth="1"/>
    <col min="15108" max="15120" width="3.5546875" style="342" customWidth="1"/>
    <col min="15121" max="15360" width="8.77734375" style="342"/>
    <col min="15361" max="15361" width="3.5546875" style="342" customWidth="1"/>
    <col min="15362" max="15362" width="59.33203125" style="342" customWidth="1"/>
    <col min="15363" max="15363" width="5.44140625" style="342" customWidth="1"/>
    <col min="15364" max="15376" width="3.5546875" style="342" customWidth="1"/>
    <col min="15377" max="15616" width="8.77734375" style="342"/>
    <col min="15617" max="15617" width="3.5546875" style="342" customWidth="1"/>
    <col min="15618" max="15618" width="59.33203125" style="342" customWidth="1"/>
    <col min="15619" max="15619" width="5.44140625" style="342" customWidth="1"/>
    <col min="15620" max="15632" width="3.5546875" style="342" customWidth="1"/>
    <col min="15633" max="15872" width="8.77734375" style="342"/>
    <col min="15873" max="15873" width="3.5546875" style="342" customWidth="1"/>
    <col min="15874" max="15874" width="59.33203125" style="342" customWidth="1"/>
    <col min="15875" max="15875" width="5.44140625" style="342" customWidth="1"/>
    <col min="15876" max="15888" width="3.5546875" style="342" customWidth="1"/>
    <col min="15889" max="16128" width="8.77734375" style="342"/>
    <col min="16129" max="16129" width="3.5546875" style="342" customWidth="1"/>
    <col min="16130" max="16130" width="59.33203125" style="342" customWidth="1"/>
    <col min="16131" max="16131" width="5.44140625" style="342" customWidth="1"/>
    <col min="16132" max="16144" width="3.5546875" style="342" customWidth="1"/>
    <col min="16145" max="16384" width="8.77734375" style="342"/>
  </cols>
  <sheetData>
    <row r="2" spans="1:21" x14ac:dyDescent="0.2">
      <c r="P2" s="444" t="s">
        <v>549</v>
      </c>
      <c r="Q2" s="342" t="s">
        <v>598</v>
      </c>
      <c r="U2" s="445" t="s">
        <v>614</v>
      </c>
    </row>
    <row r="3" spans="1:21" x14ac:dyDescent="0.2">
      <c r="U3" s="446" t="s">
        <v>615</v>
      </c>
    </row>
    <row r="4" spans="1:21" x14ac:dyDescent="0.2">
      <c r="B4" s="447" t="s">
        <v>595</v>
      </c>
    </row>
    <row r="5" spans="1:21" x14ac:dyDescent="0.2">
      <c r="B5" s="447" t="s">
        <v>594</v>
      </c>
    </row>
    <row r="6" spans="1:21" ht="13.5" thickBot="1" x14ac:dyDescent="0.25"/>
    <row r="7" spans="1:21" x14ac:dyDescent="0.2">
      <c r="B7" s="448" t="s">
        <v>546</v>
      </c>
      <c r="C7" s="449"/>
      <c r="D7" s="450">
        <v>-2</v>
      </c>
      <c r="E7" s="450">
        <v>-1</v>
      </c>
      <c r="F7" s="450">
        <v>0</v>
      </c>
      <c r="G7" s="450">
        <v>1</v>
      </c>
      <c r="H7" s="450">
        <v>2</v>
      </c>
      <c r="I7" s="450">
        <v>3</v>
      </c>
      <c r="J7" s="450">
        <v>4</v>
      </c>
      <c r="K7" s="450">
        <v>5</v>
      </c>
      <c r="L7" s="450">
        <v>6</v>
      </c>
      <c r="M7" s="450">
        <v>7</v>
      </c>
      <c r="N7" s="450">
        <v>8</v>
      </c>
      <c r="O7" s="450">
        <v>9</v>
      </c>
      <c r="P7" s="450">
        <v>10</v>
      </c>
      <c r="Q7" s="451" t="s">
        <v>599</v>
      </c>
      <c r="R7" s="451" t="s">
        <v>611</v>
      </c>
      <c r="S7" s="451" t="s">
        <v>612</v>
      </c>
      <c r="T7" s="451" t="s">
        <v>613</v>
      </c>
    </row>
    <row r="8" spans="1:21" ht="18.75" customHeight="1" x14ac:dyDescent="0.2">
      <c r="A8" s="736" t="s">
        <v>547</v>
      </c>
      <c r="B8" s="452" t="s">
        <v>548</v>
      </c>
      <c r="C8" s="453"/>
      <c r="D8" s="454" t="s">
        <v>549</v>
      </c>
      <c r="E8" s="454" t="s">
        <v>549</v>
      </c>
      <c r="F8" s="454" t="s">
        <v>549</v>
      </c>
      <c r="G8" s="454" t="s">
        <v>549</v>
      </c>
      <c r="H8" s="455"/>
      <c r="I8" s="455"/>
      <c r="J8" s="455"/>
      <c r="K8" s="455"/>
      <c r="L8" s="455"/>
      <c r="M8" s="455"/>
      <c r="N8" s="455"/>
      <c r="O8" s="455"/>
      <c r="P8" s="456"/>
      <c r="Q8" s="457" t="s">
        <v>615</v>
      </c>
      <c r="R8" s="457" t="s">
        <v>614</v>
      </c>
      <c r="S8" s="457" t="s">
        <v>614</v>
      </c>
      <c r="T8" s="457" t="s">
        <v>614</v>
      </c>
    </row>
    <row r="9" spans="1:21" ht="18.75" customHeight="1" x14ac:dyDescent="0.2">
      <c r="A9" s="737"/>
      <c r="B9" s="458" t="s">
        <v>550</v>
      </c>
      <c r="C9" s="459"/>
      <c r="D9" s="460"/>
      <c r="E9" s="460"/>
      <c r="F9" s="461" t="s">
        <v>549</v>
      </c>
      <c r="G9" s="461" t="s">
        <v>549</v>
      </c>
      <c r="H9" s="461" t="s">
        <v>549</v>
      </c>
      <c r="I9" s="460"/>
      <c r="J9" s="460"/>
      <c r="K9" s="460"/>
      <c r="L9" s="460"/>
      <c r="M9" s="460"/>
      <c r="N9" s="460"/>
      <c r="O9" s="460"/>
      <c r="P9" s="462"/>
      <c r="Q9" s="457" t="s">
        <v>615</v>
      </c>
      <c r="R9" s="457" t="s">
        <v>614</v>
      </c>
      <c r="S9" s="457" t="s">
        <v>614</v>
      </c>
      <c r="T9" s="457" t="s">
        <v>614</v>
      </c>
    </row>
    <row r="10" spans="1:21" ht="18.75" customHeight="1" x14ac:dyDescent="0.2">
      <c r="A10" s="737"/>
      <c r="B10" s="463" t="s">
        <v>600</v>
      </c>
      <c r="C10" s="464" t="s">
        <v>552</v>
      </c>
      <c r="D10" s="460"/>
      <c r="E10" s="460"/>
      <c r="F10" s="460"/>
      <c r="G10" s="460"/>
      <c r="H10" s="460"/>
      <c r="I10" s="444" t="s">
        <v>549</v>
      </c>
      <c r="J10" s="460"/>
      <c r="K10" s="460"/>
      <c r="L10" s="460"/>
      <c r="M10" s="460"/>
      <c r="N10" s="460"/>
      <c r="O10" s="460"/>
      <c r="P10" s="462"/>
      <c r="Q10" s="457" t="s">
        <v>615</v>
      </c>
      <c r="R10" s="457" t="s">
        <v>614</v>
      </c>
      <c r="S10" s="457" t="s">
        <v>614</v>
      </c>
      <c r="T10" s="457" t="s">
        <v>614</v>
      </c>
    </row>
    <row r="11" spans="1:21" ht="18.75" customHeight="1" x14ac:dyDescent="0.2">
      <c r="A11" s="737"/>
      <c r="B11" s="458" t="s">
        <v>601</v>
      </c>
      <c r="C11" s="459"/>
      <c r="D11" s="460"/>
      <c r="E11" s="460"/>
      <c r="F11" s="460"/>
      <c r="G11" s="460"/>
      <c r="H11" s="460"/>
      <c r="I11" s="461" t="s">
        <v>549</v>
      </c>
      <c r="J11" s="460"/>
      <c r="K11" s="460"/>
      <c r="L11" s="460"/>
      <c r="M11" s="460"/>
      <c r="N11" s="460"/>
      <c r="O11" s="460"/>
      <c r="P11" s="462"/>
      <c r="Q11" s="457" t="s">
        <v>614</v>
      </c>
      <c r="R11" s="457" t="s">
        <v>614</v>
      </c>
      <c r="S11" s="457" t="s">
        <v>614</v>
      </c>
      <c r="T11" s="457" t="s">
        <v>614</v>
      </c>
    </row>
    <row r="12" spans="1:21" ht="18.75" customHeight="1" x14ac:dyDescent="0.2">
      <c r="A12" s="738"/>
      <c r="B12" s="465" t="s">
        <v>602</v>
      </c>
      <c r="C12" s="466"/>
      <c r="D12" s="467"/>
      <c r="E12" s="467"/>
      <c r="F12" s="467"/>
      <c r="G12" s="467"/>
      <c r="H12" s="467"/>
      <c r="I12" s="468" t="s">
        <v>549</v>
      </c>
      <c r="J12" s="467"/>
      <c r="K12" s="467"/>
      <c r="L12" s="467"/>
      <c r="M12" s="467"/>
      <c r="N12" s="467"/>
      <c r="O12" s="467"/>
      <c r="P12" s="469"/>
      <c r="Q12" s="457" t="s">
        <v>614</v>
      </c>
      <c r="R12" s="457" t="s">
        <v>614</v>
      </c>
      <c r="S12" s="457" t="s">
        <v>614</v>
      </c>
      <c r="T12" s="457" t="s">
        <v>614</v>
      </c>
    </row>
    <row r="13" spans="1:21" ht="24.75" customHeight="1" x14ac:dyDescent="0.2">
      <c r="A13" s="739" t="s">
        <v>553</v>
      </c>
      <c r="B13" s="452" t="s">
        <v>554</v>
      </c>
      <c r="C13" s="453"/>
      <c r="D13" s="455"/>
      <c r="E13" s="455"/>
      <c r="F13" s="455"/>
      <c r="G13" s="454" t="s">
        <v>549</v>
      </c>
      <c r="H13" s="455"/>
      <c r="I13" s="455"/>
      <c r="J13" s="470"/>
      <c r="K13" s="455"/>
      <c r="L13" s="455"/>
      <c r="M13" s="455"/>
      <c r="N13" s="455"/>
      <c r="O13" s="455"/>
      <c r="P13" s="456"/>
      <c r="Q13" s="457" t="s">
        <v>614</v>
      </c>
      <c r="R13" s="457" t="s">
        <v>614</v>
      </c>
      <c r="S13" s="457" t="s">
        <v>614</v>
      </c>
      <c r="T13" s="457" t="s">
        <v>614</v>
      </c>
    </row>
    <row r="14" spans="1:21" ht="24.75" customHeight="1" x14ac:dyDescent="0.2">
      <c r="A14" s="740"/>
      <c r="B14" s="465" t="s">
        <v>555</v>
      </c>
      <c r="C14" s="466"/>
      <c r="D14" s="467"/>
      <c r="E14" s="467"/>
      <c r="F14" s="467"/>
      <c r="G14" s="468" t="s">
        <v>549</v>
      </c>
      <c r="H14" s="467"/>
      <c r="I14" s="467"/>
      <c r="J14" s="471"/>
      <c r="K14" s="467"/>
      <c r="L14" s="467"/>
      <c r="M14" s="467"/>
      <c r="N14" s="467"/>
      <c r="O14" s="467"/>
      <c r="P14" s="469"/>
      <c r="Q14" s="457" t="s">
        <v>614</v>
      </c>
      <c r="R14" s="457" t="s">
        <v>614</v>
      </c>
      <c r="S14" s="457" t="s">
        <v>614</v>
      </c>
      <c r="T14" s="457" t="s">
        <v>614</v>
      </c>
    </row>
    <row r="15" spans="1:21" ht="15" customHeight="1" x14ac:dyDescent="0.2">
      <c r="A15" s="736" t="s">
        <v>87</v>
      </c>
      <c r="B15" s="452" t="s">
        <v>556</v>
      </c>
      <c r="C15" s="453"/>
      <c r="D15" s="454" t="s">
        <v>549</v>
      </c>
      <c r="E15" s="454" t="s">
        <v>549</v>
      </c>
      <c r="F15" s="454" t="s">
        <v>549</v>
      </c>
      <c r="G15" s="454" t="s">
        <v>549</v>
      </c>
      <c r="H15" s="454" t="s">
        <v>549</v>
      </c>
      <c r="I15" s="455"/>
      <c r="J15" s="455"/>
      <c r="K15" s="455"/>
      <c r="L15" s="455"/>
      <c r="M15" s="455"/>
      <c r="N15" s="455"/>
      <c r="O15" s="455"/>
      <c r="P15" s="456"/>
      <c r="Q15" s="457" t="s">
        <v>614</v>
      </c>
      <c r="R15" s="457" t="s">
        <v>614</v>
      </c>
      <c r="S15" s="457" t="s">
        <v>614</v>
      </c>
      <c r="T15" s="457" t="s">
        <v>614</v>
      </c>
    </row>
    <row r="16" spans="1:21" x14ac:dyDescent="0.2">
      <c r="A16" s="737"/>
      <c r="B16" s="458" t="s">
        <v>557</v>
      </c>
      <c r="C16" s="459"/>
      <c r="D16" s="461" t="s">
        <v>549</v>
      </c>
      <c r="E16" s="461" t="s">
        <v>549</v>
      </c>
      <c r="F16" s="461" t="s">
        <v>549</v>
      </c>
      <c r="G16" s="461" t="s">
        <v>549</v>
      </c>
      <c r="H16" s="461" t="s">
        <v>549</v>
      </c>
      <c r="I16" s="460"/>
      <c r="J16" s="460"/>
      <c r="K16" s="460"/>
      <c r="L16" s="460"/>
      <c r="M16" s="460"/>
      <c r="N16" s="460"/>
      <c r="O16" s="460"/>
      <c r="P16" s="462"/>
      <c r="Q16" s="457" t="s">
        <v>614</v>
      </c>
      <c r="R16" s="457" t="s">
        <v>614</v>
      </c>
      <c r="S16" s="457" t="s">
        <v>614</v>
      </c>
      <c r="T16" s="457" t="s">
        <v>614</v>
      </c>
    </row>
    <row r="17" spans="1:20" x14ac:dyDescent="0.2">
      <c r="A17" s="737"/>
      <c r="B17" s="458" t="s">
        <v>558</v>
      </c>
      <c r="C17" s="459"/>
      <c r="D17" s="461" t="s">
        <v>549</v>
      </c>
      <c r="E17" s="461" t="s">
        <v>549</v>
      </c>
      <c r="F17" s="461" t="s">
        <v>549</v>
      </c>
      <c r="G17" s="461" t="s">
        <v>549</v>
      </c>
      <c r="H17" s="461" t="s">
        <v>549</v>
      </c>
      <c r="I17" s="460"/>
      <c r="J17" s="460"/>
      <c r="K17" s="460"/>
      <c r="L17" s="460"/>
      <c r="M17" s="460"/>
      <c r="N17" s="460"/>
      <c r="O17" s="460"/>
      <c r="P17" s="462"/>
      <c r="Q17" s="457" t="s">
        <v>614</v>
      </c>
      <c r="R17" s="457" t="s">
        <v>614</v>
      </c>
      <c r="S17" s="457" t="s">
        <v>614</v>
      </c>
      <c r="T17" s="457" t="s">
        <v>614</v>
      </c>
    </row>
    <row r="18" spans="1:20" x14ac:dyDescent="0.2">
      <c r="A18" s="737"/>
      <c r="B18" s="458" t="s">
        <v>559</v>
      </c>
      <c r="C18" s="459"/>
      <c r="D18" s="461" t="s">
        <v>549</v>
      </c>
      <c r="E18" s="461" t="s">
        <v>549</v>
      </c>
      <c r="F18" s="461" t="s">
        <v>549</v>
      </c>
      <c r="G18" s="461" t="s">
        <v>549</v>
      </c>
      <c r="H18" s="461" t="s">
        <v>549</v>
      </c>
      <c r="I18" s="460"/>
      <c r="J18" s="460"/>
      <c r="K18" s="460"/>
      <c r="L18" s="460"/>
      <c r="M18" s="460"/>
      <c r="N18" s="460"/>
      <c r="O18" s="460"/>
      <c r="P18" s="462"/>
      <c r="Q18" s="457" t="s">
        <v>614</v>
      </c>
      <c r="R18" s="457" t="s">
        <v>614</v>
      </c>
      <c r="S18" s="457" t="s">
        <v>614</v>
      </c>
      <c r="T18" s="457" t="s">
        <v>614</v>
      </c>
    </row>
    <row r="19" spans="1:20" x14ac:dyDescent="0.2">
      <c r="A19" s="737"/>
      <c r="B19" s="458" t="s">
        <v>603</v>
      </c>
      <c r="C19" s="472" t="s">
        <v>552</v>
      </c>
      <c r="D19" s="460"/>
      <c r="E19" s="460"/>
      <c r="F19" s="460"/>
      <c r="G19" s="460"/>
      <c r="H19" s="460"/>
      <c r="I19" s="444" t="s">
        <v>549</v>
      </c>
      <c r="J19" s="460"/>
      <c r="K19" s="460"/>
      <c r="L19" s="460"/>
      <c r="M19" s="460"/>
      <c r="N19" s="460"/>
      <c r="O19" s="460"/>
      <c r="P19" s="462"/>
      <c r="Q19" s="457" t="s">
        <v>614</v>
      </c>
      <c r="R19" s="457" t="s">
        <v>614</v>
      </c>
      <c r="S19" s="457" t="s">
        <v>614</v>
      </c>
      <c r="T19" s="457" t="s">
        <v>614</v>
      </c>
    </row>
    <row r="20" spans="1:20" x14ac:dyDescent="0.2">
      <c r="A20" s="737"/>
      <c r="B20" s="458" t="s">
        <v>604</v>
      </c>
      <c r="C20" s="459"/>
      <c r="D20" s="473"/>
      <c r="E20" s="473"/>
      <c r="F20" s="473"/>
      <c r="G20" s="473"/>
      <c r="H20" s="473"/>
      <c r="I20" s="461" t="s">
        <v>549</v>
      </c>
      <c r="J20" s="461" t="s">
        <v>549</v>
      </c>
      <c r="K20" s="460"/>
      <c r="L20" s="460"/>
      <c r="M20" s="460"/>
      <c r="N20" s="460"/>
      <c r="O20" s="460"/>
      <c r="P20" s="462"/>
      <c r="Q20" s="457" t="s">
        <v>614</v>
      </c>
      <c r="R20" s="457" t="s">
        <v>614</v>
      </c>
      <c r="S20" s="457" t="s">
        <v>614</v>
      </c>
      <c r="T20" s="457" t="s">
        <v>614</v>
      </c>
    </row>
    <row r="21" spans="1:20" x14ac:dyDescent="0.2">
      <c r="A21" s="738"/>
      <c r="B21" s="465" t="s">
        <v>605</v>
      </c>
      <c r="C21" s="466"/>
      <c r="D21" s="471"/>
      <c r="E21" s="471"/>
      <c r="F21" s="471"/>
      <c r="G21" s="471"/>
      <c r="H21" s="471"/>
      <c r="I21" s="468" t="s">
        <v>549</v>
      </c>
      <c r="J21" s="468" t="s">
        <v>549</v>
      </c>
      <c r="K21" s="467"/>
      <c r="L21" s="467"/>
      <c r="M21" s="467"/>
      <c r="N21" s="467"/>
      <c r="O21" s="467"/>
      <c r="P21" s="469"/>
      <c r="Q21" s="457" t="s">
        <v>614</v>
      </c>
      <c r="R21" s="457" t="s">
        <v>614</v>
      </c>
      <c r="S21" s="457" t="s">
        <v>614</v>
      </c>
      <c r="T21" s="457" t="s">
        <v>614</v>
      </c>
    </row>
    <row r="22" spans="1:20" ht="15" customHeight="1" x14ac:dyDescent="0.2">
      <c r="A22" s="736" t="s">
        <v>560</v>
      </c>
      <c r="B22" s="452" t="s">
        <v>561</v>
      </c>
      <c r="C22" s="453"/>
      <c r="D22" s="454" t="s">
        <v>549</v>
      </c>
      <c r="E22" s="454" t="s">
        <v>549</v>
      </c>
      <c r="F22" s="454" t="s">
        <v>549</v>
      </c>
      <c r="G22" s="454" t="s">
        <v>549</v>
      </c>
      <c r="H22" s="454" t="s">
        <v>549</v>
      </c>
      <c r="I22" s="455"/>
      <c r="J22" s="455"/>
      <c r="K22" s="455"/>
      <c r="L22" s="455"/>
      <c r="M22" s="455"/>
      <c r="N22" s="455"/>
      <c r="O22" s="455"/>
      <c r="P22" s="456"/>
      <c r="Q22" s="457" t="s">
        <v>614</v>
      </c>
      <c r="R22" s="457" t="s">
        <v>614</v>
      </c>
      <c r="S22" s="457" t="s">
        <v>614</v>
      </c>
      <c r="T22" s="457" t="s">
        <v>614</v>
      </c>
    </row>
    <row r="23" spans="1:20" x14ac:dyDescent="0.2">
      <c r="A23" s="737"/>
      <c r="B23" s="458" t="s">
        <v>562</v>
      </c>
      <c r="C23" s="459"/>
      <c r="D23" s="461" t="s">
        <v>549</v>
      </c>
      <c r="E23" s="461" t="s">
        <v>549</v>
      </c>
      <c r="F23" s="461" t="s">
        <v>549</v>
      </c>
      <c r="G23" s="461" t="s">
        <v>549</v>
      </c>
      <c r="H23" s="461" t="s">
        <v>549</v>
      </c>
      <c r="I23" s="460"/>
      <c r="J23" s="460"/>
      <c r="K23" s="460"/>
      <c r="L23" s="460"/>
      <c r="M23" s="460"/>
      <c r="N23" s="460"/>
      <c r="O23" s="460"/>
      <c r="P23" s="462"/>
      <c r="Q23" s="457" t="s">
        <v>614</v>
      </c>
      <c r="R23" s="457" t="s">
        <v>614</v>
      </c>
      <c r="S23" s="457" t="s">
        <v>614</v>
      </c>
      <c r="T23" s="457" t="s">
        <v>614</v>
      </c>
    </row>
    <row r="24" spans="1:20" x14ac:dyDescent="0.2">
      <c r="A24" s="737"/>
      <c r="B24" s="458" t="s">
        <v>563</v>
      </c>
      <c r="C24" s="459"/>
      <c r="D24" s="461" t="s">
        <v>549</v>
      </c>
      <c r="E24" s="461" t="s">
        <v>549</v>
      </c>
      <c r="F24" s="461" t="s">
        <v>549</v>
      </c>
      <c r="G24" s="461" t="s">
        <v>549</v>
      </c>
      <c r="H24" s="461" t="s">
        <v>549</v>
      </c>
      <c r="I24" s="460"/>
      <c r="J24" s="460"/>
      <c r="K24" s="460"/>
      <c r="L24" s="460"/>
      <c r="M24" s="460"/>
      <c r="N24" s="460"/>
      <c r="O24" s="460"/>
      <c r="P24" s="462"/>
      <c r="Q24" s="457" t="s">
        <v>614</v>
      </c>
      <c r="R24" s="457" t="s">
        <v>614</v>
      </c>
      <c r="S24" s="457" t="s">
        <v>614</v>
      </c>
      <c r="T24" s="457" t="s">
        <v>614</v>
      </c>
    </row>
    <row r="25" spans="1:20" x14ac:dyDescent="0.2">
      <c r="A25" s="737"/>
      <c r="B25" s="458" t="s">
        <v>564</v>
      </c>
      <c r="C25" s="459"/>
      <c r="D25" s="461" t="s">
        <v>549</v>
      </c>
      <c r="E25" s="461" t="s">
        <v>549</v>
      </c>
      <c r="F25" s="461" t="s">
        <v>549</v>
      </c>
      <c r="G25" s="461" t="s">
        <v>549</v>
      </c>
      <c r="H25" s="461" t="s">
        <v>549</v>
      </c>
      <c r="I25" s="460"/>
      <c r="J25" s="460"/>
      <c r="K25" s="460"/>
      <c r="L25" s="460"/>
      <c r="M25" s="460"/>
      <c r="N25" s="460"/>
      <c r="O25" s="460"/>
      <c r="P25" s="462"/>
      <c r="Q25" s="457" t="s">
        <v>614</v>
      </c>
      <c r="R25" s="457" t="s">
        <v>614</v>
      </c>
      <c r="S25" s="457" t="s">
        <v>614</v>
      </c>
      <c r="T25" s="457" t="s">
        <v>614</v>
      </c>
    </row>
    <row r="26" spans="1:20" x14ac:dyDescent="0.2">
      <c r="A26" s="737"/>
      <c r="B26" s="458" t="s">
        <v>603</v>
      </c>
      <c r="C26" s="472" t="s">
        <v>552</v>
      </c>
      <c r="D26" s="460"/>
      <c r="E26" s="460"/>
      <c r="F26" s="460"/>
      <c r="G26" s="460"/>
      <c r="H26" s="460"/>
      <c r="I26" s="444" t="s">
        <v>549</v>
      </c>
      <c r="J26" s="460"/>
      <c r="K26" s="460"/>
      <c r="L26" s="460"/>
      <c r="M26" s="460"/>
      <c r="N26" s="460"/>
      <c r="O26" s="460"/>
      <c r="P26" s="462"/>
      <c r="Q26" s="457" t="s">
        <v>614</v>
      </c>
      <c r="R26" s="457" t="s">
        <v>614</v>
      </c>
      <c r="S26" s="457" t="s">
        <v>614</v>
      </c>
      <c r="T26" s="457" t="s">
        <v>614</v>
      </c>
    </row>
    <row r="27" spans="1:20" x14ac:dyDescent="0.2">
      <c r="A27" s="737"/>
      <c r="B27" s="458" t="s">
        <v>606</v>
      </c>
      <c r="C27" s="459"/>
      <c r="D27" s="460"/>
      <c r="E27" s="460"/>
      <c r="F27" s="460"/>
      <c r="G27" s="460"/>
      <c r="H27" s="460"/>
      <c r="I27" s="461" t="s">
        <v>549</v>
      </c>
      <c r="J27" s="460"/>
      <c r="K27" s="460"/>
      <c r="L27" s="460"/>
      <c r="M27" s="460"/>
      <c r="N27" s="460"/>
      <c r="O27" s="460"/>
      <c r="P27" s="462"/>
      <c r="Q27" s="457" t="s">
        <v>614</v>
      </c>
      <c r="R27" s="457" t="s">
        <v>614</v>
      </c>
      <c r="S27" s="457" t="s">
        <v>614</v>
      </c>
      <c r="T27" s="457" t="s">
        <v>614</v>
      </c>
    </row>
    <row r="28" spans="1:20" x14ac:dyDescent="0.2">
      <c r="A28" s="737"/>
      <c r="B28" s="458" t="s">
        <v>607</v>
      </c>
      <c r="C28" s="459"/>
      <c r="D28" s="460"/>
      <c r="E28" s="460"/>
      <c r="F28" s="460"/>
      <c r="G28" s="460"/>
      <c r="H28" s="460"/>
      <c r="I28" s="473"/>
      <c r="J28" s="461" t="s">
        <v>549</v>
      </c>
      <c r="K28" s="460"/>
      <c r="L28" s="460"/>
      <c r="M28" s="460"/>
      <c r="N28" s="460"/>
      <c r="O28" s="460"/>
      <c r="P28" s="462"/>
      <c r="Q28" s="457" t="s">
        <v>614</v>
      </c>
      <c r="R28" s="457" t="s">
        <v>614</v>
      </c>
      <c r="S28" s="457" t="s">
        <v>614</v>
      </c>
      <c r="T28" s="457" t="s">
        <v>614</v>
      </c>
    </row>
    <row r="29" spans="1:20" x14ac:dyDescent="0.2">
      <c r="A29" s="737"/>
      <c r="B29" s="458" t="s">
        <v>565</v>
      </c>
      <c r="C29" s="459"/>
      <c r="D29" s="460"/>
      <c r="E29" s="460"/>
      <c r="F29" s="460"/>
      <c r="G29" s="460"/>
      <c r="H29" s="460"/>
      <c r="I29" s="473"/>
      <c r="J29" s="461" t="s">
        <v>549</v>
      </c>
      <c r="K29" s="460"/>
      <c r="L29" s="460"/>
      <c r="M29" s="460"/>
      <c r="N29" s="460"/>
      <c r="O29" s="460"/>
      <c r="P29" s="462"/>
      <c r="Q29" s="457" t="s">
        <v>614</v>
      </c>
      <c r="R29" s="457" t="s">
        <v>614</v>
      </c>
      <c r="S29" s="457" t="s">
        <v>614</v>
      </c>
      <c r="T29" s="457" t="s">
        <v>614</v>
      </c>
    </row>
    <row r="30" spans="1:20" x14ac:dyDescent="0.2">
      <c r="A30" s="738"/>
      <c r="B30" s="465" t="s">
        <v>566</v>
      </c>
      <c r="C30" s="466"/>
      <c r="D30" s="467"/>
      <c r="E30" s="467"/>
      <c r="F30" s="467"/>
      <c r="G30" s="467"/>
      <c r="H30" s="467"/>
      <c r="I30" s="467"/>
      <c r="J30" s="468" t="s">
        <v>549</v>
      </c>
      <c r="K30" s="467"/>
      <c r="L30" s="467"/>
      <c r="M30" s="467"/>
      <c r="N30" s="467"/>
      <c r="O30" s="467"/>
      <c r="P30" s="469"/>
      <c r="Q30" s="457" t="s">
        <v>614</v>
      </c>
      <c r="R30" s="457" t="s">
        <v>614</v>
      </c>
      <c r="S30" s="457" t="s">
        <v>614</v>
      </c>
      <c r="T30" s="457" t="s">
        <v>614</v>
      </c>
    </row>
    <row r="31" spans="1:20" x14ac:dyDescent="0.2">
      <c r="A31" s="736" t="s">
        <v>567</v>
      </c>
      <c r="B31" s="452" t="s">
        <v>568</v>
      </c>
      <c r="C31" s="453"/>
      <c r="D31" s="454" t="s">
        <v>549</v>
      </c>
      <c r="E31" s="454" t="s">
        <v>549</v>
      </c>
      <c r="F31" s="454" t="s">
        <v>549</v>
      </c>
      <c r="G31" s="454" t="s">
        <v>549</v>
      </c>
      <c r="H31" s="455"/>
      <c r="I31" s="455"/>
      <c r="J31" s="455"/>
      <c r="K31" s="455"/>
      <c r="L31" s="455"/>
      <c r="M31" s="455"/>
      <c r="N31" s="455"/>
      <c r="O31" s="455"/>
      <c r="P31" s="456"/>
      <c r="Q31" s="457" t="s">
        <v>614</v>
      </c>
      <c r="R31" s="457" t="s">
        <v>614</v>
      </c>
      <c r="S31" s="457" t="s">
        <v>614</v>
      </c>
      <c r="T31" s="457" t="s">
        <v>614</v>
      </c>
    </row>
    <row r="32" spans="1:20" x14ac:dyDescent="0.2">
      <c r="A32" s="737"/>
      <c r="B32" s="458" t="s">
        <v>569</v>
      </c>
      <c r="C32" s="459"/>
      <c r="D32" s="461" t="s">
        <v>549</v>
      </c>
      <c r="E32" s="461" t="s">
        <v>549</v>
      </c>
      <c r="F32" s="461" t="s">
        <v>549</v>
      </c>
      <c r="G32" s="461" t="s">
        <v>549</v>
      </c>
      <c r="H32" s="460"/>
      <c r="I32" s="460"/>
      <c r="J32" s="460"/>
      <c r="K32" s="460"/>
      <c r="L32" s="460"/>
      <c r="M32" s="460"/>
      <c r="N32" s="460"/>
      <c r="O32" s="460"/>
      <c r="P32" s="462"/>
      <c r="Q32" s="457" t="s">
        <v>614</v>
      </c>
      <c r="R32" s="457" t="s">
        <v>614</v>
      </c>
      <c r="S32" s="457" t="s">
        <v>614</v>
      </c>
      <c r="T32" s="457" t="s">
        <v>614</v>
      </c>
    </row>
    <row r="33" spans="1:20" x14ac:dyDescent="0.2">
      <c r="A33" s="737"/>
      <c r="B33" s="458" t="s">
        <v>570</v>
      </c>
      <c r="C33" s="459"/>
      <c r="D33" s="461" t="s">
        <v>549</v>
      </c>
      <c r="E33" s="461" t="s">
        <v>549</v>
      </c>
      <c r="F33" s="461" t="s">
        <v>549</v>
      </c>
      <c r="G33" s="461" t="s">
        <v>549</v>
      </c>
      <c r="H33" s="460"/>
      <c r="I33" s="460"/>
      <c r="J33" s="460"/>
      <c r="K33" s="460"/>
      <c r="L33" s="460"/>
      <c r="M33" s="460"/>
      <c r="N33" s="460"/>
      <c r="O33" s="460"/>
      <c r="P33" s="462"/>
      <c r="Q33" s="457" t="s">
        <v>614</v>
      </c>
      <c r="R33" s="457" t="s">
        <v>614</v>
      </c>
      <c r="S33" s="457" t="s">
        <v>614</v>
      </c>
      <c r="T33" s="457" t="s">
        <v>614</v>
      </c>
    </row>
    <row r="34" spans="1:20" x14ac:dyDescent="0.2">
      <c r="A34" s="741" t="s">
        <v>571</v>
      </c>
      <c r="B34" s="452" t="s">
        <v>572</v>
      </c>
      <c r="C34" s="453"/>
      <c r="D34" s="455"/>
      <c r="E34" s="455"/>
      <c r="F34" s="455"/>
      <c r="G34" s="455"/>
      <c r="H34" s="474" t="s">
        <v>549</v>
      </c>
      <c r="I34" s="475" t="s">
        <v>549</v>
      </c>
      <c r="J34" s="476" t="s">
        <v>549</v>
      </c>
      <c r="K34" s="455"/>
      <c r="L34" s="455"/>
      <c r="M34" s="455"/>
      <c r="N34" s="455"/>
      <c r="O34" s="455"/>
      <c r="P34" s="456"/>
      <c r="Q34" s="457" t="s">
        <v>614</v>
      </c>
      <c r="R34" s="457" t="s">
        <v>614</v>
      </c>
      <c r="S34" s="457" t="s">
        <v>614</v>
      </c>
      <c r="T34" s="457" t="s">
        <v>614</v>
      </c>
    </row>
    <row r="35" spans="1:20" x14ac:dyDescent="0.2">
      <c r="A35" s="742"/>
      <c r="B35" s="458" t="s">
        <v>573</v>
      </c>
      <c r="C35" s="459"/>
      <c r="D35" s="460"/>
      <c r="E35" s="460"/>
      <c r="F35" s="460"/>
      <c r="G35" s="460"/>
      <c r="H35" s="477" t="s">
        <v>549</v>
      </c>
      <c r="I35" s="478" t="s">
        <v>549</v>
      </c>
      <c r="J35" s="479" t="s">
        <v>549</v>
      </c>
      <c r="K35" s="460"/>
      <c r="L35" s="460"/>
      <c r="M35" s="460"/>
      <c r="N35" s="460"/>
      <c r="O35" s="460"/>
      <c r="P35" s="462"/>
      <c r="Q35" s="457" t="s">
        <v>614</v>
      </c>
      <c r="R35" s="457" t="s">
        <v>614</v>
      </c>
      <c r="S35" s="457" t="s">
        <v>614</v>
      </c>
      <c r="T35" s="457" t="s">
        <v>614</v>
      </c>
    </row>
    <row r="36" spans="1:20" x14ac:dyDescent="0.2">
      <c r="A36" s="742"/>
      <c r="B36" s="458" t="s">
        <v>574</v>
      </c>
      <c r="C36" s="459"/>
      <c r="D36" s="460"/>
      <c r="E36" s="460"/>
      <c r="F36" s="460"/>
      <c r="G36" s="460"/>
      <c r="H36" s="477" t="s">
        <v>549</v>
      </c>
      <c r="I36" s="478" t="s">
        <v>549</v>
      </c>
      <c r="J36" s="479" t="s">
        <v>549</v>
      </c>
      <c r="K36" s="460"/>
      <c r="L36" s="460"/>
      <c r="M36" s="460"/>
      <c r="N36" s="460"/>
      <c r="O36" s="460"/>
      <c r="P36" s="462"/>
      <c r="Q36" s="457" t="s">
        <v>614</v>
      </c>
      <c r="R36" s="457" t="s">
        <v>614</v>
      </c>
      <c r="S36" s="457" t="s">
        <v>614</v>
      </c>
      <c r="T36" s="457" t="s">
        <v>614</v>
      </c>
    </row>
    <row r="37" spans="1:20" x14ac:dyDescent="0.2">
      <c r="A37" s="743"/>
      <c r="B37" s="465" t="s">
        <v>575</v>
      </c>
      <c r="C37" s="466"/>
      <c r="D37" s="467"/>
      <c r="E37" s="467"/>
      <c r="F37" s="467"/>
      <c r="G37" s="467"/>
      <c r="H37" s="480"/>
      <c r="I37" s="480"/>
      <c r="J37" s="481" t="s">
        <v>549</v>
      </c>
      <c r="K37" s="467"/>
      <c r="L37" s="467"/>
      <c r="M37" s="467"/>
      <c r="N37" s="467"/>
      <c r="O37" s="467"/>
      <c r="P37" s="469"/>
      <c r="Q37" s="457" t="s">
        <v>614</v>
      </c>
      <c r="R37" s="457" t="s">
        <v>614</v>
      </c>
      <c r="S37" s="457" t="s">
        <v>614</v>
      </c>
      <c r="T37" s="457" t="s">
        <v>614</v>
      </c>
    </row>
    <row r="38" spans="1:20" ht="15" customHeight="1" x14ac:dyDescent="0.2">
      <c r="A38" s="736" t="s">
        <v>576</v>
      </c>
      <c r="B38" s="452" t="s">
        <v>577</v>
      </c>
      <c r="C38" s="453"/>
      <c r="D38" s="454" t="s">
        <v>549</v>
      </c>
      <c r="E38" s="454" t="s">
        <v>549</v>
      </c>
      <c r="F38" s="454" t="s">
        <v>549</v>
      </c>
      <c r="G38" s="454" t="s">
        <v>549</v>
      </c>
      <c r="H38" s="455"/>
      <c r="I38" s="455"/>
      <c r="J38" s="455"/>
      <c r="K38" s="455"/>
      <c r="L38" s="455"/>
      <c r="M38" s="455"/>
      <c r="N38" s="455"/>
      <c r="O38" s="455"/>
      <c r="P38" s="456"/>
      <c r="Q38" s="457" t="s">
        <v>614</v>
      </c>
      <c r="R38" s="457" t="s">
        <v>614</v>
      </c>
      <c r="S38" s="457" t="s">
        <v>614</v>
      </c>
      <c r="T38" s="457" t="s">
        <v>614</v>
      </c>
    </row>
    <row r="39" spans="1:20" x14ac:dyDescent="0.2">
      <c r="A39" s="737"/>
      <c r="B39" s="458" t="s">
        <v>578</v>
      </c>
      <c r="C39" s="459"/>
      <c r="D39" s="461" t="s">
        <v>549</v>
      </c>
      <c r="E39" s="461" t="s">
        <v>549</v>
      </c>
      <c r="F39" s="461" t="s">
        <v>549</v>
      </c>
      <c r="G39" s="461" t="s">
        <v>549</v>
      </c>
      <c r="H39" s="482"/>
      <c r="I39" s="482"/>
      <c r="J39" s="482"/>
      <c r="K39" s="482"/>
      <c r="L39" s="482"/>
      <c r="M39" s="482"/>
      <c r="N39" s="482"/>
      <c r="O39" s="482"/>
      <c r="P39" s="483"/>
      <c r="Q39" s="457" t="s">
        <v>614</v>
      </c>
      <c r="R39" s="457" t="s">
        <v>614</v>
      </c>
      <c r="S39" s="457" t="s">
        <v>614</v>
      </c>
      <c r="T39" s="457" t="s">
        <v>614</v>
      </c>
    </row>
    <row r="40" spans="1:20" x14ac:dyDescent="0.2">
      <c r="A40" s="737"/>
      <c r="B40" s="458" t="s">
        <v>579</v>
      </c>
      <c r="C40" s="459"/>
      <c r="D40" s="461" t="s">
        <v>549</v>
      </c>
      <c r="E40" s="461" t="s">
        <v>549</v>
      </c>
      <c r="F40" s="461" t="s">
        <v>549</v>
      </c>
      <c r="G40" s="461" t="s">
        <v>549</v>
      </c>
      <c r="H40" s="460"/>
      <c r="I40" s="460"/>
      <c r="J40" s="460"/>
      <c r="K40" s="460"/>
      <c r="L40" s="460"/>
      <c r="M40" s="460"/>
      <c r="N40" s="460"/>
      <c r="O40" s="460"/>
      <c r="P40" s="462"/>
      <c r="Q40" s="457" t="s">
        <v>614</v>
      </c>
      <c r="R40" s="457" t="s">
        <v>614</v>
      </c>
      <c r="S40" s="457" t="s">
        <v>614</v>
      </c>
      <c r="T40" s="457" t="s">
        <v>614</v>
      </c>
    </row>
    <row r="41" spans="1:20" ht="15" customHeight="1" x14ac:dyDescent="0.2">
      <c r="A41" s="737"/>
      <c r="B41" s="465" t="s">
        <v>608</v>
      </c>
      <c r="C41" s="466" t="s">
        <v>551</v>
      </c>
      <c r="D41" s="467"/>
      <c r="E41" s="467"/>
      <c r="F41" s="467"/>
      <c r="G41" s="467"/>
      <c r="H41" s="484" t="s">
        <v>549</v>
      </c>
      <c r="I41" s="467"/>
      <c r="J41" s="467"/>
      <c r="K41" s="467"/>
      <c r="L41" s="467"/>
      <c r="M41" s="467"/>
      <c r="N41" s="467"/>
      <c r="O41" s="467"/>
      <c r="P41" s="469"/>
      <c r="Q41" s="457" t="s">
        <v>614</v>
      </c>
      <c r="R41" s="457" t="s">
        <v>614</v>
      </c>
      <c r="S41" s="457" t="s">
        <v>614</v>
      </c>
      <c r="T41" s="457" t="s">
        <v>614</v>
      </c>
    </row>
    <row r="42" spans="1:20" ht="15.75" customHeight="1" x14ac:dyDescent="0.2">
      <c r="A42" s="736" t="s">
        <v>580</v>
      </c>
      <c r="B42" s="485" t="s">
        <v>609</v>
      </c>
      <c r="C42" s="453"/>
      <c r="D42" s="455"/>
      <c r="E42" s="455"/>
      <c r="F42" s="455"/>
      <c r="G42" s="455"/>
      <c r="H42" s="455"/>
      <c r="I42" s="455"/>
      <c r="J42" s="486" t="s">
        <v>549</v>
      </c>
      <c r="K42" s="455"/>
      <c r="L42" s="455"/>
      <c r="M42" s="455"/>
      <c r="N42" s="455"/>
      <c r="O42" s="455"/>
      <c r="P42" s="456"/>
      <c r="Q42" s="457" t="s">
        <v>614</v>
      </c>
      <c r="R42" s="457" t="s">
        <v>614</v>
      </c>
      <c r="S42" s="457" t="s">
        <v>614</v>
      </c>
      <c r="T42" s="457" t="s">
        <v>614</v>
      </c>
    </row>
    <row r="43" spans="1:20" x14ac:dyDescent="0.2">
      <c r="A43" s="737"/>
      <c r="B43" s="487" t="s">
        <v>581</v>
      </c>
      <c r="C43" s="459"/>
      <c r="D43" s="460"/>
      <c r="E43" s="460"/>
      <c r="F43" s="460"/>
      <c r="G43" s="461" t="s">
        <v>549</v>
      </c>
      <c r="H43" s="461" t="s">
        <v>549</v>
      </c>
      <c r="I43" s="460"/>
      <c r="J43" s="460"/>
      <c r="K43" s="460"/>
      <c r="L43" s="460"/>
      <c r="M43" s="460"/>
      <c r="N43" s="460"/>
      <c r="O43" s="460"/>
      <c r="P43" s="462"/>
      <c r="Q43" s="457" t="s">
        <v>614</v>
      </c>
      <c r="R43" s="457" t="s">
        <v>614</v>
      </c>
      <c r="S43" s="457" t="s">
        <v>614</v>
      </c>
      <c r="T43" s="457" t="s">
        <v>614</v>
      </c>
    </row>
    <row r="44" spans="1:20" x14ac:dyDescent="0.2">
      <c r="A44" s="737"/>
      <c r="B44" s="487" t="s">
        <v>582</v>
      </c>
      <c r="C44" s="459"/>
      <c r="D44" s="460"/>
      <c r="E44" s="460"/>
      <c r="F44" s="460"/>
      <c r="G44" s="461" t="s">
        <v>549</v>
      </c>
      <c r="H44" s="461" t="s">
        <v>549</v>
      </c>
      <c r="I44" s="460"/>
      <c r="J44" s="460"/>
      <c r="K44" s="460"/>
      <c r="L44" s="460"/>
      <c r="M44" s="460"/>
      <c r="N44" s="460"/>
      <c r="O44" s="460"/>
      <c r="P44" s="462"/>
      <c r="Q44" s="457" t="s">
        <v>614</v>
      </c>
      <c r="R44" s="457" t="s">
        <v>614</v>
      </c>
      <c r="S44" s="457" t="s">
        <v>614</v>
      </c>
      <c r="T44" s="457" t="s">
        <v>614</v>
      </c>
    </row>
    <row r="45" spans="1:20" x14ac:dyDescent="0.2">
      <c r="A45" s="737"/>
      <c r="B45" s="487" t="s">
        <v>583</v>
      </c>
      <c r="C45" s="459"/>
      <c r="D45" s="460"/>
      <c r="E45" s="460"/>
      <c r="F45" s="460"/>
      <c r="G45" s="461" t="s">
        <v>549</v>
      </c>
      <c r="H45" s="461" t="s">
        <v>549</v>
      </c>
      <c r="I45" s="461" t="s">
        <v>549</v>
      </c>
      <c r="J45" s="461" t="s">
        <v>549</v>
      </c>
      <c r="K45" s="460"/>
      <c r="L45" s="460"/>
      <c r="M45" s="460"/>
      <c r="N45" s="460"/>
      <c r="O45" s="460"/>
      <c r="P45" s="462"/>
      <c r="Q45" s="457" t="s">
        <v>614</v>
      </c>
      <c r="R45" s="457" t="s">
        <v>614</v>
      </c>
      <c r="S45" s="457" t="s">
        <v>614</v>
      </c>
      <c r="T45" s="457" t="s">
        <v>614</v>
      </c>
    </row>
    <row r="46" spans="1:20" x14ac:dyDescent="0.2">
      <c r="A46" s="737"/>
      <c r="B46" s="487" t="s">
        <v>584</v>
      </c>
      <c r="C46" s="459"/>
      <c r="D46" s="460"/>
      <c r="E46" s="460"/>
      <c r="F46" s="460"/>
      <c r="G46" s="461" t="s">
        <v>549</v>
      </c>
      <c r="H46" s="461" t="s">
        <v>549</v>
      </c>
      <c r="I46" s="460"/>
      <c r="J46" s="460"/>
      <c r="K46" s="460"/>
      <c r="L46" s="460"/>
      <c r="M46" s="460"/>
      <c r="N46" s="460"/>
      <c r="O46" s="460"/>
      <c r="P46" s="462"/>
      <c r="Q46" s="457" t="s">
        <v>614</v>
      </c>
      <c r="R46" s="457" t="s">
        <v>614</v>
      </c>
      <c r="S46" s="457" t="s">
        <v>614</v>
      </c>
      <c r="T46" s="457" t="s">
        <v>614</v>
      </c>
    </row>
    <row r="47" spans="1:20" x14ac:dyDescent="0.2">
      <c r="A47" s="737"/>
      <c r="B47" s="487" t="s">
        <v>585</v>
      </c>
      <c r="C47" s="459"/>
      <c r="D47" s="460"/>
      <c r="E47" s="460"/>
      <c r="F47" s="460"/>
      <c r="G47" s="460"/>
      <c r="H47" s="460"/>
      <c r="I47" s="460"/>
      <c r="J47" s="461" t="s">
        <v>549</v>
      </c>
      <c r="K47" s="460"/>
      <c r="L47" s="460"/>
      <c r="M47" s="460"/>
      <c r="N47" s="460"/>
      <c r="O47" s="460"/>
      <c r="P47" s="462"/>
      <c r="Q47" s="457" t="s">
        <v>614</v>
      </c>
      <c r="R47" s="457" t="s">
        <v>614</v>
      </c>
      <c r="S47" s="457" t="s">
        <v>614</v>
      </c>
      <c r="T47" s="457" t="s">
        <v>614</v>
      </c>
    </row>
    <row r="48" spans="1:20" ht="13.5" customHeight="1" x14ac:dyDescent="0.2">
      <c r="A48" s="737"/>
      <c r="B48" s="487" t="s">
        <v>589</v>
      </c>
      <c r="C48" s="459"/>
      <c r="D48" s="460"/>
      <c r="E48" s="460"/>
      <c r="F48" s="460"/>
      <c r="G48" s="460"/>
      <c r="H48" s="460"/>
      <c r="I48" s="460"/>
      <c r="J48" s="460"/>
      <c r="K48" s="461" t="s">
        <v>549</v>
      </c>
      <c r="L48" s="460"/>
      <c r="M48" s="460"/>
      <c r="N48" s="460"/>
      <c r="O48" s="460"/>
      <c r="P48" s="462"/>
      <c r="Q48" s="457" t="s">
        <v>614</v>
      </c>
      <c r="R48" s="457" t="s">
        <v>614</v>
      </c>
      <c r="S48" s="457" t="s">
        <v>614</v>
      </c>
      <c r="T48" s="457" t="s">
        <v>614</v>
      </c>
    </row>
    <row r="49" spans="1:20" x14ac:dyDescent="0.2">
      <c r="A49" s="737"/>
      <c r="B49" s="487" t="s">
        <v>590</v>
      </c>
      <c r="C49" s="459"/>
      <c r="D49" s="460"/>
      <c r="E49" s="460"/>
      <c r="F49" s="460"/>
      <c r="G49" s="460"/>
      <c r="H49" s="460"/>
      <c r="I49" s="460"/>
      <c r="J49" s="460"/>
      <c r="K49" s="460"/>
      <c r="L49" s="461" t="s">
        <v>549</v>
      </c>
      <c r="M49" s="460"/>
      <c r="N49" s="460"/>
      <c r="O49" s="460"/>
      <c r="P49" s="462"/>
      <c r="Q49" s="457" t="s">
        <v>614</v>
      </c>
      <c r="R49" s="457" t="s">
        <v>614</v>
      </c>
      <c r="S49" s="457" t="s">
        <v>614</v>
      </c>
      <c r="T49" s="457" t="s">
        <v>614</v>
      </c>
    </row>
    <row r="50" spans="1:20" x14ac:dyDescent="0.2">
      <c r="A50" s="737"/>
      <c r="B50" s="487" t="s">
        <v>591</v>
      </c>
      <c r="C50" s="459"/>
      <c r="G50" s="460"/>
      <c r="H50" s="460"/>
      <c r="I50" s="460"/>
      <c r="J50" s="460"/>
      <c r="K50" s="460"/>
      <c r="L50" s="461" t="s">
        <v>549</v>
      </c>
      <c r="M50" s="460"/>
      <c r="N50" s="460"/>
      <c r="O50" s="460"/>
      <c r="P50" s="462"/>
      <c r="Q50" s="457" t="s">
        <v>614</v>
      </c>
      <c r="R50" s="457" t="s">
        <v>614</v>
      </c>
      <c r="S50" s="457" t="s">
        <v>614</v>
      </c>
      <c r="T50" s="457" t="s">
        <v>614</v>
      </c>
    </row>
    <row r="51" spans="1:20" x14ac:dyDescent="0.2">
      <c r="A51" s="737"/>
      <c r="B51" s="487" t="s">
        <v>610</v>
      </c>
      <c r="C51" s="472" t="s">
        <v>552</v>
      </c>
      <c r="D51" s="460"/>
      <c r="E51" s="460"/>
      <c r="F51" s="460"/>
      <c r="G51" s="460"/>
      <c r="H51" s="460"/>
      <c r="I51" s="460"/>
      <c r="J51" s="460"/>
      <c r="K51" s="460"/>
      <c r="L51" s="444" t="s">
        <v>549</v>
      </c>
      <c r="M51" s="460"/>
      <c r="N51" s="460"/>
      <c r="O51" s="460"/>
      <c r="P51" s="462"/>
      <c r="Q51" s="457" t="s">
        <v>614</v>
      </c>
      <c r="R51" s="457" t="s">
        <v>614</v>
      </c>
      <c r="S51" s="457" t="s">
        <v>614</v>
      </c>
      <c r="T51" s="457" t="s">
        <v>614</v>
      </c>
    </row>
    <row r="52" spans="1:20" x14ac:dyDescent="0.2">
      <c r="A52" s="737"/>
      <c r="B52" s="487" t="s">
        <v>592</v>
      </c>
      <c r="C52" s="459"/>
      <c r="D52" s="460"/>
      <c r="E52" s="460"/>
      <c r="F52" s="460"/>
      <c r="G52" s="460"/>
      <c r="H52" s="460"/>
      <c r="I52" s="460"/>
      <c r="J52" s="460"/>
      <c r="K52" s="460"/>
      <c r="L52" s="460"/>
      <c r="M52" s="488" t="s">
        <v>549</v>
      </c>
      <c r="N52" s="460"/>
      <c r="O52" s="460"/>
      <c r="P52" s="462"/>
      <c r="Q52" s="457" t="s">
        <v>614</v>
      </c>
      <c r="R52" s="457" t="s">
        <v>614</v>
      </c>
      <c r="S52" s="457" t="s">
        <v>614</v>
      </c>
      <c r="T52" s="457" t="s">
        <v>614</v>
      </c>
    </row>
    <row r="53" spans="1:20" x14ac:dyDescent="0.2">
      <c r="A53" s="738"/>
      <c r="B53" s="489" t="s">
        <v>593</v>
      </c>
      <c r="C53" s="466"/>
      <c r="D53" s="467"/>
      <c r="E53" s="467"/>
      <c r="F53" s="467"/>
      <c r="G53" s="467"/>
      <c r="H53" s="467"/>
      <c r="I53" s="467"/>
      <c r="J53" s="467"/>
      <c r="K53" s="467"/>
      <c r="L53" s="467"/>
      <c r="M53" s="490" t="s">
        <v>549</v>
      </c>
      <c r="N53" s="467"/>
      <c r="O53" s="467"/>
      <c r="P53" s="469"/>
      <c r="Q53" s="457" t="s">
        <v>614</v>
      </c>
      <c r="R53" s="457" t="s">
        <v>614</v>
      </c>
      <c r="S53" s="457" t="s">
        <v>614</v>
      </c>
      <c r="T53" s="457" t="s">
        <v>614</v>
      </c>
    </row>
    <row r="54" spans="1:20" ht="12.75" customHeight="1" x14ac:dyDescent="0.2">
      <c r="A54" s="736" t="s">
        <v>753</v>
      </c>
      <c r="B54" s="442" t="s">
        <v>998</v>
      </c>
      <c r="D54" s="460"/>
      <c r="E54" s="461" t="s">
        <v>549</v>
      </c>
      <c r="F54" s="460"/>
      <c r="G54" s="461" t="s">
        <v>549</v>
      </c>
      <c r="H54" s="460"/>
      <c r="I54" s="460"/>
      <c r="J54" s="460"/>
      <c r="K54" s="460"/>
      <c r="L54" s="460"/>
      <c r="M54" s="460"/>
      <c r="N54" s="460"/>
      <c r="O54" s="460"/>
      <c r="P54" s="460"/>
      <c r="Q54" s="457" t="s">
        <v>614</v>
      </c>
      <c r="R54" s="457" t="s">
        <v>614</v>
      </c>
      <c r="S54" s="457" t="s">
        <v>614</v>
      </c>
      <c r="T54" s="457" t="s">
        <v>614</v>
      </c>
    </row>
    <row r="55" spans="1:20" x14ac:dyDescent="0.2">
      <c r="A55" s="737"/>
      <c r="B55" s="442" t="s">
        <v>999</v>
      </c>
      <c r="D55" s="460"/>
      <c r="E55" s="460"/>
      <c r="F55" s="460"/>
      <c r="G55" s="461" t="s">
        <v>549</v>
      </c>
      <c r="H55" s="460"/>
      <c r="I55" s="460"/>
      <c r="J55" s="460"/>
      <c r="K55" s="460"/>
      <c r="L55" s="460"/>
      <c r="M55" s="460"/>
      <c r="N55" s="460"/>
      <c r="O55" s="460"/>
      <c r="P55" s="460"/>
      <c r="Q55" s="457" t="s">
        <v>614</v>
      </c>
      <c r="R55" s="457" t="s">
        <v>614</v>
      </c>
      <c r="S55" s="457" t="s">
        <v>614</v>
      </c>
      <c r="T55" s="457" t="s">
        <v>614</v>
      </c>
    </row>
    <row r="56" spans="1:20" x14ac:dyDescent="0.2">
      <c r="A56" s="737"/>
      <c r="B56" s="442" t="s">
        <v>1024</v>
      </c>
      <c r="D56" s="460"/>
      <c r="E56" s="460"/>
      <c r="F56" s="460"/>
      <c r="H56" s="461" t="s">
        <v>549</v>
      </c>
      <c r="I56" s="460"/>
      <c r="J56" s="460"/>
      <c r="K56" s="460"/>
      <c r="L56" s="460"/>
      <c r="M56" s="460"/>
      <c r="N56" s="460"/>
      <c r="O56" s="460"/>
      <c r="P56" s="460"/>
      <c r="Q56" s="457" t="s">
        <v>614</v>
      </c>
      <c r="R56" s="457" t="s">
        <v>614</v>
      </c>
      <c r="S56" s="457" t="s">
        <v>614</v>
      </c>
      <c r="T56" s="457" t="s">
        <v>614</v>
      </c>
    </row>
    <row r="57" spans="1:20" x14ac:dyDescent="0.2">
      <c r="A57" s="737"/>
      <c r="B57" s="442" t="s">
        <v>1000</v>
      </c>
      <c r="D57" s="460"/>
      <c r="E57" s="460"/>
      <c r="F57" s="460"/>
      <c r="G57" s="461" t="s">
        <v>549</v>
      </c>
      <c r="H57" s="460"/>
      <c r="I57" s="460"/>
      <c r="J57" s="460"/>
      <c r="K57" s="460"/>
      <c r="L57" s="460"/>
      <c r="M57" s="460"/>
      <c r="N57" s="460"/>
      <c r="O57" s="460"/>
      <c r="P57" s="460"/>
      <c r="Q57" s="457" t="s">
        <v>614</v>
      </c>
      <c r="R57" s="457" t="s">
        <v>614</v>
      </c>
      <c r="S57" s="457" t="s">
        <v>614</v>
      </c>
      <c r="T57" s="457" t="s">
        <v>614</v>
      </c>
    </row>
    <row r="58" spans="1:20" x14ac:dyDescent="0.2">
      <c r="A58" s="737"/>
      <c r="B58" s="442" t="s">
        <v>1023</v>
      </c>
      <c r="D58" s="460"/>
      <c r="E58" s="460"/>
      <c r="F58" s="460"/>
      <c r="G58" s="461" t="s">
        <v>549</v>
      </c>
      <c r="H58" s="460"/>
      <c r="I58" s="460"/>
      <c r="J58" s="460"/>
      <c r="K58" s="460"/>
      <c r="L58" s="460"/>
      <c r="M58" s="460"/>
      <c r="N58" s="460"/>
      <c r="O58" s="460"/>
      <c r="P58" s="460"/>
      <c r="Q58" s="457" t="s">
        <v>614</v>
      </c>
      <c r="R58" s="457" t="s">
        <v>614</v>
      </c>
      <c r="S58" s="457" t="s">
        <v>614</v>
      </c>
      <c r="T58" s="457" t="s">
        <v>614</v>
      </c>
    </row>
    <row r="59" spans="1:20" x14ac:dyDescent="0.2">
      <c r="A59" s="737"/>
      <c r="B59" s="442" t="s">
        <v>1022</v>
      </c>
      <c r="D59" s="460"/>
      <c r="E59" s="460"/>
      <c r="F59" s="460"/>
      <c r="G59" s="461" t="s">
        <v>549</v>
      </c>
      <c r="H59" s="460"/>
      <c r="I59" s="460"/>
      <c r="J59" s="460"/>
      <c r="K59" s="460"/>
      <c r="L59" s="460"/>
      <c r="M59" s="460"/>
      <c r="N59" s="460"/>
      <c r="O59" s="460"/>
      <c r="P59" s="460"/>
      <c r="Q59" s="457" t="s">
        <v>614</v>
      </c>
      <c r="R59" s="457" t="s">
        <v>614</v>
      </c>
      <c r="S59" s="457" t="s">
        <v>614</v>
      </c>
      <c r="T59" s="457" t="s">
        <v>614</v>
      </c>
    </row>
    <row r="60" spans="1:20" x14ac:dyDescent="0.2">
      <c r="A60" s="737"/>
      <c r="B60" s="487" t="s">
        <v>586</v>
      </c>
      <c r="C60" s="459"/>
      <c r="D60" s="460"/>
      <c r="E60" s="460"/>
      <c r="F60" s="460"/>
      <c r="G60" s="460"/>
      <c r="H60" s="460"/>
      <c r="I60" s="461" t="s">
        <v>549</v>
      </c>
      <c r="K60" s="460"/>
      <c r="L60" s="460"/>
      <c r="M60" s="460"/>
      <c r="N60" s="460"/>
      <c r="O60" s="460"/>
      <c r="P60" s="462"/>
      <c r="Q60" s="457" t="s">
        <v>614</v>
      </c>
      <c r="R60" s="457" t="s">
        <v>614</v>
      </c>
      <c r="S60" s="457" t="s">
        <v>614</v>
      </c>
      <c r="T60" s="457" t="s">
        <v>614</v>
      </c>
    </row>
    <row r="61" spans="1:20" x14ac:dyDescent="0.2">
      <c r="A61" s="737"/>
      <c r="B61" s="487" t="s">
        <v>1001</v>
      </c>
      <c r="C61" s="459"/>
      <c r="D61" s="460"/>
      <c r="E61" s="460"/>
      <c r="F61" s="460"/>
      <c r="G61" s="460"/>
      <c r="H61" s="460"/>
      <c r="I61" s="461" t="s">
        <v>549</v>
      </c>
      <c r="K61" s="460"/>
      <c r="L61" s="460"/>
      <c r="M61" s="460"/>
      <c r="N61" s="460"/>
      <c r="O61" s="460"/>
      <c r="P61" s="462"/>
      <c r="Q61" s="457" t="s">
        <v>614</v>
      </c>
      <c r="R61" s="457" t="s">
        <v>614</v>
      </c>
      <c r="S61" s="457" t="s">
        <v>614</v>
      </c>
      <c r="T61" s="457" t="s">
        <v>614</v>
      </c>
    </row>
    <row r="62" spans="1:20" x14ac:dyDescent="0.2">
      <c r="A62" s="737"/>
      <c r="B62" s="487" t="s">
        <v>1002</v>
      </c>
      <c r="C62" s="459"/>
      <c r="D62" s="460"/>
      <c r="E62" s="460"/>
      <c r="F62" s="460"/>
      <c r="G62" s="460"/>
      <c r="H62" s="460"/>
      <c r="I62" s="461" t="s">
        <v>549</v>
      </c>
      <c r="J62" s="460"/>
      <c r="K62" s="460"/>
      <c r="L62" s="460"/>
      <c r="M62" s="460"/>
      <c r="N62" s="460"/>
      <c r="O62" s="460"/>
      <c r="P62" s="462"/>
      <c r="Q62" s="457" t="s">
        <v>614</v>
      </c>
      <c r="R62" s="457" t="s">
        <v>614</v>
      </c>
      <c r="S62" s="457" t="s">
        <v>614</v>
      </c>
      <c r="T62" s="457" t="s">
        <v>614</v>
      </c>
    </row>
    <row r="63" spans="1:20" x14ac:dyDescent="0.2">
      <c r="A63" s="737"/>
      <c r="B63" s="487" t="s">
        <v>587</v>
      </c>
      <c r="C63" s="459"/>
      <c r="D63" s="460"/>
      <c r="E63" s="460"/>
      <c r="F63" s="460"/>
      <c r="G63" s="460"/>
      <c r="H63" s="460"/>
      <c r="I63" s="460"/>
      <c r="J63" s="460"/>
      <c r="K63" s="461" t="s">
        <v>549</v>
      </c>
      <c r="L63" s="460"/>
      <c r="M63" s="460"/>
      <c r="N63" s="460"/>
      <c r="O63" s="460"/>
      <c r="P63" s="462"/>
      <c r="Q63" s="457" t="s">
        <v>614</v>
      </c>
      <c r="R63" s="457" t="s">
        <v>614</v>
      </c>
      <c r="S63" s="457" t="s">
        <v>614</v>
      </c>
      <c r="T63" s="457" t="s">
        <v>614</v>
      </c>
    </row>
    <row r="64" spans="1:20" x14ac:dyDescent="0.2">
      <c r="A64" s="737"/>
      <c r="B64" s="487" t="s">
        <v>588</v>
      </c>
      <c r="C64" s="459"/>
      <c r="D64" s="460"/>
      <c r="E64" s="460"/>
      <c r="F64" s="460"/>
      <c r="G64" s="460"/>
      <c r="H64" s="460"/>
      <c r="I64" s="460"/>
      <c r="J64" s="460"/>
      <c r="K64" s="461" t="s">
        <v>549</v>
      </c>
      <c r="L64" s="460"/>
      <c r="M64" s="460"/>
      <c r="N64" s="460"/>
      <c r="O64" s="460"/>
      <c r="P64" s="462"/>
      <c r="Q64" s="457" t="s">
        <v>614</v>
      </c>
      <c r="R64" s="457" t="s">
        <v>614</v>
      </c>
      <c r="S64" s="457" t="s">
        <v>614</v>
      </c>
      <c r="T64" s="457" t="s">
        <v>614</v>
      </c>
    </row>
    <row r="65" spans="1:20" x14ac:dyDescent="0.2">
      <c r="A65" s="737"/>
      <c r="B65" s="487" t="s">
        <v>1003</v>
      </c>
      <c r="C65" s="459"/>
      <c r="D65" s="460"/>
      <c r="E65" s="460"/>
      <c r="F65" s="460"/>
      <c r="G65" s="460"/>
      <c r="H65" s="460"/>
      <c r="I65" s="460"/>
      <c r="J65" s="460"/>
      <c r="K65" s="461" t="s">
        <v>549</v>
      </c>
      <c r="L65" s="460"/>
      <c r="M65" s="460"/>
      <c r="N65" s="460"/>
      <c r="O65" s="460"/>
      <c r="P65" s="462"/>
      <c r="Q65" s="457" t="s">
        <v>614</v>
      </c>
      <c r="R65" s="457" t="s">
        <v>614</v>
      </c>
      <c r="S65" s="457" t="s">
        <v>614</v>
      </c>
      <c r="T65" s="457" t="s">
        <v>614</v>
      </c>
    </row>
    <row r="66" spans="1:20" x14ac:dyDescent="0.2">
      <c r="A66" s="737"/>
      <c r="B66" s="487" t="s">
        <v>1004</v>
      </c>
      <c r="C66" s="459"/>
      <c r="D66" s="460"/>
      <c r="E66" s="460"/>
      <c r="F66" s="460"/>
      <c r="G66" s="460"/>
      <c r="H66" s="460"/>
      <c r="I66" s="461" t="s">
        <v>549</v>
      </c>
      <c r="J66" s="460"/>
      <c r="K66" s="460"/>
      <c r="L66" s="460"/>
      <c r="M66" s="460"/>
      <c r="N66" s="460"/>
      <c r="O66" s="460"/>
      <c r="P66" s="462"/>
      <c r="Q66" s="457" t="s">
        <v>614</v>
      </c>
      <c r="R66" s="457" t="s">
        <v>614</v>
      </c>
      <c r="S66" s="457" t="s">
        <v>614</v>
      </c>
      <c r="T66" s="457" t="s">
        <v>614</v>
      </c>
    </row>
    <row r="67" spans="1:20" x14ac:dyDescent="0.2">
      <c r="A67" s="737"/>
      <c r="B67" s="442" t="s">
        <v>1005</v>
      </c>
      <c r="D67" s="460"/>
      <c r="E67" s="460"/>
      <c r="F67" s="460"/>
      <c r="G67" s="460"/>
      <c r="H67" s="460"/>
      <c r="I67" s="460"/>
      <c r="J67" s="460"/>
      <c r="K67" s="460"/>
      <c r="L67" s="460"/>
      <c r="M67" s="460"/>
      <c r="N67" s="460"/>
      <c r="O67" s="460"/>
      <c r="P67" s="461" t="s">
        <v>549</v>
      </c>
      <c r="Q67" s="457" t="s">
        <v>614</v>
      </c>
      <c r="R67" s="457" t="s">
        <v>614</v>
      </c>
      <c r="S67" s="457" t="s">
        <v>614</v>
      </c>
      <c r="T67" s="457" t="s">
        <v>614</v>
      </c>
    </row>
  </sheetData>
  <mergeCells count="9">
    <mergeCell ref="A38:A41"/>
    <mergeCell ref="A42:A53"/>
    <mergeCell ref="A54:A67"/>
    <mergeCell ref="A8:A12"/>
    <mergeCell ref="A13:A14"/>
    <mergeCell ref="A15:A21"/>
    <mergeCell ref="A22:A30"/>
    <mergeCell ref="A31:A33"/>
    <mergeCell ref="A34:A37"/>
  </mergeCells>
  <conditionalFormatting sqref="Q8:T51">
    <cfRule type="cellIs" dxfId="40" priority="47" operator="equal">
      <formula>$U$2</formula>
    </cfRule>
  </conditionalFormatting>
  <conditionalFormatting sqref="Q8:T53">
    <cfRule type="cellIs" dxfId="39" priority="24" operator="equal">
      <formula>$U$3</formula>
    </cfRule>
  </conditionalFormatting>
  <conditionalFormatting sqref="Q52:T52">
    <cfRule type="cellIs" dxfId="38" priority="23" operator="equal">
      <formula>$U$2</formula>
    </cfRule>
    <cfRule type="cellIs" dxfId="37" priority="22" operator="equal">
      <formula>$U$3</formula>
    </cfRule>
  </conditionalFormatting>
  <conditionalFormatting sqref="Q53:T53">
    <cfRule type="cellIs" dxfId="36" priority="27" operator="equal">
      <formula>$U$3</formula>
    </cfRule>
    <cfRule type="cellIs" dxfId="35" priority="26" operator="equal">
      <formula>$U$2</formula>
    </cfRule>
  </conditionalFormatting>
  <conditionalFormatting sqref="Q54:T54">
    <cfRule type="cellIs" dxfId="34" priority="36" operator="equal">
      <formula>$U$3</formula>
    </cfRule>
    <cfRule type="cellIs" dxfId="33" priority="35" operator="equal">
      <formula>$U$2</formula>
    </cfRule>
  </conditionalFormatting>
  <conditionalFormatting sqref="Q54:T55">
    <cfRule type="cellIs" dxfId="32" priority="33" operator="equal">
      <formula>$U$3</formula>
    </cfRule>
  </conditionalFormatting>
  <conditionalFormatting sqref="Q55:T55">
    <cfRule type="cellIs" dxfId="31" priority="32" operator="equal">
      <formula>$U$2</formula>
    </cfRule>
  </conditionalFormatting>
  <conditionalFormatting sqref="Q55:T56">
    <cfRule type="cellIs" dxfId="30" priority="3" operator="equal">
      <formula>$U$3</formula>
    </cfRule>
  </conditionalFormatting>
  <conditionalFormatting sqref="Q56:T56">
    <cfRule type="cellIs" dxfId="29" priority="2" operator="equal">
      <formula>$U$2</formula>
    </cfRule>
    <cfRule type="cellIs" dxfId="28" priority="1" operator="equal">
      <formula>$U$3</formula>
    </cfRule>
  </conditionalFormatting>
  <conditionalFormatting sqref="Q57:T57">
    <cfRule type="cellIs" dxfId="27" priority="29" operator="equal">
      <formula>$U$2</formula>
    </cfRule>
    <cfRule type="cellIs" dxfId="26" priority="30" operator="equal">
      <formula>$U$3</formula>
    </cfRule>
  </conditionalFormatting>
  <conditionalFormatting sqref="Q57:T59">
    <cfRule type="cellIs" dxfId="25" priority="6" operator="equal">
      <formula>$U$3</formula>
    </cfRule>
  </conditionalFormatting>
  <conditionalFormatting sqref="Q58:T58">
    <cfRule type="cellIs" dxfId="24" priority="4" operator="equal">
      <formula>$U$3</formula>
    </cfRule>
    <cfRule type="cellIs" dxfId="23" priority="5" operator="equal">
      <formula>$U$2</formula>
    </cfRule>
  </conditionalFormatting>
  <conditionalFormatting sqref="Q59:T59">
    <cfRule type="cellIs" dxfId="22" priority="8" operator="equal">
      <formula>$U$2</formula>
    </cfRule>
    <cfRule type="cellIs" dxfId="21" priority="9" operator="equal">
      <formula>$U$3</formula>
    </cfRule>
  </conditionalFormatting>
  <conditionalFormatting sqref="Q60:T60 Q62:T62">
    <cfRule type="cellIs" dxfId="20" priority="41" operator="equal">
      <formula>$U$2</formula>
    </cfRule>
  </conditionalFormatting>
  <conditionalFormatting sqref="Q60:T60 Q62:T63">
    <cfRule type="cellIs" dxfId="19" priority="42" operator="equal">
      <formula>$U$3</formula>
    </cfRule>
  </conditionalFormatting>
  <conditionalFormatting sqref="Q60:T62">
    <cfRule type="cellIs" dxfId="18" priority="12" operator="equal">
      <formula>$U$3</formula>
    </cfRule>
  </conditionalFormatting>
  <conditionalFormatting sqref="Q61:T61">
    <cfRule type="cellIs" dxfId="17" priority="10" operator="equal">
      <formula>$U$3</formula>
    </cfRule>
    <cfRule type="cellIs" dxfId="16" priority="11" operator="equal">
      <formula>$U$2</formula>
    </cfRule>
  </conditionalFormatting>
  <conditionalFormatting sqref="Q63:T63">
    <cfRule type="cellIs" dxfId="15" priority="44" operator="equal">
      <formula>$U$2</formula>
    </cfRule>
    <cfRule type="cellIs" dxfId="14" priority="45" operator="equal">
      <formula>$U$3</formula>
    </cfRule>
  </conditionalFormatting>
  <conditionalFormatting sqref="Q64:T64">
    <cfRule type="cellIs" dxfId="13" priority="18" operator="equal">
      <formula>$U$3</formula>
    </cfRule>
    <cfRule type="cellIs" dxfId="12" priority="17" operator="equal">
      <formula>$U$2</formula>
    </cfRule>
  </conditionalFormatting>
  <conditionalFormatting sqref="Q64:T65">
    <cfRule type="cellIs" dxfId="11" priority="15" operator="equal">
      <formula>$U$3</formula>
    </cfRule>
  </conditionalFormatting>
  <conditionalFormatting sqref="Q65:T65">
    <cfRule type="cellIs" dxfId="10" priority="14" operator="equal">
      <formula>$U$2</formula>
    </cfRule>
    <cfRule type="cellIs" dxfId="9" priority="13" operator="equal">
      <formula>$U$3</formula>
    </cfRule>
  </conditionalFormatting>
  <conditionalFormatting sqref="Q66:T66">
    <cfRule type="cellIs" dxfId="8" priority="38" operator="equal">
      <formula>$U$2</formula>
    </cfRule>
    <cfRule type="cellIs" dxfId="7" priority="39" operator="equal">
      <formula>$U$3</formula>
    </cfRule>
  </conditionalFormatting>
  <conditionalFormatting sqref="Q66:T67">
    <cfRule type="cellIs" dxfId="6" priority="21" operator="equal">
      <formula>$U$3</formula>
    </cfRule>
  </conditionalFormatting>
  <conditionalFormatting sqref="Q67:T67">
    <cfRule type="cellIs" dxfId="5" priority="20" operator="equal">
      <formula>$U$2</formula>
    </cfRule>
    <cfRule type="cellIs" dxfId="4" priority="19" operator="equal">
      <formula>$U$3</formula>
    </cfRule>
  </conditionalFormatting>
  <conditionalFormatting sqref="R9:R10">
    <cfRule type="cellIs" dxfId="3" priority="49" operator="equal">
      <formula>$U$2</formula>
    </cfRule>
  </conditionalFormatting>
  <conditionalFormatting sqref="R8:T8">
    <cfRule type="cellIs" dxfId="2" priority="52" operator="equal">
      <formula>$U$2</formula>
    </cfRule>
  </conditionalFormatting>
  <conditionalFormatting sqref="S9 Q9:Q10 S10:T10 Q11:T51">
    <cfRule type="cellIs" dxfId="1" priority="51" operator="equal">
      <formula>$U$3</formula>
    </cfRule>
  </conditionalFormatting>
  <conditionalFormatting sqref="T9">
    <cfRule type="cellIs" dxfId="0" priority="48" operator="equal">
      <formula>$U$2</formula>
    </cfRule>
  </conditionalFormatting>
  <dataValidations count="1">
    <dataValidation type="list" showInputMessage="1" showErrorMessage="1" sqref="Q8:T67" xr:uid="{45A54787-2E03-45CF-B9C5-9B9F5639E7D4}">
      <formula1>$U$2:$U$3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0FB4-BE53-4BC0-8221-E97C70474B0E}">
  <dimension ref="A2:M49"/>
  <sheetViews>
    <sheetView workbookViewId="0">
      <pane ySplit="2" topLeftCell="A3" activePane="bottomLeft" state="frozen"/>
      <selection pane="bottomLeft" activeCell="M3" sqref="M3"/>
    </sheetView>
  </sheetViews>
  <sheetFormatPr baseColWidth="10" defaultColWidth="11.5546875" defaultRowHeight="15" x14ac:dyDescent="0.25"/>
  <cols>
    <col min="1" max="1" width="14" style="374" customWidth="1"/>
    <col min="2" max="16384" width="11.5546875" style="374"/>
  </cols>
  <sheetData>
    <row r="2" spans="1:13" ht="30" customHeight="1" x14ac:dyDescent="0.25">
      <c r="B2" s="502" t="s">
        <v>858</v>
      </c>
      <c r="C2" s="502" t="s">
        <v>859</v>
      </c>
      <c r="D2" s="502" t="s">
        <v>860</v>
      </c>
      <c r="E2" s="502" t="s">
        <v>861</v>
      </c>
      <c r="F2" s="502" t="s">
        <v>862</v>
      </c>
      <c r="G2" s="502" t="s">
        <v>863</v>
      </c>
      <c r="H2" s="502" t="s">
        <v>864</v>
      </c>
      <c r="I2" s="502" t="s">
        <v>865</v>
      </c>
      <c r="J2" s="502" t="s">
        <v>866</v>
      </c>
      <c r="K2" s="502" t="s">
        <v>867</v>
      </c>
      <c r="L2" s="502" t="s">
        <v>868</v>
      </c>
      <c r="M2" s="502" t="s">
        <v>869</v>
      </c>
    </row>
    <row r="3" spans="1:13" ht="30" customHeight="1" x14ac:dyDescent="0.25">
      <c r="A3" s="374">
        <v>2024</v>
      </c>
      <c r="B3" s="502">
        <v>133.55500000000001</v>
      </c>
      <c r="C3" s="502">
        <v>133.68100000000001</v>
      </c>
      <c r="D3" s="502">
        <v>134.065</v>
      </c>
      <c r="E3" s="502">
        <v>134.33600000000001</v>
      </c>
      <c r="F3" s="502">
        <v>134.08699999999999</v>
      </c>
      <c r="G3" s="502">
        <v>134.59399999999999</v>
      </c>
      <c r="H3" s="502">
        <v>136.00299999999999</v>
      </c>
      <c r="I3" s="502">
        <v>136.01300000000001</v>
      </c>
      <c r="J3" s="502">
        <v>136.08000000000001</v>
      </c>
      <c r="K3" s="502">
        <v>136.828</v>
      </c>
      <c r="L3" s="502">
        <v>137.42400000000001</v>
      </c>
      <c r="M3" s="642">
        <v>137.94900000000001</v>
      </c>
    </row>
    <row r="4" spans="1:13" ht="30" customHeight="1" x14ac:dyDescent="0.25">
      <c r="A4" s="374">
        <v>2023</v>
      </c>
      <c r="B4" s="502">
        <v>127.336</v>
      </c>
      <c r="C4" s="502">
        <v>128.04599999999999</v>
      </c>
      <c r="D4" s="502">
        <v>128.38900000000001</v>
      </c>
      <c r="E4" s="502">
        <v>128.363</v>
      </c>
      <c r="F4" s="502">
        <v>128.084</v>
      </c>
      <c r="G4" s="502">
        <v>128.214</v>
      </c>
      <c r="H4" s="502">
        <v>128.83199999999999</v>
      </c>
      <c r="I4" s="502">
        <v>129.54499999999999</v>
      </c>
      <c r="J4" s="502">
        <v>130.12</v>
      </c>
      <c r="K4" s="502">
        <v>130.60900000000001</v>
      </c>
      <c r="L4" s="502">
        <v>131.44499999999999</v>
      </c>
      <c r="M4" s="502">
        <v>132.37299999999999</v>
      </c>
    </row>
    <row r="5" spans="1:13" s="507" customFormat="1" ht="18" customHeight="1" x14ac:dyDescent="0.25">
      <c r="A5" s="507">
        <v>2022</v>
      </c>
      <c r="B5" s="508">
        <v>118.002</v>
      </c>
      <c r="C5" s="508">
        <v>118.98099999999999</v>
      </c>
      <c r="D5" s="508">
        <v>120.15900000000001</v>
      </c>
      <c r="E5" s="508">
        <v>120.809</v>
      </c>
      <c r="F5" s="508">
        <v>121.02200000000001</v>
      </c>
      <c r="G5" s="508">
        <v>122.044</v>
      </c>
      <c r="H5" s="508">
        <v>122.94799999999999</v>
      </c>
      <c r="I5" s="508">
        <v>123.803</v>
      </c>
      <c r="J5" s="508">
        <v>124.571</v>
      </c>
      <c r="K5" s="508">
        <v>125.276</v>
      </c>
      <c r="L5" s="508">
        <v>125.997</v>
      </c>
      <c r="M5" s="508">
        <v>126.47799999999999</v>
      </c>
    </row>
    <row r="6" spans="1:13" ht="15" customHeight="1" x14ac:dyDescent="0.25">
      <c r="A6" s="374">
        <v>2021</v>
      </c>
      <c r="B6" s="506">
        <v>110.21</v>
      </c>
      <c r="C6" s="506">
        <v>110.907</v>
      </c>
      <c r="D6" s="506">
        <v>111.824</v>
      </c>
      <c r="E6" s="506">
        <v>112.19</v>
      </c>
      <c r="F6" s="506">
        <v>112.419</v>
      </c>
      <c r="G6" s="506">
        <v>113.018</v>
      </c>
      <c r="H6" s="506">
        <v>113.682</v>
      </c>
      <c r="I6" s="506">
        <v>113.899</v>
      </c>
      <c r="J6" s="506">
        <v>114.601</v>
      </c>
      <c r="K6" s="506">
        <v>115.56100000000001</v>
      </c>
      <c r="L6" s="506">
        <v>116.884</v>
      </c>
      <c r="M6" s="506">
        <v>117.30800000000001</v>
      </c>
    </row>
    <row r="7" spans="1:13" x14ac:dyDescent="0.25">
      <c r="A7" s="375">
        <v>2020</v>
      </c>
      <c r="B7" s="375">
        <v>106.447</v>
      </c>
      <c r="C7" s="375">
        <v>106.889</v>
      </c>
      <c r="D7" s="375">
        <v>106.83799999999999</v>
      </c>
      <c r="E7" s="375">
        <v>105.755</v>
      </c>
      <c r="F7" s="375">
        <v>106.16200000000001</v>
      </c>
      <c r="G7" s="375">
        <v>106.74299999999999</v>
      </c>
      <c r="H7" s="375">
        <v>107.444</v>
      </c>
      <c r="I7" s="375">
        <v>107.867</v>
      </c>
      <c r="J7" s="375">
        <v>108.114</v>
      </c>
      <c r="K7" s="375">
        <v>108.774</v>
      </c>
      <c r="L7" s="375">
        <v>108.85599999999999</v>
      </c>
      <c r="M7" s="375">
        <v>109.271</v>
      </c>
    </row>
    <row r="8" spans="1:13" x14ac:dyDescent="0.25">
      <c r="A8" s="375">
        <v>2019</v>
      </c>
      <c r="B8" s="375">
        <v>103.108</v>
      </c>
      <c r="C8" s="375">
        <v>103.07899999999999</v>
      </c>
      <c r="D8" s="375">
        <v>103.476</v>
      </c>
      <c r="E8" s="375">
        <v>103.53100000000001</v>
      </c>
      <c r="F8" s="375">
        <v>103.233</v>
      </c>
      <c r="G8" s="375">
        <v>103.29900000000001</v>
      </c>
      <c r="H8" s="375">
        <v>103.687</v>
      </c>
      <c r="I8" s="375">
        <v>103.67</v>
      </c>
      <c r="J8" s="375">
        <v>103.94199999999999</v>
      </c>
      <c r="K8" s="375">
        <v>104.503</v>
      </c>
      <c r="L8" s="375">
        <v>105.346</v>
      </c>
      <c r="M8" s="375">
        <v>105.934</v>
      </c>
    </row>
    <row r="9" spans="1:13" x14ac:dyDescent="0.25">
      <c r="A9" s="375">
        <v>2018</v>
      </c>
      <c r="B9" s="375">
        <v>98.795000000000002</v>
      </c>
      <c r="C9" s="375">
        <v>99.171374</v>
      </c>
      <c r="D9" s="375">
        <v>99.492157000000006</v>
      </c>
      <c r="E9" s="375">
        <v>99.154847000000004</v>
      </c>
      <c r="F9" s="375">
        <v>98.994079999999997</v>
      </c>
      <c r="G9" s="375">
        <v>99.376464999999996</v>
      </c>
      <c r="H9" s="375">
        <v>99.909000000000006</v>
      </c>
      <c r="I9" s="375">
        <v>100.492</v>
      </c>
      <c r="J9" s="375">
        <v>100.917</v>
      </c>
      <c r="K9" s="375">
        <v>101.44</v>
      </c>
      <c r="L9" s="375">
        <v>102.303</v>
      </c>
      <c r="M9" s="375">
        <v>103.02</v>
      </c>
    </row>
    <row r="10" spans="1:13" x14ac:dyDescent="0.25">
      <c r="A10" s="375">
        <v>2017</v>
      </c>
      <c r="B10" s="375">
        <v>93.603881999999999</v>
      </c>
      <c r="C10" s="375">
        <v>94.144779999999997</v>
      </c>
      <c r="D10" s="375">
        <v>94.722488999999996</v>
      </c>
      <c r="E10" s="375">
        <v>94.838932999999997</v>
      </c>
      <c r="F10" s="375">
        <v>94.725493999999998</v>
      </c>
      <c r="G10" s="375">
        <v>94.963639999999998</v>
      </c>
      <c r="H10" s="375">
        <v>95.322736000000006</v>
      </c>
      <c r="I10" s="375">
        <v>95.793768</v>
      </c>
      <c r="J10" s="375">
        <v>96.093514999999996</v>
      </c>
      <c r="K10" s="375">
        <v>96.698268999999996</v>
      </c>
      <c r="L10" s="375">
        <v>97.695173999999994</v>
      </c>
      <c r="M10" s="375">
        <v>98.272882999999993</v>
      </c>
    </row>
    <row r="11" spans="1:13" x14ac:dyDescent="0.25">
      <c r="A11" s="375">
        <v>2016</v>
      </c>
      <c r="B11" s="375">
        <v>89.386381</v>
      </c>
      <c r="C11" s="375">
        <v>89.777781000000004</v>
      </c>
      <c r="D11" s="375">
        <v>89.910000999999994</v>
      </c>
      <c r="E11" s="375">
        <v>89.625277999999994</v>
      </c>
      <c r="F11" s="375">
        <v>89.225615000000005</v>
      </c>
      <c r="G11" s="375">
        <v>89.324027999999998</v>
      </c>
      <c r="H11" s="375">
        <v>89.556914000000006</v>
      </c>
      <c r="I11" s="375">
        <v>89.809332999999995</v>
      </c>
      <c r="J11" s="375">
        <v>90.357743999999997</v>
      </c>
      <c r="K11" s="375">
        <v>90.906154000000001</v>
      </c>
      <c r="L11" s="375">
        <v>91.616833999999997</v>
      </c>
      <c r="M11" s="375">
        <v>92.039034999999998</v>
      </c>
    </row>
    <row r="12" spans="1:13" x14ac:dyDescent="0.25">
      <c r="A12" s="375">
        <v>2015</v>
      </c>
      <c r="B12" s="375">
        <v>87.110102999999995</v>
      </c>
      <c r="C12" s="375">
        <v>87.275377000000006</v>
      </c>
      <c r="D12" s="375">
        <v>87.630717000000004</v>
      </c>
      <c r="E12" s="375">
        <v>87.403840000000002</v>
      </c>
      <c r="F12" s="375">
        <v>86.967365999999998</v>
      </c>
      <c r="G12" s="375">
        <v>87.113107999999997</v>
      </c>
      <c r="H12" s="375">
        <v>87.240819999999999</v>
      </c>
      <c r="I12" s="375">
        <v>87.424875</v>
      </c>
      <c r="J12" s="375">
        <v>87.752419000000003</v>
      </c>
      <c r="K12" s="375">
        <v>88.203918999999999</v>
      </c>
      <c r="L12" s="375">
        <v>88.685468</v>
      </c>
      <c r="M12" s="375">
        <v>89.046818000000002</v>
      </c>
    </row>
    <row r="13" spans="1:13" x14ac:dyDescent="0.25">
      <c r="A13" s="375">
        <v>2014</v>
      </c>
      <c r="B13" s="375">
        <v>84.519052000000002</v>
      </c>
      <c r="C13" s="375">
        <v>84.733157000000006</v>
      </c>
      <c r="D13" s="375">
        <v>84.965292000000005</v>
      </c>
      <c r="E13" s="375">
        <v>84.806779000000006</v>
      </c>
      <c r="F13" s="375">
        <v>84.535578999999998</v>
      </c>
      <c r="G13" s="375">
        <v>84.682072000000005</v>
      </c>
      <c r="H13" s="375">
        <v>84.914958999999996</v>
      </c>
      <c r="I13" s="375">
        <v>85.219965000000002</v>
      </c>
      <c r="J13" s="375">
        <v>85.596339999999998</v>
      </c>
      <c r="K13" s="375">
        <v>86.069626</v>
      </c>
      <c r="L13" s="375">
        <v>86.763778000000002</v>
      </c>
      <c r="M13" s="375">
        <v>87.188984000000005</v>
      </c>
    </row>
    <row r="14" spans="1:13" x14ac:dyDescent="0.25">
      <c r="A14" s="375">
        <v>2013</v>
      </c>
      <c r="B14" s="375">
        <v>80.892781999999997</v>
      </c>
      <c r="C14" s="375">
        <v>81.290942999999999</v>
      </c>
      <c r="D14" s="375">
        <v>81.887433000000001</v>
      </c>
      <c r="E14" s="375">
        <v>81.941523000000004</v>
      </c>
      <c r="F14" s="375">
        <v>81.668819999999997</v>
      </c>
      <c r="G14" s="375">
        <v>81.619237999999996</v>
      </c>
      <c r="H14" s="375">
        <v>81.592192999999995</v>
      </c>
      <c r="I14" s="375">
        <v>81.824327999999994</v>
      </c>
      <c r="J14" s="375">
        <v>82.132339999999999</v>
      </c>
      <c r="K14" s="375">
        <v>82.522987999999998</v>
      </c>
      <c r="L14" s="375">
        <v>83.292265</v>
      </c>
      <c r="M14" s="375">
        <v>83.770058000000006</v>
      </c>
    </row>
    <row r="15" spans="1:13" x14ac:dyDescent="0.25">
      <c r="A15" s="375">
        <v>2012</v>
      </c>
      <c r="B15" s="375">
        <v>78.343048999999993</v>
      </c>
      <c r="C15" s="375">
        <v>78.502313999999998</v>
      </c>
      <c r="D15" s="375">
        <v>78.547388999999995</v>
      </c>
      <c r="E15" s="375">
        <v>78.300979999999996</v>
      </c>
      <c r="F15" s="375">
        <v>78.053819000000004</v>
      </c>
      <c r="G15" s="375">
        <v>78.413667000000004</v>
      </c>
      <c r="H15" s="375">
        <v>78.853897000000003</v>
      </c>
      <c r="I15" s="375">
        <v>79.090540000000004</v>
      </c>
      <c r="J15" s="375">
        <v>79.439119000000005</v>
      </c>
      <c r="K15" s="375">
        <v>79.841036000000003</v>
      </c>
      <c r="L15" s="375">
        <v>80.383437000000001</v>
      </c>
      <c r="M15" s="375">
        <v>80.568242999999995</v>
      </c>
    </row>
    <row r="16" spans="1:13" x14ac:dyDescent="0.25">
      <c r="A16" s="375">
        <v>2011</v>
      </c>
      <c r="B16" s="375">
        <v>75.295991000000001</v>
      </c>
      <c r="C16" s="375">
        <v>75.578460000000007</v>
      </c>
      <c r="D16" s="375">
        <v>75.723450999999997</v>
      </c>
      <c r="E16" s="375">
        <v>75.717440999999994</v>
      </c>
      <c r="F16" s="375">
        <v>75.159263999999993</v>
      </c>
      <c r="G16" s="375">
        <v>75.155507999999998</v>
      </c>
      <c r="H16" s="375">
        <v>75.516107000000005</v>
      </c>
      <c r="I16" s="375">
        <v>75.635554999999997</v>
      </c>
      <c r="J16" s="375">
        <v>75.821112999999997</v>
      </c>
      <c r="K16" s="375">
        <v>76.332712000000001</v>
      </c>
      <c r="L16" s="375">
        <v>77.158332999999999</v>
      </c>
      <c r="M16" s="375">
        <v>77.792384999999996</v>
      </c>
    </row>
    <row r="17" spans="1:13" x14ac:dyDescent="0.25">
      <c r="A17" s="375">
        <v>2010</v>
      </c>
      <c r="B17" s="375">
        <v>72.552046000000004</v>
      </c>
      <c r="C17" s="375">
        <v>72.971671000000001</v>
      </c>
      <c r="D17" s="375">
        <v>73.489725000000007</v>
      </c>
      <c r="E17" s="375">
        <v>73.255565000000004</v>
      </c>
      <c r="F17" s="375">
        <v>72.793977999999996</v>
      </c>
      <c r="G17" s="375">
        <v>72.771182999999994</v>
      </c>
      <c r="H17" s="375">
        <v>72.929190000000006</v>
      </c>
      <c r="I17" s="375">
        <v>73.131749999999997</v>
      </c>
      <c r="J17" s="375">
        <v>73.515110000000007</v>
      </c>
      <c r="K17" s="375">
        <v>73.968925999999996</v>
      </c>
      <c r="L17" s="375">
        <v>74.561581000000004</v>
      </c>
      <c r="M17" s="375">
        <v>74.930954</v>
      </c>
    </row>
    <row r="18" spans="1:13" x14ac:dyDescent="0.25">
      <c r="A18" s="375">
        <v>2009</v>
      </c>
      <c r="B18" s="375">
        <v>69.456148999999996</v>
      </c>
      <c r="C18" s="375">
        <v>69.609493999999998</v>
      </c>
      <c r="D18" s="375">
        <v>70.009950000000003</v>
      </c>
      <c r="E18" s="375">
        <v>70.254990000000006</v>
      </c>
      <c r="F18" s="375">
        <v>70.050358000000003</v>
      </c>
      <c r="G18" s="375">
        <v>70.179354000000004</v>
      </c>
      <c r="H18" s="375">
        <v>70.370515999999995</v>
      </c>
      <c r="I18" s="375">
        <v>70.538883999999996</v>
      </c>
      <c r="J18" s="375">
        <v>70.892715999999993</v>
      </c>
      <c r="K18" s="375">
        <v>71.107191</v>
      </c>
      <c r="L18" s="375">
        <v>71.476045999999997</v>
      </c>
      <c r="M18" s="375">
        <v>71.771855000000002</v>
      </c>
    </row>
    <row r="19" spans="1:13" x14ac:dyDescent="0.25">
      <c r="A19" s="375">
        <v>2008</v>
      </c>
      <c r="B19" s="375">
        <v>65.350564000000006</v>
      </c>
      <c r="C19" s="375">
        <v>65.544833999999994</v>
      </c>
      <c r="D19" s="375">
        <v>66.019891000000001</v>
      </c>
      <c r="E19" s="375">
        <v>66.170126999999994</v>
      </c>
      <c r="F19" s="375">
        <v>66.098635000000002</v>
      </c>
      <c r="G19" s="375">
        <v>66.372168000000002</v>
      </c>
      <c r="H19" s="375">
        <v>66.742058999999998</v>
      </c>
      <c r="I19" s="375">
        <v>67.127492000000004</v>
      </c>
      <c r="J19" s="375">
        <v>67.584935000000002</v>
      </c>
      <c r="K19" s="375">
        <v>68.045485999999997</v>
      </c>
      <c r="L19" s="375">
        <v>68.818942000000007</v>
      </c>
      <c r="M19" s="375">
        <v>69.295552000000001</v>
      </c>
    </row>
    <row r="20" spans="1:13" x14ac:dyDescent="0.25">
      <c r="A20" s="375">
        <v>2007</v>
      </c>
      <c r="B20" s="375">
        <v>63.016207999999999</v>
      </c>
      <c r="C20" s="375">
        <v>63.192346999999998</v>
      </c>
      <c r="D20" s="375">
        <v>63.329113</v>
      </c>
      <c r="E20" s="375">
        <v>63.291294999999998</v>
      </c>
      <c r="F20" s="375">
        <v>62.982534000000001</v>
      </c>
      <c r="G20" s="375">
        <v>63.058169999999997</v>
      </c>
      <c r="H20" s="375">
        <v>63.326005000000002</v>
      </c>
      <c r="I20" s="375">
        <v>63.583995999999999</v>
      </c>
      <c r="J20" s="375">
        <v>64.077703</v>
      </c>
      <c r="K20" s="375">
        <v>64.327404999999999</v>
      </c>
      <c r="L20" s="375">
        <v>64.781221000000002</v>
      </c>
      <c r="M20" s="375">
        <v>65.049055999999993</v>
      </c>
    </row>
    <row r="21" spans="1:13" x14ac:dyDescent="0.25">
      <c r="A21" s="375">
        <v>2006</v>
      </c>
      <c r="B21" s="375">
        <v>60.603625999999998</v>
      </c>
      <c r="C21" s="375">
        <v>60.696357999999996</v>
      </c>
      <c r="D21" s="375">
        <v>60.772511999999999</v>
      </c>
      <c r="E21" s="375">
        <v>60.861617000000003</v>
      </c>
      <c r="F21" s="375">
        <v>60.590674999999997</v>
      </c>
      <c r="G21" s="375">
        <v>60.642997999999999</v>
      </c>
      <c r="H21" s="375">
        <v>60.809294000000001</v>
      </c>
      <c r="I21" s="375">
        <v>61.119608999999997</v>
      </c>
      <c r="J21" s="375">
        <v>61.736612000000001</v>
      </c>
      <c r="K21" s="375">
        <v>62.006518999999997</v>
      </c>
      <c r="L21" s="375">
        <v>62.331856999999999</v>
      </c>
      <c r="M21" s="375">
        <v>62.692424000000003</v>
      </c>
    </row>
    <row r="22" spans="1:13" x14ac:dyDescent="0.25">
      <c r="A22" s="375">
        <v>2005</v>
      </c>
      <c r="B22" s="375">
        <v>58.309159999999999</v>
      </c>
      <c r="C22" s="375">
        <v>58.503430999999999</v>
      </c>
      <c r="D22" s="375">
        <v>58.767121000000003</v>
      </c>
      <c r="E22" s="375">
        <v>58.976415000000003</v>
      </c>
      <c r="F22" s="375">
        <v>58.828251000000002</v>
      </c>
      <c r="G22" s="375">
        <v>58.771782999999999</v>
      </c>
      <c r="H22" s="375">
        <v>59.001800000000003</v>
      </c>
      <c r="I22" s="375">
        <v>59.072254999999998</v>
      </c>
      <c r="J22" s="375">
        <v>59.309005999999997</v>
      </c>
      <c r="K22" s="375">
        <v>59.45458</v>
      </c>
      <c r="L22" s="375">
        <v>59.882492999999997</v>
      </c>
      <c r="M22" s="375">
        <v>60.250312000000001</v>
      </c>
    </row>
    <row r="23" spans="1:13" x14ac:dyDescent="0.25">
      <c r="A23" s="375">
        <v>2004</v>
      </c>
      <c r="B23" s="375">
        <v>55.774317000000003</v>
      </c>
      <c r="C23" s="375">
        <v>56.107945000000001</v>
      </c>
      <c r="D23" s="375">
        <v>56.298071</v>
      </c>
      <c r="E23" s="375">
        <v>56.383032</v>
      </c>
      <c r="F23" s="375">
        <v>56.241602999999998</v>
      </c>
      <c r="G23" s="375">
        <v>56.331744999999998</v>
      </c>
      <c r="H23" s="375">
        <v>56.479390000000002</v>
      </c>
      <c r="I23" s="375">
        <v>56.828040999999999</v>
      </c>
      <c r="J23" s="375">
        <v>57.297916999999998</v>
      </c>
      <c r="K23" s="375">
        <v>57.694747</v>
      </c>
      <c r="L23" s="375">
        <v>58.186898999999997</v>
      </c>
      <c r="M23" s="375">
        <v>58.307088</v>
      </c>
    </row>
    <row r="24" spans="1:13" x14ac:dyDescent="0.25">
      <c r="A24" s="375">
        <v>2003</v>
      </c>
      <c r="B24" s="375">
        <v>53.525441000000001</v>
      </c>
      <c r="C24" s="375">
        <v>53.674121999999997</v>
      </c>
      <c r="D24" s="375">
        <v>54.012929999999997</v>
      </c>
      <c r="E24" s="375">
        <v>54.105144000000003</v>
      </c>
      <c r="F24" s="375">
        <v>53.93056</v>
      </c>
      <c r="G24" s="375">
        <v>53.975112000000003</v>
      </c>
      <c r="H24" s="375">
        <v>54.053339000000001</v>
      </c>
      <c r="I24" s="375">
        <v>54.215490000000003</v>
      </c>
      <c r="J24" s="375">
        <v>54.538238</v>
      </c>
      <c r="K24" s="375">
        <v>54.738207000000003</v>
      </c>
      <c r="L24" s="375">
        <v>55.192542000000003</v>
      </c>
      <c r="M24" s="375">
        <v>55.429811000000001</v>
      </c>
    </row>
    <row r="25" spans="1:13" x14ac:dyDescent="0.25">
      <c r="A25" s="375">
        <v>2002</v>
      </c>
      <c r="B25" s="375">
        <v>50.900472000000001</v>
      </c>
      <c r="C25" s="375">
        <v>50.867750000000001</v>
      </c>
      <c r="D25" s="375">
        <v>51.127948000000004</v>
      </c>
      <c r="E25" s="375">
        <v>51.407235</v>
      </c>
      <c r="F25" s="375">
        <v>51.511429</v>
      </c>
      <c r="G25" s="375">
        <v>51.762585999999999</v>
      </c>
      <c r="H25" s="375">
        <v>51.911180999999999</v>
      </c>
      <c r="I25" s="375">
        <v>52.108559999999997</v>
      </c>
      <c r="J25" s="375">
        <v>52.421984000000002</v>
      </c>
      <c r="K25" s="375">
        <v>52.653036</v>
      </c>
      <c r="L25" s="375">
        <v>53.078876999999999</v>
      </c>
      <c r="M25" s="375">
        <v>53.309930000000001</v>
      </c>
    </row>
    <row r="26" spans="1:13" x14ac:dyDescent="0.25">
      <c r="A26" s="375">
        <v>2001</v>
      </c>
      <c r="B26" s="375">
        <v>48.575476000000002</v>
      </c>
      <c r="C26" s="375">
        <v>48.543328000000002</v>
      </c>
      <c r="D26" s="375">
        <v>48.850887999999998</v>
      </c>
      <c r="E26" s="375">
        <v>49.097309000000003</v>
      </c>
      <c r="F26" s="375">
        <v>49.209969999999998</v>
      </c>
      <c r="G26" s="375">
        <v>49.326363999999998</v>
      </c>
      <c r="H26" s="375">
        <v>49.198202000000002</v>
      </c>
      <c r="I26" s="375">
        <v>49.489688000000001</v>
      </c>
      <c r="J26" s="375">
        <v>49.950381</v>
      </c>
      <c r="K26" s="375">
        <v>50.176135000000002</v>
      </c>
      <c r="L26" s="375">
        <v>50.365149000000002</v>
      </c>
      <c r="M26" s="375">
        <v>50.434899000000001</v>
      </c>
    </row>
    <row r="27" spans="1:13" x14ac:dyDescent="0.25">
      <c r="A27" s="375">
        <v>2000</v>
      </c>
      <c r="B27" s="375">
        <v>44.93083</v>
      </c>
      <c r="C27" s="375">
        <v>45.32938</v>
      </c>
      <c r="D27" s="375">
        <v>45.580680999999998</v>
      </c>
      <c r="E27" s="375">
        <v>45.840018000000001</v>
      </c>
      <c r="F27" s="375">
        <v>46.011378999999998</v>
      </c>
      <c r="G27" s="375">
        <v>46.283920000000002</v>
      </c>
      <c r="H27" s="375">
        <v>46.464466000000002</v>
      </c>
      <c r="I27" s="375">
        <v>46.719785000000002</v>
      </c>
      <c r="J27" s="375">
        <v>47.061072000000003</v>
      </c>
      <c r="K27" s="375">
        <v>47.385136000000003</v>
      </c>
      <c r="L27" s="375">
        <v>47.790287999999997</v>
      </c>
      <c r="M27" s="375">
        <v>48.307670999999999</v>
      </c>
    </row>
    <row r="28" spans="1:13" x14ac:dyDescent="0.25">
      <c r="A28" s="375">
        <v>1999</v>
      </c>
      <c r="B28" s="375">
        <v>40.469769999999997</v>
      </c>
      <c r="C28" s="375">
        <v>41.013643000000002</v>
      </c>
      <c r="D28" s="375">
        <v>41.394683999999998</v>
      </c>
      <c r="E28" s="375">
        <v>41.774577000000001</v>
      </c>
      <c r="F28" s="375">
        <v>42.025877000000001</v>
      </c>
      <c r="G28" s="375">
        <v>42.302005999999999</v>
      </c>
      <c r="H28" s="375">
        <v>42.581580000000002</v>
      </c>
      <c r="I28" s="375">
        <v>42.821255000000001</v>
      </c>
      <c r="J28" s="375">
        <v>43.235017999999997</v>
      </c>
      <c r="K28" s="375">
        <v>43.508851</v>
      </c>
      <c r="L28" s="375">
        <v>43.895775999999998</v>
      </c>
      <c r="M28" s="375">
        <v>44.335515999999998</v>
      </c>
    </row>
    <row r="29" spans="1:13" x14ac:dyDescent="0.25">
      <c r="A29" s="375">
        <v>1998</v>
      </c>
      <c r="B29" s="375">
        <v>34.003923999999998</v>
      </c>
      <c r="C29" s="375">
        <v>34.599238</v>
      </c>
      <c r="D29" s="375">
        <v>35.004533000000002</v>
      </c>
      <c r="E29" s="375">
        <v>35.332042000000001</v>
      </c>
      <c r="F29" s="375">
        <v>35.613481</v>
      </c>
      <c r="G29" s="375">
        <v>36.034419999999997</v>
      </c>
      <c r="H29" s="375">
        <v>36.381878</v>
      </c>
      <c r="I29" s="375">
        <v>36.731631999999998</v>
      </c>
      <c r="J29" s="375">
        <v>37.327376000000001</v>
      </c>
      <c r="K29" s="375">
        <v>37.862268999999998</v>
      </c>
      <c r="L29" s="375">
        <v>38.532786000000002</v>
      </c>
      <c r="M29" s="375">
        <v>39.472974000000001</v>
      </c>
    </row>
    <row r="30" spans="1:13" x14ac:dyDescent="0.25">
      <c r="A30" s="375">
        <v>1997</v>
      </c>
      <c r="B30" s="375">
        <v>29.498885999999999</v>
      </c>
      <c r="C30" s="375">
        <v>29.994598</v>
      </c>
      <c r="D30" s="375">
        <v>30.367889000000002</v>
      </c>
      <c r="E30" s="375">
        <v>30.695972000000001</v>
      </c>
      <c r="F30" s="375">
        <v>30.976119000000001</v>
      </c>
      <c r="G30" s="375">
        <v>31.250957</v>
      </c>
      <c r="H30" s="375">
        <v>31.523211</v>
      </c>
      <c r="I30" s="375">
        <v>31.803502000000002</v>
      </c>
      <c r="J30" s="375">
        <v>32.199612999999999</v>
      </c>
      <c r="K30" s="375">
        <v>32.456941</v>
      </c>
      <c r="L30" s="375">
        <v>32.820042000000001</v>
      </c>
      <c r="M30" s="375">
        <v>33.279874999999997</v>
      </c>
    </row>
    <row r="31" spans="1:13" x14ac:dyDescent="0.25">
      <c r="A31" s="375">
        <v>1996</v>
      </c>
      <c r="B31" s="375">
        <v>23.329754000000001</v>
      </c>
      <c r="C31" s="375">
        <v>23.874262000000002</v>
      </c>
      <c r="D31" s="375">
        <v>24.399826000000001</v>
      </c>
      <c r="E31" s="375">
        <v>25.093450000000001</v>
      </c>
      <c r="F31" s="375">
        <v>25.550841999999999</v>
      </c>
      <c r="G31" s="375">
        <v>25.966902000000001</v>
      </c>
      <c r="H31" s="375">
        <v>26.336030999999998</v>
      </c>
      <c r="I31" s="375">
        <v>26.686071999999999</v>
      </c>
      <c r="J31" s="375">
        <v>27.112750999999999</v>
      </c>
      <c r="K31" s="375">
        <v>27.451167999999999</v>
      </c>
      <c r="L31" s="375">
        <v>27.867083000000001</v>
      </c>
      <c r="M31" s="375">
        <v>28.759336000000001</v>
      </c>
    </row>
    <row r="32" spans="1:13" x14ac:dyDescent="0.25">
      <c r="A32" s="375">
        <v>1995</v>
      </c>
      <c r="B32" s="375">
        <v>15.376991</v>
      </c>
      <c r="C32" s="375">
        <v>16.028707000000001</v>
      </c>
      <c r="D32" s="375">
        <v>16.973617000000001</v>
      </c>
      <c r="E32" s="375">
        <v>18.326132999999999</v>
      </c>
      <c r="F32" s="375">
        <v>19.092089999999999</v>
      </c>
      <c r="G32" s="375">
        <v>19.698024</v>
      </c>
      <c r="H32" s="375">
        <v>20.099588000000001</v>
      </c>
      <c r="I32" s="375">
        <v>20.432981000000002</v>
      </c>
      <c r="J32" s="375">
        <v>20.855643000000001</v>
      </c>
      <c r="K32" s="375">
        <v>21.284762000000001</v>
      </c>
      <c r="L32" s="375">
        <v>21.809608000000001</v>
      </c>
      <c r="M32" s="375">
        <v>22.520167000000001</v>
      </c>
    </row>
    <row r="33" spans="1:13" x14ac:dyDescent="0.25">
      <c r="A33" s="375">
        <v>1994</v>
      </c>
      <c r="B33" s="375">
        <v>13.950374999999999</v>
      </c>
      <c r="C33" s="375">
        <v>14.022124</v>
      </c>
      <c r="D33" s="375">
        <v>14.094225</v>
      </c>
      <c r="E33" s="375">
        <v>14.163251000000001</v>
      </c>
      <c r="F33" s="375">
        <v>14.231681999999999</v>
      </c>
      <c r="G33" s="375">
        <v>14.302894999999999</v>
      </c>
      <c r="H33" s="375">
        <v>14.366327</v>
      </c>
      <c r="I33" s="375">
        <v>14.433287</v>
      </c>
      <c r="J33" s="375">
        <v>14.535937000000001</v>
      </c>
      <c r="K33" s="375">
        <v>14.612245</v>
      </c>
      <c r="L33" s="375">
        <v>14.690360999999999</v>
      </c>
      <c r="M33" s="375">
        <v>14.819203999999999</v>
      </c>
    </row>
    <row r="34" spans="1:13" x14ac:dyDescent="0.25">
      <c r="A34" s="375">
        <v>1993</v>
      </c>
      <c r="B34" s="375">
        <v>12.977320000000001</v>
      </c>
      <c r="C34" s="375">
        <v>13.083345</v>
      </c>
      <c r="D34" s="375">
        <v>13.159594</v>
      </c>
      <c r="E34" s="375">
        <v>13.235480000000001</v>
      </c>
      <c r="F34" s="375">
        <v>13.311137</v>
      </c>
      <c r="G34" s="375">
        <v>13.385797</v>
      </c>
      <c r="H34" s="375">
        <v>13.450123</v>
      </c>
      <c r="I34" s="375">
        <v>13.522112</v>
      </c>
      <c r="J34" s="375">
        <v>13.622261</v>
      </c>
      <c r="K34" s="375">
        <v>13.677973</v>
      </c>
      <c r="L34" s="375">
        <v>13.738301999999999</v>
      </c>
      <c r="M34" s="375">
        <v>13.843055</v>
      </c>
    </row>
    <row r="35" spans="1:13" x14ac:dyDescent="0.25">
      <c r="A35" s="375">
        <v>1992</v>
      </c>
      <c r="B35" s="375">
        <v>11.657778</v>
      </c>
      <c r="C35" s="375">
        <v>11.7959</v>
      </c>
      <c r="D35" s="375">
        <v>11.915948</v>
      </c>
      <c r="E35" s="375">
        <v>12.022171</v>
      </c>
      <c r="F35" s="375">
        <v>12.101438</v>
      </c>
      <c r="G35" s="375">
        <v>12.183344999999999</v>
      </c>
      <c r="H35" s="375">
        <v>12.260272000000001</v>
      </c>
      <c r="I35" s="375">
        <v>12.335592</v>
      </c>
      <c r="J35" s="375">
        <v>12.442897</v>
      </c>
      <c r="K35" s="375">
        <v>12.532494</v>
      </c>
      <c r="L35" s="375">
        <v>12.636620000000001</v>
      </c>
      <c r="M35" s="375">
        <v>12.816553000000001</v>
      </c>
    </row>
    <row r="36" spans="1:13" x14ac:dyDescent="0.25">
      <c r="A36" s="375">
        <v>1991</v>
      </c>
      <c r="B36" s="375">
        <v>9.8838799999999996</v>
      </c>
      <c r="C36" s="375">
        <v>10.056425000000001</v>
      </c>
      <c r="D36" s="375">
        <v>10.19984</v>
      </c>
      <c r="E36" s="375">
        <v>10.306687999999999</v>
      </c>
      <c r="F36" s="375">
        <v>10.407442</v>
      </c>
      <c r="G36" s="375">
        <v>10.516648</v>
      </c>
      <c r="H36" s="375">
        <v>10.609584</v>
      </c>
      <c r="I36" s="375">
        <v>10.683422999999999</v>
      </c>
      <c r="J36" s="375">
        <v>10.789849999999999</v>
      </c>
      <c r="K36" s="375">
        <v>10.915343</v>
      </c>
      <c r="L36" s="375">
        <v>11.186374000000001</v>
      </c>
      <c r="M36" s="375">
        <v>11.449680000000001</v>
      </c>
    </row>
    <row r="37" spans="1:13" x14ac:dyDescent="0.25">
      <c r="A37" s="375">
        <v>1990</v>
      </c>
      <c r="B37" s="375">
        <v>7.7760369999999996</v>
      </c>
      <c r="C37" s="375">
        <v>7.9521199999999999</v>
      </c>
      <c r="D37" s="375">
        <v>8.0923099999999994</v>
      </c>
      <c r="E37" s="375">
        <v>8.2154720000000001</v>
      </c>
      <c r="F37" s="375">
        <v>8.3588380000000004</v>
      </c>
      <c r="G37" s="375">
        <v>8.5429390000000005</v>
      </c>
      <c r="H37" s="375">
        <v>8.6987349999999992</v>
      </c>
      <c r="I37" s="375">
        <v>8.8469499999999996</v>
      </c>
      <c r="J37" s="375">
        <v>8.9730609999999995</v>
      </c>
      <c r="K37" s="375">
        <v>9.1020599999999998</v>
      </c>
      <c r="L37" s="375">
        <v>9.3437230000000007</v>
      </c>
      <c r="M37" s="375">
        <v>9.6382139999999996</v>
      </c>
    </row>
    <row r="38" spans="1:13" x14ac:dyDescent="0.25">
      <c r="A38" s="375">
        <v>1989</v>
      </c>
      <c r="B38" s="375">
        <v>6.349024</v>
      </c>
      <c r="C38" s="375">
        <v>6.4351839999999996</v>
      </c>
      <c r="D38" s="375">
        <v>6.5049450000000002</v>
      </c>
      <c r="E38" s="375">
        <v>6.6022239999999996</v>
      </c>
      <c r="F38" s="375">
        <v>6.6930990000000001</v>
      </c>
      <c r="G38" s="375">
        <v>6.7743849999999997</v>
      </c>
      <c r="H38" s="375">
        <v>6.8421479999999999</v>
      </c>
      <c r="I38" s="375">
        <v>6.9073330000000004</v>
      </c>
      <c r="J38" s="375">
        <v>6.9733929999999997</v>
      </c>
      <c r="K38" s="375">
        <v>7.0765250000000002</v>
      </c>
      <c r="L38" s="375">
        <v>7.1758550000000003</v>
      </c>
      <c r="M38" s="375">
        <v>7.4180299999999999</v>
      </c>
    </row>
    <row r="39" spans="1:13" x14ac:dyDescent="0.25">
      <c r="A39" s="375">
        <v>1988</v>
      </c>
      <c r="B39" s="375">
        <v>4.7182459999999997</v>
      </c>
      <c r="C39" s="375">
        <v>5.111783</v>
      </c>
      <c r="D39" s="375">
        <v>5.3735470000000003</v>
      </c>
      <c r="E39" s="375">
        <v>5.5389410000000003</v>
      </c>
      <c r="F39" s="375">
        <v>5.646109</v>
      </c>
      <c r="G39" s="375">
        <v>5.7612920000000001</v>
      </c>
      <c r="H39" s="375">
        <v>5.8574570000000001</v>
      </c>
      <c r="I39" s="375">
        <v>5.9113429999999996</v>
      </c>
      <c r="J39" s="375">
        <v>5.9451390000000002</v>
      </c>
      <c r="K39" s="375">
        <v>5.9904859999999998</v>
      </c>
      <c r="L39" s="375">
        <v>6.0706540000000002</v>
      </c>
      <c r="M39" s="375">
        <v>6.1973159999999998</v>
      </c>
    </row>
    <row r="40" spans="1:13" x14ac:dyDescent="0.25">
      <c r="A40" s="375">
        <v>1987</v>
      </c>
      <c r="B40" s="375">
        <v>1.7044010000000001</v>
      </c>
      <c r="C40" s="375">
        <v>1.827386</v>
      </c>
      <c r="D40" s="375">
        <v>1.948153</v>
      </c>
      <c r="E40" s="375">
        <v>2.1186060000000002</v>
      </c>
      <c r="F40" s="375">
        <v>2.2783250000000002</v>
      </c>
      <c r="G40" s="375">
        <v>2.443146</v>
      </c>
      <c r="H40" s="375">
        <v>2.641022</v>
      </c>
      <c r="I40" s="375">
        <v>2.8568720000000001</v>
      </c>
      <c r="J40" s="375">
        <v>3.0450810000000001</v>
      </c>
      <c r="K40" s="375">
        <v>3.298845</v>
      </c>
      <c r="L40" s="375">
        <v>3.560511</v>
      </c>
      <c r="M40" s="375">
        <v>4.086392</v>
      </c>
    </row>
    <row r="41" spans="1:13" x14ac:dyDescent="0.25">
      <c r="A41" s="375">
        <v>1986</v>
      </c>
      <c r="B41" s="375">
        <v>0.83409199999999994</v>
      </c>
      <c r="C41" s="375">
        <v>0.871174</v>
      </c>
      <c r="D41" s="375">
        <v>0.91166700000000001</v>
      </c>
      <c r="E41" s="375">
        <v>0.95926299999999998</v>
      </c>
      <c r="F41" s="375">
        <v>1.01257</v>
      </c>
      <c r="G41" s="375">
        <v>1.0775669999999999</v>
      </c>
      <c r="H41" s="375">
        <v>1.1313329999999999</v>
      </c>
      <c r="I41" s="375">
        <v>1.2215309999999999</v>
      </c>
      <c r="J41" s="375">
        <v>1.2948120000000001</v>
      </c>
      <c r="K41" s="375">
        <v>1.368824</v>
      </c>
      <c r="L41" s="375">
        <v>1.4613039999999999</v>
      </c>
      <c r="M41" s="375">
        <v>1.576735</v>
      </c>
    </row>
    <row r="43" spans="1:13" x14ac:dyDescent="0.25">
      <c r="C43" s="374">
        <f t="shared" ref="C43:J43" si="0">C7-B7</f>
        <v>0.44199999999999307</v>
      </c>
      <c r="D43" s="374">
        <f t="shared" si="0"/>
        <v>-5.1000000000001933E-2</v>
      </c>
      <c r="E43" s="374">
        <f t="shared" si="0"/>
        <v>-1.0829999999999984</v>
      </c>
      <c r="F43" s="374">
        <f t="shared" si="0"/>
        <v>0.40700000000001069</v>
      </c>
      <c r="G43" s="374">
        <f t="shared" si="0"/>
        <v>0.58099999999998886</v>
      </c>
      <c r="H43" s="374">
        <f t="shared" si="0"/>
        <v>0.70100000000000762</v>
      </c>
      <c r="I43" s="374">
        <f t="shared" si="0"/>
        <v>0.42300000000000182</v>
      </c>
      <c r="J43" s="374">
        <f t="shared" si="0"/>
        <v>0.24699999999999989</v>
      </c>
      <c r="K43" s="374">
        <f>K7-J7</f>
        <v>0.65999999999999659</v>
      </c>
      <c r="L43" s="374">
        <f>SUM(C43:K43)</f>
        <v>2.3269999999999982</v>
      </c>
      <c r="M43" s="374">
        <f>L43/9</f>
        <v>0.25855555555555537</v>
      </c>
    </row>
    <row r="48" spans="1:13" ht="15.75" x14ac:dyDescent="0.25">
      <c r="A48" s="505"/>
      <c r="B48" s="505"/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/>
    </row>
    <row r="49" spans="1:13" x14ac:dyDescent="0.25">
      <c r="A49" s="505"/>
      <c r="B49" s="505"/>
      <c r="C49" s="505"/>
      <c r="D49" s="505"/>
      <c r="E49" s="505"/>
      <c r="F49" s="505"/>
      <c r="G49" s="505"/>
      <c r="H49" s="505"/>
      <c r="I49" s="505"/>
      <c r="J49" s="505"/>
      <c r="K49" s="505"/>
      <c r="L49" s="505"/>
      <c r="M49" s="505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6CE3-C8FA-4E33-AFA9-EBF2BF04DB68}">
  <dimension ref="A1:D367"/>
  <sheetViews>
    <sheetView workbookViewId="0">
      <pane ySplit="6" topLeftCell="A7" activePane="bottomLeft" state="frozen"/>
      <selection pane="bottomLeft" activeCell="E7" sqref="E7"/>
    </sheetView>
  </sheetViews>
  <sheetFormatPr baseColWidth="10" defaultColWidth="10.88671875" defaultRowHeight="15" x14ac:dyDescent="0.2"/>
  <cols>
    <col min="1" max="100" width="11.5546875" customWidth="1"/>
    <col min="101" max="256" width="7.109375" customWidth="1"/>
    <col min="257" max="356" width="11.5546875" customWidth="1"/>
    <col min="357" max="512" width="7.109375" customWidth="1"/>
    <col min="513" max="612" width="11.5546875" customWidth="1"/>
    <col min="613" max="768" width="7.109375" customWidth="1"/>
    <col min="769" max="868" width="11.5546875" customWidth="1"/>
    <col min="869" max="1024" width="7.109375" customWidth="1"/>
    <col min="1025" max="1124" width="11.5546875" customWidth="1"/>
    <col min="1125" max="1280" width="7.109375" customWidth="1"/>
    <col min="1281" max="1380" width="11.5546875" customWidth="1"/>
    <col min="1381" max="1536" width="7.109375" customWidth="1"/>
    <col min="1537" max="1636" width="11.5546875" customWidth="1"/>
    <col min="1637" max="1792" width="7.109375" customWidth="1"/>
    <col min="1793" max="1892" width="11.5546875" customWidth="1"/>
    <col min="1893" max="2048" width="7.109375" customWidth="1"/>
    <col min="2049" max="2148" width="11.5546875" customWidth="1"/>
    <col min="2149" max="2304" width="7.109375" customWidth="1"/>
    <col min="2305" max="2404" width="11.5546875" customWidth="1"/>
    <col min="2405" max="2560" width="7.109375" customWidth="1"/>
    <col min="2561" max="2660" width="11.5546875" customWidth="1"/>
    <col min="2661" max="2816" width="7.109375" customWidth="1"/>
    <col min="2817" max="2916" width="11.5546875" customWidth="1"/>
    <col min="2917" max="3072" width="7.109375" customWidth="1"/>
    <col min="3073" max="3172" width="11.5546875" customWidth="1"/>
    <col min="3173" max="3328" width="7.109375" customWidth="1"/>
    <col min="3329" max="3428" width="11.5546875" customWidth="1"/>
    <col min="3429" max="3584" width="7.109375" customWidth="1"/>
    <col min="3585" max="3684" width="11.5546875" customWidth="1"/>
    <col min="3685" max="3840" width="7.109375" customWidth="1"/>
    <col min="3841" max="3940" width="11.5546875" customWidth="1"/>
    <col min="3941" max="4096" width="7.109375" customWidth="1"/>
    <col min="4097" max="4196" width="11.5546875" customWidth="1"/>
    <col min="4197" max="4352" width="7.109375" customWidth="1"/>
    <col min="4353" max="4452" width="11.5546875" customWidth="1"/>
    <col min="4453" max="4608" width="7.109375" customWidth="1"/>
    <col min="4609" max="4708" width="11.5546875" customWidth="1"/>
    <col min="4709" max="4864" width="7.109375" customWidth="1"/>
    <col min="4865" max="4964" width="11.5546875" customWidth="1"/>
    <col min="4965" max="5120" width="7.109375" customWidth="1"/>
    <col min="5121" max="5220" width="11.5546875" customWidth="1"/>
    <col min="5221" max="5376" width="7.109375" customWidth="1"/>
    <col min="5377" max="5476" width="11.5546875" customWidth="1"/>
    <col min="5477" max="5632" width="7.109375" customWidth="1"/>
    <col min="5633" max="5732" width="11.5546875" customWidth="1"/>
    <col min="5733" max="5888" width="7.109375" customWidth="1"/>
    <col min="5889" max="5988" width="11.5546875" customWidth="1"/>
    <col min="5989" max="6144" width="7.109375" customWidth="1"/>
    <col min="6145" max="6244" width="11.5546875" customWidth="1"/>
    <col min="6245" max="6400" width="7.109375" customWidth="1"/>
    <col min="6401" max="6500" width="11.5546875" customWidth="1"/>
    <col min="6501" max="6656" width="7.109375" customWidth="1"/>
    <col min="6657" max="6756" width="11.5546875" customWidth="1"/>
    <col min="6757" max="6912" width="7.109375" customWidth="1"/>
    <col min="6913" max="7012" width="11.5546875" customWidth="1"/>
    <col min="7013" max="7168" width="7.109375" customWidth="1"/>
    <col min="7169" max="7268" width="11.5546875" customWidth="1"/>
    <col min="7269" max="7424" width="7.109375" customWidth="1"/>
    <col min="7425" max="7524" width="11.5546875" customWidth="1"/>
    <col min="7525" max="7680" width="7.109375" customWidth="1"/>
    <col min="7681" max="7780" width="11.5546875" customWidth="1"/>
    <col min="7781" max="7936" width="7.109375" customWidth="1"/>
    <col min="7937" max="8036" width="11.5546875" customWidth="1"/>
    <col min="8037" max="8192" width="7.109375" customWidth="1"/>
    <col min="8193" max="8292" width="11.5546875" customWidth="1"/>
    <col min="8293" max="8448" width="7.109375" customWidth="1"/>
    <col min="8449" max="8548" width="11.5546875" customWidth="1"/>
    <col min="8549" max="8704" width="7.109375" customWidth="1"/>
    <col min="8705" max="8804" width="11.5546875" customWidth="1"/>
    <col min="8805" max="8960" width="7.109375" customWidth="1"/>
    <col min="8961" max="9060" width="11.5546875" customWidth="1"/>
    <col min="9061" max="9216" width="7.109375" customWidth="1"/>
    <col min="9217" max="9316" width="11.5546875" customWidth="1"/>
    <col min="9317" max="9472" width="7.109375" customWidth="1"/>
    <col min="9473" max="9572" width="11.5546875" customWidth="1"/>
    <col min="9573" max="9728" width="7.109375" customWidth="1"/>
    <col min="9729" max="9828" width="11.5546875" customWidth="1"/>
    <col min="9829" max="9984" width="7.109375" customWidth="1"/>
    <col min="9985" max="10084" width="11.5546875" customWidth="1"/>
    <col min="10085" max="10240" width="7.109375" customWidth="1"/>
    <col min="10241" max="10340" width="11.5546875" customWidth="1"/>
    <col min="10341" max="10496" width="7.109375" customWidth="1"/>
    <col min="10497" max="10596" width="11.5546875" customWidth="1"/>
    <col min="10597" max="10752" width="7.109375" customWidth="1"/>
    <col min="10753" max="10852" width="11.5546875" customWidth="1"/>
    <col min="10853" max="11008" width="7.109375" customWidth="1"/>
    <col min="11009" max="11108" width="11.5546875" customWidth="1"/>
    <col min="11109" max="11264" width="7.109375" customWidth="1"/>
    <col min="11265" max="11364" width="11.5546875" customWidth="1"/>
    <col min="11365" max="11520" width="7.109375" customWidth="1"/>
    <col min="11521" max="11620" width="11.5546875" customWidth="1"/>
    <col min="11621" max="11776" width="7.109375" customWidth="1"/>
    <col min="11777" max="11876" width="11.5546875" customWidth="1"/>
    <col min="11877" max="12032" width="7.109375" customWidth="1"/>
    <col min="12033" max="12132" width="11.5546875" customWidth="1"/>
    <col min="12133" max="12288" width="7.109375" customWidth="1"/>
    <col min="12289" max="12388" width="11.5546875" customWidth="1"/>
    <col min="12389" max="12544" width="7.109375" customWidth="1"/>
    <col min="12545" max="12644" width="11.5546875" customWidth="1"/>
    <col min="12645" max="12800" width="7.109375" customWidth="1"/>
    <col min="12801" max="12900" width="11.5546875" customWidth="1"/>
    <col min="12901" max="13056" width="7.109375" customWidth="1"/>
    <col min="13057" max="13156" width="11.5546875" customWidth="1"/>
    <col min="13157" max="13312" width="7.109375" customWidth="1"/>
    <col min="13313" max="13412" width="11.5546875" customWidth="1"/>
    <col min="13413" max="13568" width="7.109375" customWidth="1"/>
    <col min="13569" max="13668" width="11.5546875" customWidth="1"/>
    <col min="13669" max="13824" width="7.109375" customWidth="1"/>
    <col min="13825" max="13924" width="11.5546875" customWidth="1"/>
    <col min="13925" max="14080" width="7.109375" customWidth="1"/>
    <col min="14081" max="14180" width="11.5546875" customWidth="1"/>
    <col min="14181" max="14336" width="7.109375" customWidth="1"/>
    <col min="14337" max="14436" width="11.5546875" customWidth="1"/>
    <col min="14437" max="14592" width="7.109375" customWidth="1"/>
    <col min="14593" max="14692" width="11.5546875" customWidth="1"/>
    <col min="14693" max="14848" width="7.109375" customWidth="1"/>
    <col min="14849" max="14948" width="11.5546875" customWidth="1"/>
    <col min="14949" max="15104" width="7.109375" customWidth="1"/>
    <col min="15105" max="15204" width="11.5546875" customWidth="1"/>
    <col min="15205" max="15360" width="7.109375" customWidth="1"/>
    <col min="15361" max="15460" width="11.5546875" customWidth="1"/>
    <col min="15461" max="15616" width="7.109375" customWidth="1"/>
    <col min="15617" max="15716" width="11.5546875" customWidth="1"/>
    <col min="15717" max="15872" width="7.109375" customWidth="1"/>
    <col min="15873" max="15972" width="11.5546875" customWidth="1"/>
    <col min="15973" max="16128" width="7.109375" customWidth="1"/>
    <col min="16129" max="16228" width="11.5546875" customWidth="1"/>
    <col min="16229" max="16384" width="7.109375" customWidth="1"/>
  </cols>
  <sheetData>
    <row r="1" spans="1:4" x14ac:dyDescent="0.2">
      <c r="A1" s="744" t="s">
        <v>878</v>
      </c>
      <c r="B1" s="745"/>
      <c r="C1" s="745"/>
      <c r="D1" s="745"/>
    </row>
    <row r="2" spans="1:4" x14ac:dyDescent="0.2">
      <c r="A2" s="745"/>
      <c r="B2" s="745"/>
      <c r="C2" s="745"/>
      <c r="D2" s="745"/>
    </row>
    <row r="3" spans="1:4" x14ac:dyDescent="0.2">
      <c r="A3" s="745"/>
      <c r="B3" s="745"/>
      <c r="C3" s="745"/>
      <c r="D3" s="745"/>
    </row>
    <row r="4" spans="1:4" x14ac:dyDescent="0.2">
      <c r="A4" s="746" t="s">
        <v>879</v>
      </c>
      <c r="B4" s="745"/>
      <c r="C4" s="745"/>
      <c r="D4" s="745"/>
    </row>
    <row r="5" spans="1:4" x14ac:dyDescent="0.2">
      <c r="A5" s="747" t="s">
        <v>519</v>
      </c>
      <c r="B5" s="747" t="s">
        <v>880</v>
      </c>
      <c r="C5" s="747" t="s">
        <v>881</v>
      </c>
      <c r="D5" s="747" t="s">
        <v>882</v>
      </c>
    </row>
    <row r="6" spans="1:4" x14ac:dyDescent="0.2">
      <c r="A6" s="745"/>
      <c r="B6" s="745"/>
      <c r="C6" s="745"/>
      <c r="D6" s="745"/>
    </row>
    <row r="7" spans="1:4" x14ac:dyDescent="0.2">
      <c r="A7" s="648">
        <v>45292</v>
      </c>
      <c r="B7" s="643" t="s">
        <v>883</v>
      </c>
      <c r="C7" s="643" t="s">
        <v>883</v>
      </c>
      <c r="D7" s="644">
        <v>19.361499999999999</v>
      </c>
    </row>
    <row r="8" spans="1:4" x14ac:dyDescent="0.2">
      <c r="A8" s="649">
        <v>45293</v>
      </c>
      <c r="B8" s="646">
        <v>19.488299999999999</v>
      </c>
      <c r="C8" s="646">
        <v>19.471499999999999</v>
      </c>
      <c r="D8" s="646">
        <v>19.361499999999999</v>
      </c>
    </row>
    <row r="9" spans="1:4" x14ac:dyDescent="0.2">
      <c r="A9" s="648">
        <v>45294</v>
      </c>
      <c r="B9" s="644">
        <v>19.422000000000001</v>
      </c>
      <c r="C9" s="644">
        <v>19.488299999999999</v>
      </c>
      <c r="D9" s="644">
        <v>19.471499999999999</v>
      </c>
    </row>
    <row r="10" spans="1:4" x14ac:dyDescent="0.2">
      <c r="A10" s="648">
        <v>45295</v>
      </c>
      <c r="B10" s="646">
        <v>19.3568</v>
      </c>
      <c r="C10" s="646">
        <v>19.422000000000001</v>
      </c>
      <c r="D10" s="646">
        <v>19.488299999999999</v>
      </c>
    </row>
    <row r="11" spans="1:4" x14ac:dyDescent="0.2">
      <c r="A11" s="649">
        <v>45296</v>
      </c>
      <c r="B11" s="644">
        <v>19.3672</v>
      </c>
      <c r="C11" s="644">
        <v>19.3568</v>
      </c>
      <c r="D11" s="644">
        <v>19.422000000000001</v>
      </c>
    </row>
    <row r="12" spans="1:4" x14ac:dyDescent="0.2">
      <c r="A12" s="648">
        <v>45297</v>
      </c>
      <c r="B12" s="646">
        <v>19.1753</v>
      </c>
      <c r="C12" s="646">
        <v>19.3672</v>
      </c>
      <c r="D12" s="646">
        <v>19.3568</v>
      </c>
    </row>
    <row r="13" spans="1:4" x14ac:dyDescent="0.2">
      <c r="A13" s="648">
        <v>45298</v>
      </c>
      <c r="B13" s="643" t="s">
        <v>883</v>
      </c>
      <c r="C13" s="643" t="s">
        <v>883</v>
      </c>
      <c r="D13" s="644">
        <v>19.3672</v>
      </c>
    </row>
    <row r="14" spans="1:4" x14ac:dyDescent="0.2">
      <c r="A14" s="649">
        <v>45299</v>
      </c>
      <c r="B14" s="645" t="s">
        <v>883</v>
      </c>
      <c r="C14" s="645" t="s">
        <v>883</v>
      </c>
      <c r="D14" s="646">
        <v>19.3672</v>
      </c>
    </row>
    <row r="15" spans="1:4" x14ac:dyDescent="0.2">
      <c r="A15" s="648">
        <v>45300</v>
      </c>
      <c r="B15" s="644">
        <v>19.1648</v>
      </c>
      <c r="C15" s="644">
        <v>19.1753</v>
      </c>
      <c r="D15" s="644">
        <v>19.3672</v>
      </c>
    </row>
    <row r="16" spans="1:4" x14ac:dyDescent="0.2">
      <c r="A16" s="648">
        <v>45301</v>
      </c>
      <c r="B16" s="646">
        <v>19.110800000000001</v>
      </c>
      <c r="C16" s="646">
        <v>19.1648</v>
      </c>
      <c r="D16" s="646">
        <v>19.1753</v>
      </c>
    </row>
    <row r="17" spans="1:4" x14ac:dyDescent="0.2">
      <c r="A17" s="649">
        <v>45302</v>
      </c>
      <c r="B17" s="644">
        <v>19.026</v>
      </c>
      <c r="C17" s="644">
        <v>19.110800000000001</v>
      </c>
      <c r="D17" s="644">
        <v>19.1648</v>
      </c>
    </row>
    <row r="18" spans="1:4" x14ac:dyDescent="0.2">
      <c r="A18" s="648">
        <v>45303</v>
      </c>
      <c r="B18" s="646">
        <v>18.8735</v>
      </c>
      <c r="C18" s="646">
        <v>19.026</v>
      </c>
      <c r="D18" s="646">
        <v>19.110800000000001</v>
      </c>
    </row>
    <row r="19" spans="1:4" x14ac:dyDescent="0.2">
      <c r="A19" s="648">
        <v>45304</v>
      </c>
      <c r="B19" s="644">
        <v>18.792200000000001</v>
      </c>
      <c r="C19" s="644">
        <v>18.8735</v>
      </c>
      <c r="D19" s="644">
        <v>19.026</v>
      </c>
    </row>
    <row r="20" spans="1:4" x14ac:dyDescent="0.2">
      <c r="A20" s="649">
        <v>45305</v>
      </c>
      <c r="B20" s="645" t="s">
        <v>883</v>
      </c>
      <c r="C20" s="645" t="s">
        <v>883</v>
      </c>
      <c r="D20" s="646">
        <v>18.8735</v>
      </c>
    </row>
    <row r="21" spans="1:4" x14ac:dyDescent="0.2">
      <c r="A21" s="648">
        <v>45306</v>
      </c>
      <c r="B21" s="643" t="s">
        <v>883</v>
      </c>
      <c r="C21" s="643" t="s">
        <v>883</v>
      </c>
      <c r="D21" s="644">
        <v>18.8735</v>
      </c>
    </row>
    <row r="22" spans="1:4" x14ac:dyDescent="0.2">
      <c r="A22" s="648">
        <v>45307</v>
      </c>
      <c r="B22" s="646">
        <v>18.7913</v>
      </c>
      <c r="C22" s="646">
        <v>18.792200000000001</v>
      </c>
      <c r="D22" s="646">
        <v>18.8735</v>
      </c>
    </row>
    <row r="23" spans="1:4" x14ac:dyDescent="0.2">
      <c r="A23" s="649">
        <v>45308</v>
      </c>
      <c r="B23" s="644">
        <v>18.749300000000002</v>
      </c>
      <c r="C23" s="644">
        <v>18.7913</v>
      </c>
      <c r="D23" s="644">
        <v>18.792200000000001</v>
      </c>
    </row>
    <row r="24" spans="1:4" x14ac:dyDescent="0.2">
      <c r="A24" s="648">
        <v>45309</v>
      </c>
      <c r="B24" s="646">
        <v>18.749300000000002</v>
      </c>
      <c r="C24" s="646">
        <v>18.749300000000002</v>
      </c>
      <c r="D24" s="646">
        <v>18.7913</v>
      </c>
    </row>
    <row r="25" spans="1:4" x14ac:dyDescent="0.2">
      <c r="A25" s="648">
        <v>45310</v>
      </c>
      <c r="B25" s="644">
        <v>19.032699999999998</v>
      </c>
      <c r="C25" s="644">
        <v>18.749300000000002</v>
      </c>
      <c r="D25" s="644">
        <v>18.749300000000002</v>
      </c>
    </row>
    <row r="26" spans="1:4" x14ac:dyDescent="0.2">
      <c r="A26" s="649">
        <v>45311</v>
      </c>
      <c r="B26" s="646">
        <v>18.925699999999999</v>
      </c>
      <c r="C26" s="646">
        <v>19.032699999999998</v>
      </c>
      <c r="D26" s="646">
        <v>18.749300000000002</v>
      </c>
    </row>
    <row r="27" spans="1:4" x14ac:dyDescent="0.2">
      <c r="A27" s="648">
        <v>45312</v>
      </c>
      <c r="B27" s="643" t="s">
        <v>883</v>
      </c>
      <c r="C27" s="643" t="s">
        <v>883</v>
      </c>
      <c r="D27" s="644">
        <v>19.032699999999998</v>
      </c>
    </row>
    <row r="28" spans="1:4" x14ac:dyDescent="0.2">
      <c r="A28" s="648">
        <v>45313</v>
      </c>
      <c r="B28" s="645" t="s">
        <v>883</v>
      </c>
      <c r="C28" s="645" t="s">
        <v>883</v>
      </c>
      <c r="D28" s="646">
        <v>19.032699999999998</v>
      </c>
    </row>
    <row r="29" spans="1:4" x14ac:dyDescent="0.2">
      <c r="A29" s="649">
        <v>45314</v>
      </c>
      <c r="B29" s="644">
        <v>18.826699999999999</v>
      </c>
      <c r="C29" s="644">
        <v>18.925699999999999</v>
      </c>
      <c r="D29" s="644">
        <v>19.032699999999998</v>
      </c>
    </row>
    <row r="30" spans="1:4" x14ac:dyDescent="0.2">
      <c r="A30" s="648">
        <v>45315</v>
      </c>
      <c r="B30" s="646">
        <v>18.831800000000001</v>
      </c>
      <c r="C30" s="646">
        <v>18.826699999999999</v>
      </c>
      <c r="D30" s="646">
        <v>18.925699999999999</v>
      </c>
    </row>
    <row r="31" spans="1:4" x14ac:dyDescent="0.2">
      <c r="A31" s="648">
        <v>45316</v>
      </c>
      <c r="B31" s="644">
        <v>18.82</v>
      </c>
      <c r="C31" s="644">
        <v>18.831800000000001</v>
      </c>
      <c r="D31" s="644">
        <v>18.826699999999999</v>
      </c>
    </row>
    <row r="32" spans="1:4" x14ac:dyDescent="0.2">
      <c r="A32" s="649">
        <v>45317</v>
      </c>
      <c r="B32" s="646">
        <v>18.8355</v>
      </c>
      <c r="C32" s="646">
        <v>18.82</v>
      </c>
      <c r="D32" s="646">
        <v>18.831800000000001</v>
      </c>
    </row>
    <row r="33" spans="1:4" x14ac:dyDescent="0.2">
      <c r="A33" s="648">
        <v>45318</v>
      </c>
      <c r="B33" s="644">
        <v>18.787199999999999</v>
      </c>
      <c r="C33" s="644">
        <v>18.8355</v>
      </c>
      <c r="D33" s="644">
        <v>18.82</v>
      </c>
    </row>
    <row r="34" spans="1:4" x14ac:dyDescent="0.2">
      <c r="A34" s="648">
        <v>45319</v>
      </c>
      <c r="B34" s="645" t="s">
        <v>883</v>
      </c>
      <c r="C34" s="645" t="s">
        <v>883</v>
      </c>
      <c r="D34" s="646">
        <v>18.8355</v>
      </c>
    </row>
    <row r="35" spans="1:4" x14ac:dyDescent="0.2">
      <c r="A35" s="649">
        <v>45320</v>
      </c>
      <c r="B35" s="643" t="s">
        <v>883</v>
      </c>
      <c r="C35" s="643" t="s">
        <v>883</v>
      </c>
      <c r="D35" s="644">
        <v>18.8355</v>
      </c>
    </row>
    <row r="36" spans="1:4" x14ac:dyDescent="0.2">
      <c r="A36" s="648">
        <v>45321</v>
      </c>
      <c r="B36" s="646">
        <v>18.779299999999999</v>
      </c>
      <c r="C36" s="646">
        <v>18.787199999999999</v>
      </c>
      <c r="D36" s="646">
        <v>18.8355</v>
      </c>
    </row>
    <row r="37" spans="1:4" x14ac:dyDescent="0.2">
      <c r="A37" s="648">
        <v>45322</v>
      </c>
      <c r="B37" s="644">
        <v>18.793700000000001</v>
      </c>
      <c r="C37" s="644">
        <v>18.779299999999999</v>
      </c>
      <c r="D37" s="644">
        <v>18.787199999999999</v>
      </c>
    </row>
    <row r="38" spans="1:4" x14ac:dyDescent="0.2">
      <c r="A38" s="649">
        <v>45323</v>
      </c>
      <c r="B38" s="646">
        <v>18.739000000000001</v>
      </c>
      <c r="C38" s="646">
        <v>18.793700000000001</v>
      </c>
      <c r="D38" s="646">
        <v>18.779299999999999</v>
      </c>
    </row>
    <row r="39" spans="1:4" x14ac:dyDescent="0.2">
      <c r="A39" s="648">
        <v>45324</v>
      </c>
      <c r="B39" s="644">
        <v>18.623200000000001</v>
      </c>
      <c r="C39" s="644">
        <v>18.739000000000001</v>
      </c>
      <c r="D39" s="644">
        <v>18.793700000000001</v>
      </c>
    </row>
    <row r="40" spans="1:4" x14ac:dyDescent="0.2">
      <c r="A40" s="648">
        <v>45325</v>
      </c>
      <c r="B40" s="646">
        <v>18.889500000000002</v>
      </c>
      <c r="C40" s="646">
        <v>18.623200000000001</v>
      </c>
      <c r="D40" s="646">
        <v>18.739000000000001</v>
      </c>
    </row>
    <row r="41" spans="1:4" x14ac:dyDescent="0.2">
      <c r="A41" s="649">
        <v>45326</v>
      </c>
      <c r="B41" s="643" t="s">
        <v>883</v>
      </c>
      <c r="C41" s="643" t="s">
        <v>883</v>
      </c>
      <c r="D41" s="644">
        <v>18.623200000000001</v>
      </c>
    </row>
    <row r="42" spans="1:4" x14ac:dyDescent="0.2">
      <c r="A42" s="648">
        <v>45327</v>
      </c>
      <c r="B42" s="645" t="s">
        <v>883</v>
      </c>
      <c r="C42" s="645" t="s">
        <v>883</v>
      </c>
      <c r="D42" s="646">
        <v>18.623200000000001</v>
      </c>
    </row>
    <row r="43" spans="1:4" x14ac:dyDescent="0.2">
      <c r="A43" s="648">
        <v>45328</v>
      </c>
      <c r="B43" s="643" t="s">
        <v>883</v>
      </c>
      <c r="C43" s="643" t="s">
        <v>883</v>
      </c>
      <c r="D43" s="644">
        <v>18.623200000000001</v>
      </c>
    </row>
    <row r="44" spans="1:4" x14ac:dyDescent="0.2">
      <c r="A44" s="649">
        <v>45329</v>
      </c>
      <c r="B44" s="646">
        <v>19.0517</v>
      </c>
      <c r="C44" s="646">
        <v>18.889500000000002</v>
      </c>
      <c r="D44" s="646">
        <v>18.623200000000001</v>
      </c>
    </row>
    <row r="45" spans="1:4" x14ac:dyDescent="0.2">
      <c r="A45" s="648">
        <v>45330</v>
      </c>
      <c r="B45" s="644">
        <v>18.9435</v>
      </c>
      <c r="C45" s="644">
        <v>19.0517</v>
      </c>
      <c r="D45" s="644">
        <v>18.889500000000002</v>
      </c>
    </row>
    <row r="46" spans="1:4" x14ac:dyDescent="0.2">
      <c r="A46" s="648">
        <v>45331</v>
      </c>
      <c r="B46" s="646">
        <v>18.9543</v>
      </c>
      <c r="C46" s="646">
        <v>18.9435</v>
      </c>
      <c r="D46" s="646">
        <v>19.0517</v>
      </c>
    </row>
    <row r="47" spans="1:4" x14ac:dyDescent="0.2">
      <c r="A47" s="649">
        <v>45332</v>
      </c>
      <c r="B47" s="644">
        <v>18.689299999999999</v>
      </c>
      <c r="C47" s="644">
        <v>18.9543</v>
      </c>
      <c r="D47" s="644">
        <v>18.9435</v>
      </c>
    </row>
    <row r="48" spans="1:4" x14ac:dyDescent="0.2">
      <c r="A48" s="648">
        <v>45333</v>
      </c>
      <c r="B48" s="645" t="s">
        <v>883</v>
      </c>
      <c r="C48" s="645" t="s">
        <v>883</v>
      </c>
      <c r="D48" s="646">
        <v>18.9543</v>
      </c>
    </row>
    <row r="49" spans="1:4" x14ac:dyDescent="0.2">
      <c r="A49" s="648">
        <v>45334</v>
      </c>
      <c r="B49" s="643" t="s">
        <v>883</v>
      </c>
      <c r="C49" s="643" t="s">
        <v>883</v>
      </c>
      <c r="D49" s="644">
        <v>18.9543</v>
      </c>
    </row>
    <row r="50" spans="1:4" x14ac:dyDescent="0.2">
      <c r="A50" s="649">
        <v>45335</v>
      </c>
      <c r="B50" s="646">
        <v>18.6327</v>
      </c>
      <c r="C50" s="646">
        <v>18.689299999999999</v>
      </c>
      <c r="D50" s="646">
        <v>18.9543</v>
      </c>
    </row>
    <row r="51" spans="1:4" x14ac:dyDescent="0.2">
      <c r="A51" s="648">
        <v>45336</v>
      </c>
      <c r="B51" s="644">
        <v>18.5383</v>
      </c>
      <c r="C51" s="644">
        <v>18.6327</v>
      </c>
      <c r="D51" s="644">
        <v>18.689299999999999</v>
      </c>
    </row>
    <row r="52" spans="1:4" x14ac:dyDescent="0.2">
      <c r="A52" s="648">
        <v>45337</v>
      </c>
      <c r="B52" s="646">
        <v>18.642800000000001</v>
      </c>
      <c r="C52" s="646">
        <v>18.5383</v>
      </c>
      <c r="D52" s="646">
        <v>18.6327</v>
      </c>
    </row>
    <row r="53" spans="1:4" x14ac:dyDescent="0.2">
      <c r="A53" s="649">
        <v>45338</v>
      </c>
      <c r="B53" s="644">
        <v>18.549700000000001</v>
      </c>
      <c r="C53" s="644">
        <v>18.642800000000001</v>
      </c>
      <c r="D53" s="644">
        <v>18.5383</v>
      </c>
    </row>
    <row r="54" spans="1:4" x14ac:dyDescent="0.2">
      <c r="A54" s="648">
        <v>45339</v>
      </c>
      <c r="B54" s="646">
        <v>18.414200000000001</v>
      </c>
      <c r="C54" s="646">
        <v>18.549700000000001</v>
      </c>
      <c r="D54" s="646">
        <v>18.642800000000001</v>
      </c>
    </row>
    <row r="55" spans="1:4" x14ac:dyDescent="0.2">
      <c r="A55" s="648">
        <v>45340</v>
      </c>
      <c r="B55" s="643" t="s">
        <v>883</v>
      </c>
      <c r="C55" s="643" t="s">
        <v>883</v>
      </c>
      <c r="D55" s="644">
        <v>18.549700000000001</v>
      </c>
    </row>
    <row r="56" spans="1:4" x14ac:dyDescent="0.2">
      <c r="A56" s="649">
        <v>45341</v>
      </c>
      <c r="B56" s="645" t="s">
        <v>883</v>
      </c>
      <c r="C56" s="645" t="s">
        <v>883</v>
      </c>
      <c r="D56" s="646">
        <v>18.549700000000001</v>
      </c>
    </row>
    <row r="57" spans="1:4" x14ac:dyDescent="0.2">
      <c r="A57" s="648">
        <v>45342</v>
      </c>
      <c r="B57" s="644">
        <v>18.396999999999998</v>
      </c>
      <c r="C57" s="644">
        <v>18.414200000000001</v>
      </c>
      <c r="D57" s="644">
        <v>18.549700000000001</v>
      </c>
    </row>
    <row r="58" spans="1:4" x14ac:dyDescent="0.2">
      <c r="A58" s="648">
        <v>45343</v>
      </c>
      <c r="B58" s="646">
        <v>18.393799999999999</v>
      </c>
      <c r="C58" s="646">
        <v>18.396999999999998</v>
      </c>
      <c r="D58" s="646">
        <v>18.414200000000001</v>
      </c>
    </row>
    <row r="59" spans="1:4" x14ac:dyDescent="0.2">
      <c r="A59" s="649">
        <v>45344</v>
      </c>
      <c r="B59" s="644">
        <v>18.348299999999998</v>
      </c>
      <c r="C59" s="644">
        <v>18.393799999999999</v>
      </c>
      <c r="D59" s="644">
        <v>18.396999999999998</v>
      </c>
    </row>
    <row r="60" spans="1:4" x14ac:dyDescent="0.2">
      <c r="A60" s="648">
        <v>45345</v>
      </c>
      <c r="B60" s="646">
        <v>18.410699999999999</v>
      </c>
      <c r="C60" s="646">
        <v>18.348299999999998</v>
      </c>
      <c r="D60" s="646">
        <v>18.393799999999999</v>
      </c>
    </row>
    <row r="61" spans="1:4" x14ac:dyDescent="0.2">
      <c r="A61" s="648">
        <v>45346</v>
      </c>
      <c r="B61" s="644">
        <v>18.4023</v>
      </c>
      <c r="C61" s="644">
        <v>18.410699999999999</v>
      </c>
      <c r="D61" s="644">
        <v>18.348299999999998</v>
      </c>
    </row>
    <row r="62" spans="1:4" x14ac:dyDescent="0.2">
      <c r="A62" s="649">
        <v>45347</v>
      </c>
      <c r="B62" s="645" t="s">
        <v>883</v>
      </c>
      <c r="C62" s="645" t="s">
        <v>883</v>
      </c>
      <c r="D62" s="646">
        <v>18.410699999999999</v>
      </c>
    </row>
    <row r="63" spans="1:4" x14ac:dyDescent="0.2">
      <c r="A63" s="648">
        <v>45348</v>
      </c>
      <c r="B63" s="643" t="s">
        <v>883</v>
      </c>
      <c r="C63" s="643" t="s">
        <v>883</v>
      </c>
      <c r="D63" s="644">
        <v>18.410699999999999</v>
      </c>
    </row>
    <row r="64" spans="1:4" x14ac:dyDescent="0.2">
      <c r="A64" s="648">
        <v>45349</v>
      </c>
      <c r="B64" s="646">
        <v>18.407699999999998</v>
      </c>
      <c r="C64" s="646">
        <v>18.4023</v>
      </c>
      <c r="D64" s="646">
        <v>18.410699999999999</v>
      </c>
    </row>
    <row r="65" spans="1:4" x14ac:dyDescent="0.2">
      <c r="A65" s="649">
        <v>45350</v>
      </c>
      <c r="B65" s="644">
        <v>18.344799999999999</v>
      </c>
      <c r="C65" s="644">
        <v>18.407699999999998</v>
      </c>
      <c r="D65" s="644">
        <v>18.4023</v>
      </c>
    </row>
    <row r="66" spans="1:4" x14ac:dyDescent="0.2">
      <c r="A66" s="648">
        <v>45351</v>
      </c>
      <c r="B66" s="646">
        <v>18.170000000000002</v>
      </c>
      <c r="C66" s="646">
        <v>18.344799999999999</v>
      </c>
      <c r="D66" s="646">
        <v>18.407699999999998</v>
      </c>
    </row>
    <row r="67" spans="1:4" x14ac:dyDescent="0.2">
      <c r="A67" s="648">
        <v>45352</v>
      </c>
      <c r="B67" s="644">
        <v>18.126000000000001</v>
      </c>
      <c r="C67" s="644">
        <v>18.170000000000002</v>
      </c>
      <c r="D67" s="644">
        <v>18.344799999999999</v>
      </c>
    </row>
    <row r="68" spans="1:4" x14ac:dyDescent="0.2">
      <c r="A68" s="649">
        <v>45353</v>
      </c>
      <c r="B68" s="646">
        <v>18.0123</v>
      </c>
      <c r="C68" s="646">
        <v>18.126000000000001</v>
      </c>
      <c r="D68" s="646">
        <v>18.170000000000002</v>
      </c>
    </row>
    <row r="69" spans="1:4" x14ac:dyDescent="0.2">
      <c r="A69" s="648">
        <v>45354</v>
      </c>
      <c r="B69" s="643" t="s">
        <v>883</v>
      </c>
      <c r="C69" s="643" t="s">
        <v>883</v>
      </c>
      <c r="D69" s="644">
        <v>18.126000000000001</v>
      </c>
    </row>
    <row r="70" spans="1:4" x14ac:dyDescent="0.2">
      <c r="A70" s="648">
        <v>45355</v>
      </c>
      <c r="B70" s="645" t="s">
        <v>883</v>
      </c>
      <c r="C70" s="645" t="s">
        <v>883</v>
      </c>
      <c r="D70" s="646">
        <v>18.126000000000001</v>
      </c>
    </row>
    <row r="71" spans="1:4" x14ac:dyDescent="0.2">
      <c r="A71" s="649">
        <v>45356</v>
      </c>
      <c r="B71" s="644">
        <v>18.0122</v>
      </c>
      <c r="C71" s="644">
        <v>18.0123</v>
      </c>
      <c r="D71" s="644">
        <v>18.126000000000001</v>
      </c>
    </row>
    <row r="72" spans="1:4" x14ac:dyDescent="0.2">
      <c r="A72" s="648">
        <v>45357</v>
      </c>
      <c r="B72" s="646">
        <v>18.115500000000001</v>
      </c>
      <c r="C72" s="646">
        <v>18.0122</v>
      </c>
      <c r="D72" s="646">
        <v>18.0123</v>
      </c>
    </row>
    <row r="73" spans="1:4" x14ac:dyDescent="0.2">
      <c r="A73" s="648">
        <v>45358</v>
      </c>
      <c r="B73" s="644">
        <v>17.966200000000001</v>
      </c>
      <c r="C73" s="644">
        <v>18.115500000000001</v>
      </c>
      <c r="D73" s="644">
        <v>18.0122</v>
      </c>
    </row>
    <row r="74" spans="1:4" x14ac:dyDescent="0.2">
      <c r="A74" s="649">
        <v>45359</v>
      </c>
      <c r="B74" s="646">
        <v>18.057700000000001</v>
      </c>
      <c r="C74" s="646">
        <v>17.966200000000001</v>
      </c>
      <c r="D74" s="646">
        <v>18.115500000000001</v>
      </c>
    </row>
    <row r="75" spans="1:4" x14ac:dyDescent="0.2">
      <c r="A75" s="648">
        <v>45360</v>
      </c>
      <c r="B75" s="644">
        <v>18.408300000000001</v>
      </c>
      <c r="C75" s="644">
        <v>18.057700000000001</v>
      </c>
      <c r="D75" s="644">
        <v>17.966200000000001</v>
      </c>
    </row>
    <row r="76" spans="1:4" x14ac:dyDescent="0.2">
      <c r="A76" s="648">
        <v>45361</v>
      </c>
      <c r="B76" s="645" t="s">
        <v>883</v>
      </c>
      <c r="C76" s="645" t="s">
        <v>883</v>
      </c>
      <c r="D76" s="646">
        <v>18.057700000000001</v>
      </c>
    </row>
    <row r="77" spans="1:4" x14ac:dyDescent="0.2">
      <c r="A77" s="649">
        <v>45362</v>
      </c>
      <c r="B77" s="643" t="s">
        <v>883</v>
      </c>
      <c r="C77" s="643" t="s">
        <v>883</v>
      </c>
      <c r="D77" s="644">
        <v>18.057700000000001</v>
      </c>
    </row>
    <row r="78" spans="1:4" x14ac:dyDescent="0.2">
      <c r="A78" s="648">
        <v>45363</v>
      </c>
      <c r="B78" s="646">
        <v>18.830200000000001</v>
      </c>
      <c r="C78" s="646">
        <v>18.408300000000001</v>
      </c>
      <c r="D78" s="646">
        <v>18.057700000000001</v>
      </c>
    </row>
    <row r="79" spans="1:4" x14ac:dyDescent="0.2">
      <c r="A79" s="648">
        <v>45364</v>
      </c>
      <c r="B79" s="644">
        <v>18.642700000000001</v>
      </c>
      <c r="C79" s="644">
        <v>18.830200000000001</v>
      </c>
      <c r="D79" s="644">
        <v>18.408300000000001</v>
      </c>
    </row>
    <row r="80" spans="1:4" x14ac:dyDescent="0.2">
      <c r="A80" s="649">
        <v>45365</v>
      </c>
      <c r="B80" s="646">
        <v>18.997199999999999</v>
      </c>
      <c r="C80" s="646">
        <v>18.642700000000001</v>
      </c>
      <c r="D80" s="646">
        <v>18.830200000000001</v>
      </c>
    </row>
    <row r="81" spans="1:4" x14ac:dyDescent="0.2">
      <c r="A81" s="648">
        <v>45366</v>
      </c>
      <c r="B81" s="644">
        <v>18.909500000000001</v>
      </c>
      <c r="C81" s="644">
        <v>18.997199999999999</v>
      </c>
      <c r="D81" s="644">
        <v>18.642700000000001</v>
      </c>
    </row>
    <row r="82" spans="1:4" x14ac:dyDescent="0.2">
      <c r="A82" s="648">
        <v>45367</v>
      </c>
      <c r="B82" s="646">
        <v>18.8977</v>
      </c>
      <c r="C82" s="646">
        <v>18.909500000000001</v>
      </c>
      <c r="D82" s="646">
        <v>18.997199999999999</v>
      </c>
    </row>
    <row r="83" spans="1:4" x14ac:dyDescent="0.2">
      <c r="A83" s="649">
        <v>45368</v>
      </c>
      <c r="B83" s="643" t="s">
        <v>883</v>
      </c>
      <c r="C83" s="643" t="s">
        <v>883</v>
      </c>
      <c r="D83" s="644">
        <v>18.909500000000001</v>
      </c>
    </row>
    <row r="84" spans="1:4" x14ac:dyDescent="0.2">
      <c r="A84" s="648">
        <v>45369</v>
      </c>
      <c r="B84" s="645" t="s">
        <v>883</v>
      </c>
      <c r="C84" s="645" t="s">
        <v>883</v>
      </c>
      <c r="D84" s="646">
        <v>18.909500000000001</v>
      </c>
    </row>
    <row r="85" spans="1:4" x14ac:dyDescent="0.2">
      <c r="A85" s="648">
        <v>45370</v>
      </c>
      <c r="B85" s="643" t="s">
        <v>883</v>
      </c>
      <c r="C85" s="643" t="s">
        <v>883</v>
      </c>
      <c r="D85" s="644">
        <v>18.909500000000001</v>
      </c>
    </row>
    <row r="86" spans="1:4" x14ac:dyDescent="0.2">
      <c r="A86" s="649">
        <v>45371</v>
      </c>
      <c r="B86" s="646">
        <v>18.6755</v>
      </c>
      <c r="C86" s="646">
        <v>18.8977</v>
      </c>
      <c r="D86" s="646">
        <v>18.909500000000001</v>
      </c>
    </row>
    <row r="87" spans="1:4" x14ac:dyDescent="0.2">
      <c r="A87" s="648">
        <v>45372</v>
      </c>
      <c r="B87" s="644">
        <v>18.543700000000001</v>
      </c>
      <c r="C87" s="644">
        <v>18.6755</v>
      </c>
      <c r="D87" s="644">
        <v>18.8977</v>
      </c>
    </row>
    <row r="88" spans="1:4" x14ac:dyDescent="0.2">
      <c r="A88" s="648">
        <v>45373</v>
      </c>
      <c r="B88" s="646">
        <v>18.490200000000002</v>
      </c>
      <c r="C88" s="646">
        <v>18.543700000000001</v>
      </c>
      <c r="D88" s="646">
        <v>18.6755</v>
      </c>
    </row>
    <row r="89" spans="1:4" x14ac:dyDescent="0.2">
      <c r="A89" s="649">
        <v>45374</v>
      </c>
      <c r="B89" s="644">
        <v>18.517800000000001</v>
      </c>
      <c r="C89" s="644">
        <v>18.490200000000002</v>
      </c>
      <c r="D89" s="644">
        <v>18.543700000000001</v>
      </c>
    </row>
    <row r="90" spans="1:4" x14ac:dyDescent="0.2">
      <c r="A90" s="648">
        <v>45375</v>
      </c>
      <c r="B90" s="645" t="s">
        <v>883</v>
      </c>
      <c r="C90" s="645" t="s">
        <v>883</v>
      </c>
      <c r="D90" s="646">
        <v>18.490200000000002</v>
      </c>
    </row>
    <row r="91" spans="1:4" x14ac:dyDescent="0.2">
      <c r="A91" s="648">
        <v>45376</v>
      </c>
      <c r="B91" s="643" t="s">
        <v>883</v>
      </c>
      <c r="C91" s="643" t="s">
        <v>883</v>
      </c>
      <c r="D91" s="644">
        <v>18.490200000000002</v>
      </c>
    </row>
    <row r="92" spans="1:4" x14ac:dyDescent="0.2">
      <c r="A92" s="649">
        <v>45377</v>
      </c>
      <c r="B92" s="646">
        <v>18.382999999999999</v>
      </c>
      <c r="C92" s="646">
        <v>18.517800000000001</v>
      </c>
      <c r="D92" s="646">
        <v>18.490200000000002</v>
      </c>
    </row>
    <row r="93" spans="1:4" x14ac:dyDescent="0.2">
      <c r="A93" s="648">
        <v>45378</v>
      </c>
      <c r="B93" s="644">
        <v>18.252300000000002</v>
      </c>
      <c r="C93" s="644">
        <v>18.382999999999999</v>
      </c>
      <c r="D93" s="644">
        <v>18.517800000000001</v>
      </c>
    </row>
    <row r="94" spans="1:4" x14ac:dyDescent="0.2">
      <c r="A94" s="648">
        <v>45379</v>
      </c>
      <c r="B94" s="646">
        <v>18.1052</v>
      </c>
      <c r="C94" s="646">
        <v>18.252300000000002</v>
      </c>
      <c r="D94" s="646">
        <v>18.382999999999999</v>
      </c>
    </row>
    <row r="95" spans="1:4" x14ac:dyDescent="0.2">
      <c r="A95" s="649">
        <v>45380</v>
      </c>
      <c r="B95" s="644">
        <v>18.0932</v>
      </c>
      <c r="C95" s="644">
        <v>18.1052</v>
      </c>
      <c r="D95" s="644">
        <v>18.252300000000002</v>
      </c>
    </row>
    <row r="96" spans="1:4" x14ac:dyDescent="0.2">
      <c r="A96" s="648">
        <v>45381</v>
      </c>
      <c r="B96" s="646">
        <v>18.041499999999999</v>
      </c>
      <c r="C96" s="646">
        <v>18.0932</v>
      </c>
      <c r="D96" s="646">
        <v>18.1052</v>
      </c>
    </row>
    <row r="97" spans="1:4" x14ac:dyDescent="0.2">
      <c r="A97" s="648">
        <v>45382</v>
      </c>
      <c r="B97" s="643" t="s">
        <v>883</v>
      </c>
      <c r="C97" s="643" t="s">
        <v>883</v>
      </c>
      <c r="D97" s="644">
        <v>18.0932</v>
      </c>
    </row>
    <row r="98" spans="1:4" x14ac:dyDescent="0.2">
      <c r="A98" s="649">
        <v>45383</v>
      </c>
      <c r="B98" s="645" t="s">
        <v>883</v>
      </c>
      <c r="C98" s="645" t="s">
        <v>883</v>
      </c>
      <c r="D98" s="646">
        <v>18.0932</v>
      </c>
    </row>
    <row r="99" spans="1:4" x14ac:dyDescent="0.2">
      <c r="A99" s="648">
        <v>45384</v>
      </c>
      <c r="B99" s="644">
        <v>18.106999999999999</v>
      </c>
      <c r="C99" s="644">
        <v>18.041499999999999</v>
      </c>
      <c r="D99" s="644">
        <v>18.0932</v>
      </c>
    </row>
    <row r="100" spans="1:4" x14ac:dyDescent="0.2">
      <c r="A100" s="648">
        <v>45385</v>
      </c>
      <c r="B100" s="646">
        <v>18.118500000000001</v>
      </c>
      <c r="C100" s="646">
        <v>18.106999999999999</v>
      </c>
      <c r="D100" s="646">
        <v>18.041499999999999</v>
      </c>
    </row>
    <row r="101" spans="1:4" x14ac:dyDescent="0.2">
      <c r="A101" s="649">
        <v>45386</v>
      </c>
      <c r="B101" s="644">
        <v>18.3323</v>
      </c>
      <c r="C101" s="644">
        <v>18.118500000000001</v>
      </c>
      <c r="D101" s="644">
        <v>18.106999999999999</v>
      </c>
    </row>
    <row r="102" spans="1:4" x14ac:dyDescent="0.2">
      <c r="A102" s="648">
        <v>45387</v>
      </c>
      <c r="B102" s="645" t="s">
        <v>883</v>
      </c>
      <c r="C102" s="645" t="s">
        <v>883</v>
      </c>
      <c r="D102" s="646">
        <v>18.118500000000001</v>
      </c>
    </row>
    <row r="103" spans="1:4" x14ac:dyDescent="0.2">
      <c r="A103" s="648">
        <v>45388</v>
      </c>
      <c r="B103" s="643" t="s">
        <v>883</v>
      </c>
      <c r="C103" s="643" t="s">
        <v>883</v>
      </c>
      <c r="D103" s="644">
        <v>18.118500000000001</v>
      </c>
    </row>
    <row r="104" spans="1:4" x14ac:dyDescent="0.2">
      <c r="A104" s="649">
        <v>45389</v>
      </c>
      <c r="B104" s="645" t="s">
        <v>883</v>
      </c>
      <c r="C104" s="645" t="s">
        <v>883</v>
      </c>
      <c r="D104" s="646">
        <v>18.118500000000001</v>
      </c>
    </row>
    <row r="105" spans="1:4" x14ac:dyDescent="0.2">
      <c r="A105" s="648">
        <v>45390</v>
      </c>
      <c r="B105" s="643" t="s">
        <v>883</v>
      </c>
      <c r="C105" s="643" t="s">
        <v>883</v>
      </c>
      <c r="D105" s="644">
        <v>18.118500000000001</v>
      </c>
    </row>
    <row r="106" spans="1:4" x14ac:dyDescent="0.2">
      <c r="A106" s="648">
        <v>45391</v>
      </c>
      <c r="B106" s="646">
        <v>18.176500000000001</v>
      </c>
      <c r="C106" s="646">
        <v>18.3323</v>
      </c>
      <c r="D106" s="646">
        <v>18.118500000000001</v>
      </c>
    </row>
    <row r="107" spans="1:4" x14ac:dyDescent="0.2">
      <c r="A107" s="649">
        <v>45392</v>
      </c>
      <c r="B107" s="644">
        <v>18.187000000000001</v>
      </c>
      <c r="C107" s="644">
        <v>18.176500000000001</v>
      </c>
      <c r="D107" s="644">
        <v>18.3323</v>
      </c>
    </row>
    <row r="108" spans="1:4" x14ac:dyDescent="0.2">
      <c r="A108" s="648">
        <v>45393</v>
      </c>
      <c r="B108" s="646">
        <v>18.065999999999999</v>
      </c>
      <c r="C108" s="646">
        <v>18.187000000000001</v>
      </c>
      <c r="D108" s="646">
        <v>18.176500000000001</v>
      </c>
    </row>
    <row r="109" spans="1:4" x14ac:dyDescent="0.2">
      <c r="A109" s="648">
        <v>45394</v>
      </c>
      <c r="B109" s="644">
        <v>18.0152</v>
      </c>
      <c r="C109" s="644">
        <v>18.065999999999999</v>
      </c>
      <c r="D109" s="644">
        <v>18.187000000000001</v>
      </c>
    </row>
    <row r="110" spans="1:4" x14ac:dyDescent="0.2">
      <c r="A110" s="649">
        <v>45395</v>
      </c>
      <c r="B110" s="646">
        <v>18.063800000000001</v>
      </c>
      <c r="C110" s="646">
        <v>18.0152</v>
      </c>
      <c r="D110" s="646">
        <v>18.065999999999999</v>
      </c>
    </row>
    <row r="111" spans="1:4" x14ac:dyDescent="0.2">
      <c r="A111" s="648">
        <v>45396</v>
      </c>
      <c r="B111" s="643" t="s">
        <v>883</v>
      </c>
      <c r="C111" s="643" t="s">
        <v>883</v>
      </c>
      <c r="D111" s="644">
        <v>18.0152</v>
      </c>
    </row>
    <row r="112" spans="1:4" x14ac:dyDescent="0.2">
      <c r="A112" s="648">
        <v>45397</v>
      </c>
      <c r="B112" s="645" t="s">
        <v>883</v>
      </c>
      <c r="C112" s="645" t="s">
        <v>883</v>
      </c>
      <c r="D112" s="646">
        <v>18.0152</v>
      </c>
    </row>
    <row r="113" spans="1:4" x14ac:dyDescent="0.2">
      <c r="A113" s="649">
        <v>45398</v>
      </c>
      <c r="B113" s="644">
        <v>18.0868</v>
      </c>
      <c r="C113" s="644">
        <v>18.063800000000001</v>
      </c>
      <c r="D113" s="644">
        <v>18.0152</v>
      </c>
    </row>
    <row r="114" spans="1:4" x14ac:dyDescent="0.2">
      <c r="A114" s="648">
        <v>45399</v>
      </c>
      <c r="B114" s="646">
        <v>18.062999999999999</v>
      </c>
      <c r="C114" s="646">
        <v>18.0868</v>
      </c>
      <c r="D114" s="646">
        <v>18.063800000000001</v>
      </c>
    </row>
    <row r="115" spans="1:4" x14ac:dyDescent="0.2">
      <c r="A115" s="648">
        <v>45400</v>
      </c>
      <c r="B115" s="644">
        <v>18.044799999999999</v>
      </c>
      <c r="C115" s="644">
        <v>18.062999999999999</v>
      </c>
      <c r="D115" s="644">
        <v>18.0868</v>
      </c>
    </row>
    <row r="116" spans="1:4" x14ac:dyDescent="0.2">
      <c r="A116" s="649">
        <v>45401</v>
      </c>
      <c r="B116" s="646">
        <v>18.009</v>
      </c>
      <c r="C116" s="646">
        <v>18.044799999999999</v>
      </c>
      <c r="D116" s="646">
        <v>18.062999999999999</v>
      </c>
    </row>
    <row r="117" spans="1:4" x14ac:dyDescent="0.2">
      <c r="A117" s="648">
        <v>45402</v>
      </c>
      <c r="B117" s="644">
        <v>17.998799999999999</v>
      </c>
      <c r="C117" s="644">
        <v>18.009</v>
      </c>
      <c r="D117" s="644">
        <v>18.044799999999999</v>
      </c>
    </row>
    <row r="118" spans="1:4" x14ac:dyDescent="0.2">
      <c r="A118" s="648">
        <v>45403</v>
      </c>
      <c r="B118" s="645" t="s">
        <v>883</v>
      </c>
      <c r="C118" s="645" t="s">
        <v>883</v>
      </c>
      <c r="D118" s="646">
        <v>18.009</v>
      </c>
    </row>
    <row r="119" spans="1:4" x14ac:dyDescent="0.2">
      <c r="A119" s="649">
        <v>45404</v>
      </c>
      <c r="B119" s="643" t="s">
        <v>883</v>
      </c>
      <c r="C119" s="643" t="s">
        <v>883</v>
      </c>
      <c r="D119" s="644">
        <v>18.009</v>
      </c>
    </row>
    <row r="120" spans="1:4" x14ac:dyDescent="0.2">
      <c r="A120" s="648">
        <v>45405</v>
      </c>
      <c r="B120" s="646">
        <v>18.008199999999999</v>
      </c>
      <c r="C120" s="646">
        <v>17.998799999999999</v>
      </c>
      <c r="D120" s="646">
        <v>18.009</v>
      </c>
    </row>
    <row r="121" spans="1:4" x14ac:dyDescent="0.2">
      <c r="A121" s="648">
        <v>45406</v>
      </c>
      <c r="B121" s="644">
        <v>18.089200000000002</v>
      </c>
      <c r="C121" s="644">
        <v>18.008199999999999</v>
      </c>
      <c r="D121" s="644">
        <v>17.998799999999999</v>
      </c>
    </row>
    <row r="122" spans="1:4" x14ac:dyDescent="0.2">
      <c r="A122" s="649">
        <v>45407</v>
      </c>
      <c r="B122" s="646">
        <v>18.103000000000002</v>
      </c>
      <c r="C122" s="646">
        <v>18.089200000000002</v>
      </c>
      <c r="D122" s="646">
        <v>18.008199999999999</v>
      </c>
    </row>
    <row r="123" spans="1:4" x14ac:dyDescent="0.2">
      <c r="A123" s="648">
        <v>45408</v>
      </c>
      <c r="B123" s="644">
        <v>18.072299999999998</v>
      </c>
      <c r="C123" s="644">
        <v>18.103000000000002</v>
      </c>
      <c r="D123" s="644">
        <v>18.089200000000002</v>
      </c>
    </row>
    <row r="124" spans="1:4" x14ac:dyDescent="0.2">
      <c r="A124" s="648">
        <v>45409</v>
      </c>
      <c r="B124" s="646">
        <v>17.997499999999999</v>
      </c>
      <c r="C124" s="646">
        <v>18.072299999999998</v>
      </c>
      <c r="D124" s="646">
        <v>18.103000000000002</v>
      </c>
    </row>
    <row r="125" spans="1:4" x14ac:dyDescent="0.2">
      <c r="A125" s="649">
        <v>45410</v>
      </c>
      <c r="B125" s="643" t="s">
        <v>883</v>
      </c>
      <c r="C125" s="643" t="s">
        <v>883</v>
      </c>
      <c r="D125" s="644">
        <v>18.072299999999998</v>
      </c>
    </row>
    <row r="126" spans="1:4" x14ac:dyDescent="0.2">
      <c r="A126" s="648">
        <v>45411</v>
      </c>
      <c r="B126" s="645" t="s">
        <v>883</v>
      </c>
      <c r="C126" s="645" t="s">
        <v>883</v>
      </c>
      <c r="D126" s="646">
        <v>18.072299999999998</v>
      </c>
    </row>
    <row r="127" spans="1:4" x14ac:dyDescent="0.2">
      <c r="A127" s="648">
        <v>45412</v>
      </c>
      <c r="B127" s="643" t="s">
        <v>883</v>
      </c>
      <c r="C127" s="643" t="s">
        <v>883</v>
      </c>
      <c r="D127" s="644">
        <v>18.072299999999998</v>
      </c>
    </row>
    <row r="128" spans="1:4" x14ac:dyDescent="0.2">
      <c r="A128" s="649">
        <v>45413</v>
      </c>
      <c r="B128" s="646">
        <v>18.032499999999999</v>
      </c>
      <c r="C128" s="646">
        <v>17.997499999999999</v>
      </c>
      <c r="D128" s="646">
        <v>18.072299999999998</v>
      </c>
    </row>
    <row r="129" spans="1:4" x14ac:dyDescent="0.2">
      <c r="A129" s="648">
        <v>45414</v>
      </c>
      <c r="B129" s="644">
        <v>17.905999999999999</v>
      </c>
      <c r="C129" s="644">
        <v>18.032499999999999</v>
      </c>
      <c r="D129" s="644">
        <v>17.997499999999999</v>
      </c>
    </row>
    <row r="130" spans="1:4" x14ac:dyDescent="0.2">
      <c r="A130" s="648">
        <v>45415</v>
      </c>
      <c r="B130" s="646">
        <v>17.9575</v>
      </c>
      <c r="C130" s="646">
        <v>17.905999999999999</v>
      </c>
      <c r="D130" s="646">
        <v>18.032499999999999</v>
      </c>
    </row>
    <row r="131" spans="1:4" x14ac:dyDescent="0.2">
      <c r="A131" s="649">
        <v>45416</v>
      </c>
      <c r="B131" s="644">
        <v>17.786300000000001</v>
      </c>
      <c r="C131" s="644">
        <v>17.9575</v>
      </c>
      <c r="D131" s="644">
        <v>17.905999999999999</v>
      </c>
    </row>
    <row r="132" spans="1:4" x14ac:dyDescent="0.2">
      <c r="A132" s="648">
        <v>45417</v>
      </c>
      <c r="B132" s="645" t="s">
        <v>883</v>
      </c>
      <c r="C132" s="645" t="s">
        <v>883</v>
      </c>
      <c r="D132" s="646">
        <v>17.9575</v>
      </c>
    </row>
    <row r="133" spans="1:4" x14ac:dyDescent="0.2">
      <c r="A133" s="648">
        <v>45418</v>
      </c>
      <c r="B133" s="643" t="s">
        <v>883</v>
      </c>
      <c r="C133" s="643" t="s">
        <v>883</v>
      </c>
      <c r="D133" s="644">
        <v>17.9575</v>
      </c>
    </row>
    <row r="134" spans="1:4" x14ac:dyDescent="0.2">
      <c r="A134" s="649">
        <v>45419</v>
      </c>
      <c r="B134" s="646">
        <v>17.821300000000001</v>
      </c>
      <c r="C134" s="646">
        <v>17.786300000000001</v>
      </c>
      <c r="D134" s="646">
        <v>17.9575</v>
      </c>
    </row>
    <row r="135" spans="1:4" x14ac:dyDescent="0.2">
      <c r="A135" s="648">
        <v>45420</v>
      </c>
      <c r="B135" s="644">
        <v>17.7608</v>
      </c>
      <c r="C135" s="644">
        <v>17.821300000000001</v>
      </c>
      <c r="D135" s="644">
        <v>17.786300000000001</v>
      </c>
    </row>
    <row r="136" spans="1:4" x14ac:dyDescent="0.2">
      <c r="A136" s="648">
        <v>45421</v>
      </c>
      <c r="B136" s="646">
        <v>17.584499999999998</v>
      </c>
      <c r="C136" s="646">
        <v>17.7608</v>
      </c>
      <c r="D136" s="646">
        <v>17.821300000000001</v>
      </c>
    </row>
    <row r="137" spans="1:4" x14ac:dyDescent="0.2">
      <c r="A137" s="649">
        <v>45422</v>
      </c>
      <c r="B137" s="644">
        <v>17.628699999999998</v>
      </c>
      <c r="C137" s="644">
        <v>17.584499999999998</v>
      </c>
      <c r="D137" s="644">
        <v>17.7608</v>
      </c>
    </row>
    <row r="138" spans="1:4" x14ac:dyDescent="0.2">
      <c r="A138" s="648">
        <v>45423</v>
      </c>
      <c r="B138" s="646">
        <v>17.6142</v>
      </c>
      <c r="C138" s="646">
        <v>17.628699999999998</v>
      </c>
      <c r="D138" s="646">
        <v>17.584499999999998</v>
      </c>
    </row>
    <row r="139" spans="1:4" x14ac:dyDescent="0.2">
      <c r="A139" s="648">
        <v>45424</v>
      </c>
      <c r="B139" s="643" t="s">
        <v>883</v>
      </c>
      <c r="C139" s="643" t="s">
        <v>883</v>
      </c>
      <c r="D139" s="644">
        <v>17.628699999999998</v>
      </c>
    </row>
    <row r="140" spans="1:4" x14ac:dyDescent="0.2">
      <c r="A140" s="649">
        <v>45425</v>
      </c>
      <c r="B140" s="645" t="s">
        <v>883</v>
      </c>
      <c r="C140" s="645" t="s">
        <v>883</v>
      </c>
      <c r="D140" s="646">
        <v>17.628699999999998</v>
      </c>
    </row>
    <row r="141" spans="1:4" x14ac:dyDescent="0.2">
      <c r="A141" s="648">
        <v>45426</v>
      </c>
      <c r="B141" s="644">
        <v>17.538</v>
      </c>
      <c r="C141" s="644">
        <v>17.6142</v>
      </c>
      <c r="D141" s="644">
        <v>17.628699999999998</v>
      </c>
    </row>
    <row r="142" spans="1:4" x14ac:dyDescent="0.2">
      <c r="A142" s="648">
        <v>45427</v>
      </c>
      <c r="B142" s="646">
        <v>17.467199999999998</v>
      </c>
      <c r="C142" s="646">
        <v>17.538</v>
      </c>
      <c r="D142" s="646">
        <v>17.6142</v>
      </c>
    </row>
    <row r="143" spans="1:4" x14ac:dyDescent="0.2">
      <c r="A143" s="649">
        <v>45428</v>
      </c>
      <c r="B143" s="644">
        <v>17.587199999999999</v>
      </c>
      <c r="C143" s="644">
        <v>17.467199999999998</v>
      </c>
      <c r="D143" s="644">
        <v>17.538</v>
      </c>
    </row>
    <row r="144" spans="1:4" x14ac:dyDescent="0.2">
      <c r="A144" s="648">
        <v>45429</v>
      </c>
      <c r="B144" s="646">
        <v>17.734200000000001</v>
      </c>
      <c r="C144" s="646">
        <v>17.587199999999999</v>
      </c>
      <c r="D144" s="646">
        <v>17.467199999999998</v>
      </c>
    </row>
    <row r="145" spans="1:4" x14ac:dyDescent="0.2">
      <c r="A145" s="648">
        <v>45430</v>
      </c>
      <c r="B145" s="644">
        <v>17.693000000000001</v>
      </c>
      <c r="C145" s="644">
        <v>17.734200000000001</v>
      </c>
      <c r="D145" s="644">
        <v>17.587199999999999</v>
      </c>
    </row>
    <row r="146" spans="1:4" x14ac:dyDescent="0.2">
      <c r="A146" s="649">
        <v>45431</v>
      </c>
      <c r="B146" s="645" t="s">
        <v>883</v>
      </c>
      <c r="C146" s="645" t="s">
        <v>883</v>
      </c>
      <c r="D146" s="646">
        <v>17.734200000000001</v>
      </c>
    </row>
    <row r="147" spans="1:4" x14ac:dyDescent="0.2">
      <c r="A147" s="648">
        <v>45432</v>
      </c>
      <c r="B147" s="643" t="s">
        <v>883</v>
      </c>
      <c r="C147" s="643" t="s">
        <v>883</v>
      </c>
      <c r="D147" s="644">
        <v>17.734200000000001</v>
      </c>
    </row>
    <row r="148" spans="1:4" x14ac:dyDescent="0.2">
      <c r="A148" s="648">
        <v>45433</v>
      </c>
      <c r="B148" s="646">
        <v>17.867999999999999</v>
      </c>
      <c r="C148" s="646">
        <v>17.693000000000001</v>
      </c>
      <c r="D148" s="646">
        <v>17.734200000000001</v>
      </c>
    </row>
    <row r="149" spans="1:4" x14ac:dyDescent="0.2">
      <c r="A149" s="649">
        <v>45434</v>
      </c>
      <c r="B149" s="644">
        <v>17.968699999999998</v>
      </c>
      <c r="C149" s="644">
        <v>17.867999999999999</v>
      </c>
      <c r="D149" s="644">
        <v>17.693000000000001</v>
      </c>
    </row>
    <row r="150" spans="1:4" x14ac:dyDescent="0.2">
      <c r="A150" s="648">
        <v>45435</v>
      </c>
      <c r="B150" s="646">
        <v>17.819500000000001</v>
      </c>
      <c r="C150" s="646">
        <v>17.968699999999998</v>
      </c>
      <c r="D150" s="646">
        <v>17.867999999999999</v>
      </c>
    </row>
    <row r="151" spans="1:4" x14ac:dyDescent="0.2">
      <c r="A151" s="648">
        <v>45436</v>
      </c>
      <c r="B151" s="644">
        <v>17.825199999999999</v>
      </c>
      <c r="C151" s="644">
        <v>17.819500000000001</v>
      </c>
      <c r="D151" s="644">
        <v>17.968699999999998</v>
      </c>
    </row>
    <row r="152" spans="1:4" x14ac:dyDescent="0.2">
      <c r="A152" s="649">
        <v>45437</v>
      </c>
      <c r="B152" s="646">
        <v>17.6723</v>
      </c>
      <c r="C152" s="646">
        <v>17.825199999999999</v>
      </c>
      <c r="D152" s="646">
        <v>17.819500000000001</v>
      </c>
    </row>
    <row r="153" spans="1:4" x14ac:dyDescent="0.2">
      <c r="A153" s="648">
        <v>45438</v>
      </c>
      <c r="B153" s="643" t="s">
        <v>883</v>
      </c>
      <c r="C153" s="643" t="s">
        <v>883</v>
      </c>
      <c r="D153" s="644">
        <v>17.825199999999999</v>
      </c>
    </row>
    <row r="154" spans="1:4" x14ac:dyDescent="0.2">
      <c r="A154" s="648">
        <v>45439</v>
      </c>
      <c r="B154" s="645" t="s">
        <v>883</v>
      </c>
      <c r="C154" s="645" t="s">
        <v>883</v>
      </c>
      <c r="D154" s="646">
        <v>17.825199999999999</v>
      </c>
    </row>
    <row r="155" spans="1:4" x14ac:dyDescent="0.2">
      <c r="A155" s="649">
        <v>45440</v>
      </c>
      <c r="B155" s="644">
        <v>17.560500000000001</v>
      </c>
      <c r="C155" s="644">
        <v>17.6723</v>
      </c>
      <c r="D155" s="644">
        <v>17.825199999999999</v>
      </c>
    </row>
    <row r="156" spans="1:4" x14ac:dyDescent="0.2">
      <c r="A156" s="648">
        <v>45441</v>
      </c>
      <c r="B156" s="646">
        <v>17.653199999999998</v>
      </c>
      <c r="C156" s="646">
        <v>17.560500000000001</v>
      </c>
      <c r="D156" s="646">
        <v>17.6723</v>
      </c>
    </row>
    <row r="157" spans="1:4" x14ac:dyDescent="0.2">
      <c r="A157" s="648">
        <v>45442</v>
      </c>
      <c r="B157" s="644">
        <v>17.741800000000001</v>
      </c>
      <c r="C157" s="644">
        <v>17.653199999999998</v>
      </c>
      <c r="D157" s="644">
        <v>17.560500000000001</v>
      </c>
    </row>
    <row r="158" spans="1:4" x14ac:dyDescent="0.2">
      <c r="A158" s="649">
        <v>45443</v>
      </c>
      <c r="B158" s="646">
        <v>17.567299999999999</v>
      </c>
      <c r="C158" s="646">
        <v>17.741800000000001</v>
      </c>
      <c r="D158" s="646">
        <v>17.653199999999998</v>
      </c>
    </row>
    <row r="159" spans="1:4" x14ac:dyDescent="0.2">
      <c r="A159" s="648">
        <v>45444</v>
      </c>
      <c r="B159" s="644">
        <v>17.5063</v>
      </c>
      <c r="C159" s="644">
        <v>17.567299999999999</v>
      </c>
      <c r="D159" s="644">
        <v>17.741800000000001</v>
      </c>
    </row>
    <row r="160" spans="1:4" x14ac:dyDescent="0.2">
      <c r="A160" s="648">
        <v>45445</v>
      </c>
      <c r="B160" s="645" t="s">
        <v>883</v>
      </c>
      <c r="C160" s="645" t="s">
        <v>883</v>
      </c>
      <c r="D160" s="646">
        <v>17.567299999999999</v>
      </c>
    </row>
    <row r="161" spans="1:4" x14ac:dyDescent="0.2">
      <c r="A161" s="649">
        <v>45446</v>
      </c>
      <c r="B161" s="643" t="s">
        <v>883</v>
      </c>
      <c r="C161" s="643" t="s">
        <v>883</v>
      </c>
      <c r="D161" s="644">
        <v>17.567299999999999</v>
      </c>
    </row>
    <row r="162" spans="1:4" x14ac:dyDescent="0.2">
      <c r="A162" s="648">
        <v>45447</v>
      </c>
      <c r="B162" s="646">
        <v>17.473199999999999</v>
      </c>
      <c r="C162" s="646">
        <v>17.5063</v>
      </c>
      <c r="D162" s="646">
        <v>17.567299999999999</v>
      </c>
    </row>
    <row r="163" spans="1:4" x14ac:dyDescent="0.2">
      <c r="A163" s="648">
        <v>45448</v>
      </c>
      <c r="B163" s="644">
        <v>17.4192</v>
      </c>
      <c r="C163" s="644">
        <v>17.473199999999999</v>
      </c>
      <c r="D163" s="644">
        <v>17.5063</v>
      </c>
    </row>
    <row r="164" spans="1:4" x14ac:dyDescent="0.2">
      <c r="A164" s="649">
        <v>45449</v>
      </c>
      <c r="B164" s="646">
        <v>17.360800000000001</v>
      </c>
      <c r="C164" s="646">
        <v>17.4192</v>
      </c>
      <c r="D164" s="646">
        <v>17.473199999999999</v>
      </c>
    </row>
    <row r="165" spans="1:4" x14ac:dyDescent="0.2">
      <c r="A165" s="648">
        <v>45450</v>
      </c>
      <c r="B165" s="644">
        <v>17.4085</v>
      </c>
      <c r="C165" s="644">
        <v>17.360800000000001</v>
      </c>
      <c r="D165" s="644">
        <v>17.4192</v>
      </c>
    </row>
    <row r="166" spans="1:4" x14ac:dyDescent="0.2">
      <c r="A166" s="648">
        <v>45451</v>
      </c>
      <c r="B166" s="646">
        <v>17.283999999999999</v>
      </c>
      <c r="C166" s="646">
        <v>17.4085</v>
      </c>
      <c r="D166" s="646">
        <v>17.360800000000001</v>
      </c>
    </row>
    <row r="167" spans="1:4" x14ac:dyDescent="0.2">
      <c r="A167" s="649">
        <v>45452</v>
      </c>
      <c r="B167" s="643" t="s">
        <v>883</v>
      </c>
      <c r="C167" s="643" t="s">
        <v>883</v>
      </c>
      <c r="D167" s="644">
        <v>17.4085</v>
      </c>
    </row>
    <row r="168" spans="1:4" x14ac:dyDescent="0.2">
      <c r="A168" s="648">
        <v>45453</v>
      </c>
      <c r="B168" s="645" t="s">
        <v>883</v>
      </c>
      <c r="C168" s="645" t="s">
        <v>883</v>
      </c>
      <c r="D168" s="646">
        <v>17.4085</v>
      </c>
    </row>
    <row r="169" spans="1:4" x14ac:dyDescent="0.2">
      <c r="A169" s="648">
        <v>45454</v>
      </c>
      <c r="B169" s="644">
        <v>17.312000000000001</v>
      </c>
      <c r="C169" s="644">
        <v>17.283999999999999</v>
      </c>
      <c r="D169" s="644">
        <v>17.4085</v>
      </c>
    </row>
    <row r="170" spans="1:4" x14ac:dyDescent="0.2">
      <c r="A170" s="649">
        <v>45455</v>
      </c>
      <c r="B170" s="646">
        <v>17.218499999999999</v>
      </c>
      <c r="C170" s="646">
        <v>17.312000000000001</v>
      </c>
      <c r="D170" s="646">
        <v>17.283999999999999</v>
      </c>
    </row>
    <row r="171" spans="1:4" x14ac:dyDescent="0.2">
      <c r="A171" s="648">
        <v>45456</v>
      </c>
      <c r="B171" s="644">
        <v>17.124700000000001</v>
      </c>
      <c r="C171" s="644">
        <v>17.218499999999999</v>
      </c>
      <c r="D171" s="644">
        <v>17.312000000000001</v>
      </c>
    </row>
    <row r="172" spans="1:4" x14ac:dyDescent="0.2">
      <c r="A172" s="648">
        <v>45457</v>
      </c>
      <c r="B172" s="646">
        <v>17.176200000000001</v>
      </c>
      <c r="C172" s="646">
        <v>17.124700000000001</v>
      </c>
      <c r="D172" s="646">
        <v>17.218499999999999</v>
      </c>
    </row>
    <row r="173" spans="1:4" x14ac:dyDescent="0.2">
      <c r="A173" s="649">
        <v>45458</v>
      </c>
      <c r="B173" s="644">
        <v>17.0792</v>
      </c>
      <c r="C173" s="644">
        <v>17.176200000000001</v>
      </c>
      <c r="D173" s="644">
        <v>17.124700000000001</v>
      </c>
    </row>
    <row r="174" spans="1:4" x14ac:dyDescent="0.2">
      <c r="A174" s="648">
        <v>45459</v>
      </c>
      <c r="B174" s="645" t="s">
        <v>883</v>
      </c>
      <c r="C174" s="645" t="s">
        <v>883</v>
      </c>
      <c r="D174" s="646">
        <v>17.176200000000001</v>
      </c>
    </row>
    <row r="175" spans="1:4" x14ac:dyDescent="0.2">
      <c r="A175" s="648">
        <v>45460</v>
      </c>
      <c r="B175" s="643" t="s">
        <v>883</v>
      </c>
      <c r="C175" s="643" t="s">
        <v>883</v>
      </c>
      <c r="D175" s="644">
        <v>17.176200000000001</v>
      </c>
    </row>
    <row r="176" spans="1:4" x14ac:dyDescent="0.2">
      <c r="A176" s="649">
        <v>45461</v>
      </c>
      <c r="B176" s="646">
        <v>17.0945</v>
      </c>
      <c r="C176" s="646">
        <v>17.0792</v>
      </c>
      <c r="D176" s="646">
        <v>17.176200000000001</v>
      </c>
    </row>
    <row r="177" spans="1:4" x14ac:dyDescent="0.2">
      <c r="A177" s="648">
        <v>45462</v>
      </c>
      <c r="B177" s="644">
        <v>17.2043</v>
      </c>
      <c r="C177" s="644">
        <v>17.0945</v>
      </c>
      <c r="D177" s="644">
        <v>17.0792</v>
      </c>
    </row>
    <row r="178" spans="1:4" x14ac:dyDescent="0.2">
      <c r="A178" s="648">
        <v>45463</v>
      </c>
      <c r="B178" s="646">
        <v>17.154699999999998</v>
      </c>
      <c r="C178" s="646">
        <v>17.2043</v>
      </c>
      <c r="D178" s="646">
        <v>17.0945</v>
      </c>
    </row>
    <row r="179" spans="1:4" x14ac:dyDescent="0.2">
      <c r="A179" s="649">
        <v>45464</v>
      </c>
      <c r="B179" s="644">
        <v>17.171299999999999</v>
      </c>
      <c r="C179" s="644">
        <v>17.154699999999998</v>
      </c>
      <c r="D179" s="644">
        <v>17.2043</v>
      </c>
    </row>
    <row r="180" spans="1:4" x14ac:dyDescent="0.2">
      <c r="A180" s="648">
        <v>45465</v>
      </c>
      <c r="B180" s="646">
        <v>17.179500000000001</v>
      </c>
      <c r="C180" s="646">
        <v>17.171299999999999</v>
      </c>
      <c r="D180" s="646">
        <v>17.154699999999998</v>
      </c>
    </row>
    <row r="181" spans="1:4" x14ac:dyDescent="0.2">
      <c r="A181" s="648">
        <v>45466</v>
      </c>
      <c r="B181" s="643" t="s">
        <v>883</v>
      </c>
      <c r="C181" s="643" t="s">
        <v>883</v>
      </c>
      <c r="D181" s="644">
        <v>17.171299999999999</v>
      </c>
    </row>
    <row r="182" spans="1:4" x14ac:dyDescent="0.2">
      <c r="A182" s="649">
        <v>45467</v>
      </c>
      <c r="B182" s="645" t="s">
        <v>883</v>
      </c>
      <c r="C182" s="645" t="s">
        <v>883</v>
      </c>
      <c r="D182" s="646">
        <v>17.171299999999999</v>
      </c>
    </row>
    <row r="183" spans="1:4" x14ac:dyDescent="0.2">
      <c r="A183" s="648">
        <v>45468</v>
      </c>
      <c r="B183" s="644">
        <v>17.144500000000001</v>
      </c>
      <c r="C183" s="644">
        <v>17.179500000000001</v>
      </c>
      <c r="D183" s="644">
        <v>17.171299999999999</v>
      </c>
    </row>
    <row r="184" spans="1:4" x14ac:dyDescent="0.2">
      <c r="A184" s="648">
        <v>45469</v>
      </c>
      <c r="B184" s="646">
        <v>17.101299999999998</v>
      </c>
      <c r="C184" s="646">
        <v>17.144500000000001</v>
      </c>
      <c r="D184" s="646">
        <v>17.179500000000001</v>
      </c>
    </row>
    <row r="185" spans="1:4" x14ac:dyDescent="0.2">
      <c r="A185" s="649">
        <v>45470</v>
      </c>
      <c r="B185" s="644">
        <v>17.071999999999999</v>
      </c>
      <c r="C185" s="644">
        <v>17.101299999999998</v>
      </c>
      <c r="D185" s="644">
        <v>17.144500000000001</v>
      </c>
    </row>
    <row r="186" spans="1:4" x14ac:dyDescent="0.2">
      <c r="A186" s="648">
        <v>45471</v>
      </c>
      <c r="B186" s="646">
        <v>17.1187</v>
      </c>
      <c r="C186" s="646">
        <v>17.071999999999999</v>
      </c>
      <c r="D186" s="646">
        <v>17.101299999999998</v>
      </c>
    </row>
    <row r="187" spans="1:4" x14ac:dyDescent="0.2">
      <c r="A187" s="648">
        <v>45472</v>
      </c>
      <c r="B187" s="644">
        <v>17.1358</v>
      </c>
      <c r="C187" s="644">
        <v>17.1187</v>
      </c>
      <c r="D187" s="644">
        <v>17.071999999999999</v>
      </c>
    </row>
    <row r="188" spans="1:4" x14ac:dyDescent="0.2">
      <c r="A188" s="649">
        <v>45473</v>
      </c>
      <c r="B188" s="645" t="s">
        <v>883</v>
      </c>
      <c r="C188" s="645" t="s">
        <v>883</v>
      </c>
      <c r="D188" s="646">
        <v>17.1187</v>
      </c>
    </row>
    <row r="189" spans="1:4" x14ac:dyDescent="0.2">
      <c r="A189" s="648">
        <v>45474</v>
      </c>
      <c r="B189" s="643" t="s">
        <v>883</v>
      </c>
      <c r="C189" s="643" t="s">
        <v>883</v>
      </c>
      <c r="D189" s="644">
        <v>17.1187</v>
      </c>
    </row>
    <row r="190" spans="1:4" x14ac:dyDescent="0.2">
      <c r="A190" s="648">
        <v>45475</v>
      </c>
      <c r="B190" s="646">
        <v>17.0517</v>
      </c>
      <c r="C190" s="646">
        <v>17.1358</v>
      </c>
      <c r="D190" s="646">
        <v>17.1187</v>
      </c>
    </row>
    <row r="191" spans="1:4" x14ac:dyDescent="0.2">
      <c r="A191" s="649">
        <v>45476</v>
      </c>
      <c r="B191" s="644">
        <v>17.026</v>
      </c>
      <c r="C191" s="644">
        <v>17.0517</v>
      </c>
      <c r="D191" s="644">
        <v>17.1358</v>
      </c>
    </row>
    <row r="192" spans="1:4" x14ac:dyDescent="0.2">
      <c r="A192" s="648">
        <v>45477</v>
      </c>
      <c r="B192" s="646">
        <v>17.004000000000001</v>
      </c>
      <c r="C192" s="646">
        <v>17.026</v>
      </c>
      <c r="D192" s="646">
        <v>17.0517</v>
      </c>
    </row>
    <row r="193" spans="1:4" x14ac:dyDescent="0.2">
      <c r="A193" s="648">
        <v>45478</v>
      </c>
      <c r="B193" s="644">
        <v>17.282499999999999</v>
      </c>
      <c r="C193" s="644">
        <v>17.004000000000001</v>
      </c>
      <c r="D193" s="644">
        <v>17.026</v>
      </c>
    </row>
    <row r="194" spans="1:4" x14ac:dyDescent="0.2">
      <c r="A194" s="649">
        <v>45479</v>
      </c>
      <c r="B194" s="646">
        <v>17.101199999999999</v>
      </c>
      <c r="C194" s="646">
        <v>17.282499999999999</v>
      </c>
      <c r="D194" s="646">
        <v>17.004000000000001</v>
      </c>
    </row>
    <row r="195" spans="1:4" x14ac:dyDescent="0.2">
      <c r="A195" s="648">
        <v>45480</v>
      </c>
      <c r="B195" s="643" t="s">
        <v>883</v>
      </c>
      <c r="C195" s="643" t="s">
        <v>883</v>
      </c>
      <c r="D195" s="644">
        <v>17.282499999999999</v>
      </c>
    </row>
    <row r="196" spans="1:4" x14ac:dyDescent="0.2">
      <c r="A196" s="648">
        <v>45481</v>
      </c>
      <c r="B196" s="645" t="s">
        <v>883</v>
      </c>
      <c r="C196" s="645" t="s">
        <v>883</v>
      </c>
      <c r="D196" s="646">
        <v>17.282499999999999</v>
      </c>
    </row>
    <row r="197" spans="1:4" x14ac:dyDescent="0.2">
      <c r="A197" s="649">
        <v>45482</v>
      </c>
      <c r="B197" s="644">
        <v>17.060500000000001</v>
      </c>
      <c r="C197" s="644">
        <v>17.101199999999999</v>
      </c>
      <c r="D197" s="644">
        <v>17.282499999999999</v>
      </c>
    </row>
    <row r="198" spans="1:4" x14ac:dyDescent="0.2">
      <c r="A198" s="648">
        <v>45483</v>
      </c>
      <c r="B198" s="646">
        <v>17.078299999999999</v>
      </c>
      <c r="C198" s="646">
        <v>17.060500000000001</v>
      </c>
      <c r="D198" s="646">
        <v>17.101199999999999</v>
      </c>
    </row>
    <row r="199" spans="1:4" x14ac:dyDescent="0.2">
      <c r="A199" s="648">
        <v>45484</v>
      </c>
      <c r="B199" s="644">
        <v>16.8537</v>
      </c>
      <c r="C199" s="644">
        <v>17.078299999999999</v>
      </c>
      <c r="D199" s="644">
        <v>17.060500000000001</v>
      </c>
    </row>
    <row r="200" spans="1:4" x14ac:dyDescent="0.2">
      <c r="A200" s="649">
        <v>45485</v>
      </c>
      <c r="B200" s="646">
        <v>16.890499999999999</v>
      </c>
      <c r="C200" s="646">
        <v>16.8537</v>
      </c>
      <c r="D200" s="646">
        <v>17.078299999999999</v>
      </c>
    </row>
    <row r="201" spans="1:4" x14ac:dyDescent="0.2">
      <c r="A201" s="648">
        <v>45486</v>
      </c>
      <c r="B201" s="644">
        <v>16.789200000000001</v>
      </c>
      <c r="C201" s="644">
        <v>16.890499999999999</v>
      </c>
      <c r="D201" s="644">
        <v>16.8537</v>
      </c>
    </row>
    <row r="202" spans="1:4" x14ac:dyDescent="0.2">
      <c r="A202" s="648">
        <v>45487</v>
      </c>
      <c r="B202" s="645" t="s">
        <v>883</v>
      </c>
      <c r="C202" s="645" t="s">
        <v>883</v>
      </c>
      <c r="D202" s="646">
        <v>16.890499999999999</v>
      </c>
    </row>
    <row r="203" spans="1:4" x14ac:dyDescent="0.2">
      <c r="A203" s="649">
        <v>45488</v>
      </c>
      <c r="B203" s="643" t="s">
        <v>883</v>
      </c>
      <c r="C203" s="643" t="s">
        <v>883</v>
      </c>
      <c r="D203" s="644">
        <v>16.890499999999999</v>
      </c>
    </row>
    <row r="204" spans="1:4" x14ac:dyDescent="0.2">
      <c r="A204" s="648">
        <v>45489</v>
      </c>
      <c r="B204" s="646">
        <v>16.785799999999998</v>
      </c>
      <c r="C204" s="646">
        <v>16.789200000000001</v>
      </c>
      <c r="D204" s="646">
        <v>16.890499999999999</v>
      </c>
    </row>
    <row r="205" spans="1:4" x14ac:dyDescent="0.2">
      <c r="A205" s="648">
        <v>45490</v>
      </c>
      <c r="B205" s="644">
        <v>16.748000000000001</v>
      </c>
      <c r="C205" s="644">
        <v>16.785799999999998</v>
      </c>
      <c r="D205" s="644">
        <v>16.789200000000001</v>
      </c>
    </row>
    <row r="206" spans="1:4" x14ac:dyDescent="0.2">
      <c r="A206" s="649">
        <v>45491</v>
      </c>
      <c r="B206" s="646">
        <v>16.7667</v>
      </c>
      <c r="C206" s="646">
        <v>16.748000000000001</v>
      </c>
      <c r="D206" s="646">
        <v>16.785799999999998</v>
      </c>
    </row>
    <row r="207" spans="1:4" x14ac:dyDescent="0.2">
      <c r="A207" s="648">
        <v>45492</v>
      </c>
      <c r="B207" s="644">
        <v>16.846</v>
      </c>
      <c r="C207" s="644">
        <v>16.7667</v>
      </c>
      <c r="D207" s="644">
        <v>16.748000000000001</v>
      </c>
    </row>
    <row r="208" spans="1:4" x14ac:dyDescent="0.2">
      <c r="A208" s="648">
        <v>45493</v>
      </c>
      <c r="B208" s="646">
        <v>16.939299999999999</v>
      </c>
      <c r="C208" s="646">
        <v>16.846</v>
      </c>
      <c r="D208" s="646">
        <v>16.7667</v>
      </c>
    </row>
    <row r="209" spans="1:4" x14ac:dyDescent="0.2">
      <c r="A209" s="649">
        <v>45494</v>
      </c>
      <c r="B209" s="643" t="s">
        <v>883</v>
      </c>
      <c r="C209" s="643" t="s">
        <v>883</v>
      </c>
      <c r="D209" s="644">
        <v>16.846</v>
      </c>
    </row>
    <row r="210" spans="1:4" x14ac:dyDescent="0.2">
      <c r="A210" s="648">
        <v>45495</v>
      </c>
      <c r="B210" s="645" t="s">
        <v>883</v>
      </c>
      <c r="C210" s="645" t="s">
        <v>883</v>
      </c>
      <c r="D210" s="646">
        <v>16.846</v>
      </c>
    </row>
    <row r="211" spans="1:4" x14ac:dyDescent="0.2">
      <c r="A211" s="648">
        <v>45496</v>
      </c>
      <c r="B211" s="644">
        <v>16.8367</v>
      </c>
      <c r="C211" s="644">
        <v>16.939299999999999</v>
      </c>
      <c r="D211" s="644">
        <v>16.846</v>
      </c>
    </row>
    <row r="212" spans="1:4" x14ac:dyDescent="0.2">
      <c r="A212" s="649">
        <v>45497</v>
      </c>
      <c r="B212" s="646">
        <v>16.907499999999999</v>
      </c>
      <c r="C212" s="646">
        <v>16.8367</v>
      </c>
      <c r="D212" s="646">
        <v>16.939299999999999</v>
      </c>
    </row>
    <row r="213" spans="1:4" x14ac:dyDescent="0.2">
      <c r="A213" s="648">
        <v>45498</v>
      </c>
      <c r="B213" s="644">
        <v>16.8825</v>
      </c>
      <c r="C213" s="644">
        <v>16.907499999999999</v>
      </c>
      <c r="D213" s="644">
        <v>16.8367</v>
      </c>
    </row>
    <row r="214" spans="1:4" x14ac:dyDescent="0.2">
      <c r="A214" s="648">
        <v>45499</v>
      </c>
      <c r="B214" s="646">
        <v>16.733799999999999</v>
      </c>
      <c r="C214" s="646">
        <v>16.8825</v>
      </c>
      <c r="D214" s="646">
        <v>16.907499999999999</v>
      </c>
    </row>
    <row r="215" spans="1:4" x14ac:dyDescent="0.2">
      <c r="A215" s="649">
        <v>45500</v>
      </c>
      <c r="B215" s="644">
        <v>16.689499999999999</v>
      </c>
      <c r="C215" s="644">
        <v>16.733799999999999</v>
      </c>
      <c r="D215" s="644">
        <v>16.8825</v>
      </c>
    </row>
    <row r="216" spans="1:4" x14ac:dyDescent="0.2">
      <c r="A216" s="648">
        <v>45501</v>
      </c>
      <c r="B216" s="645" t="s">
        <v>883</v>
      </c>
      <c r="C216" s="645" t="s">
        <v>883</v>
      </c>
      <c r="D216" s="646">
        <v>16.733799999999999</v>
      </c>
    </row>
    <row r="217" spans="1:4" x14ac:dyDescent="0.2">
      <c r="A217" s="648">
        <v>45502</v>
      </c>
      <c r="B217" s="643" t="s">
        <v>883</v>
      </c>
      <c r="C217" s="643" t="s">
        <v>883</v>
      </c>
      <c r="D217" s="644">
        <v>16.733799999999999</v>
      </c>
    </row>
    <row r="218" spans="1:4" x14ac:dyDescent="0.2">
      <c r="A218" s="649">
        <v>45503</v>
      </c>
      <c r="B218" s="646">
        <v>16.7303</v>
      </c>
      <c r="C218" s="646">
        <v>16.689499999999999</v>
      </c>
      <c r="D218" s="646">
        <v>16.733799999999999</v>
      </c>
    </row>
    <row r="219" spans="1:4" x14ac:dyDescent="0.2">
      <c r="A219" s="648">
        <v>45504</v>
      </c>
      <c r="B219" s="644">
        <v>16.853300000000001</v>
      </c>
      <c r="C219" s="644">
        <v>16.7303</v>
      </c>
      <c r="D219" s="644">
        <v>16.689499999999999</v>
      </c>
    </row>
    <row r="220" spans="1:4" x14ac:dyDescent="0.2">
      <c r="A220" s="648">
        <v>45505</v>
      </c>
      <c r="B220" s="646">
        <v>17.019300000000001</v>
      </c>
      <c r="C220" s="646">
        <v>16.853300000000001</v>
      </c>
      <c r="D220" s="646">
        <v>16.7303</v>
      </c>
    </row>
    <row r="221" spans="1:4" x14ac:dyDescent="0.2">
      <c r="A221" s="649">
        <v>45506</v>
      </c>
      <c r="B221" s="644">
        <v>17.289200000000001</v>
      </c>
      <c r="C221" s="644">
        <v>17.019300000000001</v>
      </c>
      <c r="D221" s="644">
        <v>16.853300000000001</v>
      </c>
    </row>
    <row r="222" spans="1:4" x14ac:dyDescent="0.2">
      <c r="A222" s="648">
        <v>45507</v>
      </c>
      <c r="B222" s="646">
        <v>17.055499999999999</v>
      </c>
      <c r="C222" s="646">
        <v>17.289200000000001</v>
      </c>
      <c r="D222" s="646">
        <v>17.019300000000001</v>
      </c>
    </row>
    <row r="223" spans="1:4" x14ac:dyDescent="0.2">
      <c r="A223" s="648">
        <v>45508</v>
      </c>
      <c r="B223" s="643" t="s">
        <v>883</v>
      </c>
      <c r="C223" s="643" t="s">
        <v>883</v>
      </c>
      <c r="D223" s="644">
        <v>17.289200000000001</v>
      </c>
    </row>
    <row r="224" spans="1:4" x14ac:dyDescent="0.2">
      <c r="A224" s="649">
        <v>45509</v>
      </c>
      <c r="B224" s="645" t="s">
        <v>883</v>
      </c>
      <c r="C224" s="645" t="s">
        <v>883</v>
      </c>
      <c r="D224" s="646">
        <v>17.289200000000001</v>
      </c>
    </row>
    <row r="225" spans="1:4" x14ac:dyDescent="0.2">
      <c r="A225" s="648">
        <v>45510</v>
      </c>
      <c r="B225" s="644">
        <v>17.0608</v>
      </c>
      <c r="C225" s="644">
        <v>17.055499999999999</v>
      </c>
      <c r="D225" s="644">
        <v>17.289200000000001</v>
      </c>
    </row>
    <row r="226" spans="1:4" x14ac:dyDescent="0.2">
      <c r="A226" s="648">
        <v>45511</v>
      </c>
      <c r="B226" s="646">
        <v>17.112200000000001</v>
      </c>
      <c r="C226" s="646">
        <v>17.0608</v>
      </c>
      <c r="D226" s="646">
        <v>17.055499999999999</v>
      </c>
    </row>
    <row r="227" spans="1:4" x14ac:dyDescent="0.2">
      <c r="A227" s="649">
        <v>45512</v>
      </c>
      <c r="B227" s="644">
        <v>17.076699999999999</v>
      </c>
      <c r="C227" s="644">
        <v>17.112200000000001</v>
      </c>
      <c r="D227" s="644">
        <v>17.0608</v>
      </c>
    </row>
    <row r="228" spans="1:4" x14ac:dyDescent="0.2">
      <c r="A228" s="648">
        <v>45513</v>
      </c>
      <c r="B228" s="646">
        <v>16.954799999999999</v>
      </c>
      <c r="C228" s="646">
        <v>17.076699999999999</v>
      </c>
      <c r="D228" s="646">
        <v>17.112200000000001</v>
      </c>
    </row>
    <row r="229" spans="1:4" x14ac:dyDescent="0.2">
      <c r="A229" s="648">
        <v>45514</v>
      </c>
      <c r="B229" s="644">
        <v>17.0045</v>
      </c>
      <c r="C229" s="644">
        <v>16.954799999999999</v>
      </c>
      <c r="D229" s="644">
        <v>17.076699999999999</v>
      </c>
    </row>
    <row r="230" spans="1:4" x14ac:dyDescent="0.2">
      <c r="A230" s="649">
        <v>45515</v>
      </c>
      <c r="B230" s="645" t="s">
        <v>883</v>
      </c>
      <c r="C230" s="645" t="s">
        <v>883</v>
      </c>
      <c r="D230" s="646">
        <v>16.954799999999999</v>
      </c>
    </row>
    <row r="231" spans="1:4" x14ac:dyDescent="0.2">
      <c r="A231" s="648">
        <v>45516</v>
      </c>
      <c r="B231" s="643" t="s">
        <v>883</v>
      </c>
      <c r="C231" s="643" t="s">
        <v>883</v>
      </c>
      <c r="D231" s="644">
        <v>16.954799999999999</v>
      </c>
    </row>
    <row r="232" spans="1:4" x14ac:dyDescent="0.2">
      <c r="A232" s="648">
        <v>45517</v>
      </c>
      <c r="B232" s="646">
        <v>17.0672</v>
      </c>
      <c r="C232" s="646">
        <v>17.0045</v>
      </c>
      <c r="D232" s="646">
        <v>16.954799999999999</v>
      </c>
    </row>
    <row r="233" spans="1:4" x14ac:dyDescent="0.2">
      <c r="A233" s="649">
        <v>45518</v>
      </c>
      <c r="B233" s="644">
        <v>17.1388</v>
      </c>
      <c r="C233" s="644">
        <v>17.0672</v>
      </c>
      <c r="D233" s="644">
        <v>17.0045</v>
      </c>
    </row>
    <row r="234" spans="1:4" x14ac:dyDescent="0.2">
      <c r="A234" s="648">
        <v>45519</v>
      </c>
      <c r="B234" s="646">
        <v>17.076799999999999</v>
      </c>
      <c r="C234" s="646">
        <v>17.1388</v>
      </c>
      <c r="D234" s="646">
        <v>17.0672</v>
      </c>
    </row>
    <row r="235" spans="1:4" x14ac:dyDescent="0.2">
      <c r="A235" s="648">
        <v>45520</v>
      </c>
      <c r="B235" s="644">
        <v>17.122499999999999</v>
      </c>
      <c r="C235" s="644">
        <v>17.076799999999999</v>
      </c>
      <c r="D235" s="644">
        <v>17.1388</v>
      </c>
    </row>
    <row r="236" spans="1:4" x14ac:dyDescent="0.2">
      <c r="A236" s="649">
        <v>45521</v>
      </c>
      <c r="B236" s="646">
        <v>17.047699999999999</v>
      </c>
      <c r="C236" s="646">
        <v>17.122499999999999</v>
      </c>
      <c r="D236" s="646">
        <v>17.076799999999999</v>
      </c>
    </row>
    <row r="237" spans="1:4" x14ac:dyDescent="0.2">
      <c r="A237" s="648">
        <v>45522</v>
      </c>
      <c r="B237" s="643" t="s">
        <v>883</v>
      </c>
      <c r="C237" s="643" t="s">
        <v>883</v>
      </c>
      <c r="D237" s="644">
        <v>17.122499999999999</v>
      </c>
    </row>
    <row r="238" spans="1:4" x14ac:dyDescent="0.2">
      <c r="A238" s="648">
        <v>45523</v>
      </c>
      <c r="B238" s="645" t="s">
        <v>883</v>
      </c>
      <c r="C238" s="645" t="s">
        <v>883</v>
      </c>
      <c r="D238" s="646">
        <v>17.122499999999999</v>
      </c>
    </row>
    <row r="239" spans="1:4" x14ac:dyDescent="0.2">
      <c r="A239" s="649">
        <v>45524</v>
      </c>
      <c r="B239" s="644">
        <v>17.020199999999999</v>
      </c>
      <c r="C239" s="644">
        <v>17.047699999999999</v>
      </c>
      <c r="D239" s="644">
        <v>17.122499999999999</v>
      </c>
    </row>
    <row r="240" spans="1:4" x14ac:dyDescent="0.2">
      <c r="A240" s="648">
        <v>45525</v>
      </c>
      <c r="B240" s="646">
        <v>16.9267</v>
      </c>
      <c r="C240" s="646">
        <v>17.020199999999999</v>
      </c>
      <c r="D240" s="646">
        <v>17.047699999999999</v>
      </c>
    </row>
    <row r="241" spans="1:4" x14ac:dyDescent="0.2">
      <c r="A241" s="648">
        <v>45526</v>
      </c>
      <c r="B241" s="644">
        <v>16.807700000000001</v>
      </c>
      <c r="C241" s="644">
        <v>16.9267</v>
      </c>
      <c r="D241" s="644">
        <v>17.020199999999999</v>
      </c>
    </row>
    <row r="242" spans="1:4" x14ac:dyDescent="0.2">
      <c r="A242" s="649">
        <v>45527</v>
      </c>
      <c r="B242" s="646">
        <v>16.809000000000001</v>
      </c>
      <c r="C242" s="646">
        <v>16.807700000000001</v>
      </c>
      <c r="D242" s="646">
        <v>16.9267</v>
      </c>
    </row>
    <row r="243" spans="1:4" x14ac:dyDescent="0.2">
      <c r="A243" s="648">
        <v>45528</v>
      </c>
      <c r="B243" s="644">
        <v>16.771799999999999</v>
      </c>
      <c r="C243" s="644">
        <v>16.809000000000001</v>
      </c>
      <c r="D243" s="644">
        <v>16.807700000000001</v>
      </c>
    </row>
    <row r="244" spans="1:4" x14ac:dyDescent="0.2">
      <c r="A244" s="648">
        <v>45529</v>
      </c>
      <c r="B244" s="645" t="s">
        <v>883</v>
      </c>
      <c r="C244" s="645" t="s">
        <v>883</v>
      </c>
      <c r="D244" s="646">
        <v>16.809000000000001</v>
      </c>
    </row>
    <row r="245" spans="1:4" x14ac:dyDescent="0.2">
      <c r="A245" s="649">
        <v>45530</v>
      </c>
      <c r="B245" s="643" t="s">
        <v>883</v>
      </c>
      <c r="C245" s="643" t="s">
        <v>883</v>
      </c>
      <c r="D245" s="644">
        <v>16.809000000000001</v>
      </c>
    </row>
    <row r="246" spans="1:4" x14ac:dyDescent="0.2">
      <c r="A246" s="648">
        <v>45531</v>
      </c>
      <c r="B246" s="646">
        <v>16.743200000000002</v>
      </c>
      <c r="C246" s="646">
        <v>16.771799999999999</v>
      </c>
      <c r="D246" s="646">
        <v>16.809000000000001</v>
      </c>
    </row>
    <row r="247" spans="1:4" x14ac:dyDescent="0.2">
      <c r="A247" s="648">
        <v>45532</v>
      </c>
      <c r="B247" s="644">
        <v>16.840199999999999</v>
      </c>
      <c r="C247" s="644">
        <v>16.743200000000002</v>
      </c>
      <c r="D247" s="644">
        <v>16.771799999999999</v>
      </c>
    </row>
    <row r="248" spans="1:4" x14ac:dyDescent="0.2">
      <c r="A248" s="649">
        <v>45533</v>
      </c>
      <c r="B248" s="646">
        <v>16.747699999999998</v>
      </c>
      <c r="C248" s="646">
        <v>16.840199999999999</v>
      </c>
      <c r="D248" s="646">
        <v>16.743200000000002</v>
      </c>
    </row>
    <row r="249" spans="1:4" x14ac:dyDescent="0.2">
      <c r="A249" s="648">
        <v>45534</v>
      </c>
      <c r="B249" s="644">
        <v>16.917000000000002</v>
      </c>
      <c r="C249" s="644">
        <v>16.747699999999998</v>
      </c>
      <c r="D249" s="644">
        <v>16.840199999999999</v>
      </c>
    </row>
    <row r="250" spans="1:4" x14ac:dyDescent="0.2">
      <c r="A250" s="648">
        <v>45535</v>
      </c>
      <c r="B250" s="646">
        <v>17.1113</v>
      </c>
      <c r="C250" s="646">
        <v>16.917000000000002</v>
      </c>
      <c r="D250" s="646">
        <v>16.747699999999998</v>
      </c>
    </row>
    <row r="251" spans="1:4" x14ac:dyDescent="0.2">
      <c r="A251" s="649">
        <v>45536</v>
      </c>
      <c r="B251" s="643" t="s">
        <v>883</v>
      </c>
      <c r="C251" s="643" t="s">
        <v>883</v>
      </c>
      <c r="D251" s="644">
        <v>16.917000000000002</v>
      </c>
    </row>
    <row r="252" spans="1:4" x14ac:dyDescent="0.2">
      <c r="A252" s="648">
        <v>45537</v>
      </c>
      <c r="B252" s="645" t="s">
        <v>883</v>
      </c>
      <c r="C252" s="645" t="s">
        <v>883</v>
      </c>
      <c r="D252" s="646">
        <v>16.917000000000002</v>
      </c>
    </row>
    <row r="253" spans="1:4" x14ac:dyDescent="0.2">
      <c r="A253" s="648">
        <v>45538</v>
      </c>
      <c r="B253" s="644">
        <v>17.175000000000001</v>
      </c>
      <c r="C253" s="644">
        <v>17.1113</v>
      </c>
      <c r="D253" s="644">
        <v>16.917000000000002</v>
      </c>
    </row>
    <row r="254" spans="1:4" x14ac:dyDescent="0.2">
      <c r="A254" s="649">
        <v>45539</v>
      </c>
      <c r="B254" s="646">
        <v>17.3492</v>
      </c>
      <c r="C254" s="646">
        <v>17.175000000000001</v>
      </c>
      <c r="D254" s="646">
        <v>17.1113</v>
      </c>
    </row>
    <row r="255" spans="1:4" x14ac:dyDescent="0.2">
      <c r="A255" s="648">
        <v>45540</v>
      </c>
      <c r="B255" s="644">
        <v>17.580500000000001</v>
      </c>
      <c r="C255" s="644">
        <v>17.3492</v>
      </c>
      <c r="D255" s="644">
        <v>17.175000000000001</v>
      </c>
    </row>
    <row r="256" spans="1:4" x14ac:dyDescent="0.2">
      <c r="A256" s="648">
        <v>45541</v>
      </c>
      <c r="B256" s="646">
        <v>17.554300000000001</v>
      </c>
      <c r="C256" s="646">
        <v>17.580500000000001</v>
      </c>
      <c r="D256" s="646">
        <v>17.3492</v>
      </c>
    </row>
    <row r="257" spans="1:4" x14ac:dyDescent="0.2">
      <c r="A257" s="649">
        <v>45542</v>
      </c>
      <c r="B257" s="644">
        <v>17.576699999999999</v>
      </c>
      <c r="C257" s="644">
        <v>17.554300000000001</v>
      </c>
      <c r="D257" s="644">
        <v>17.580500000000001</v>
      </c>
    </row>
    <row r="258" spans="1:4" x14ac:dyDescent="0.2">
      <c r="A258" s="648">
        <v>45543</v>
      </c>
      <c r="B258" s="645" t="s">
        <v>883</v>
      </c>
      <c r="C258" s="645" t="s">
        <v>883</v>
      </c>
      <c r="D258" s="646">
        <v>17.554300000000001</v>
      </c>
    </row>
    <row r="259" spans="1:4" x14ac:dyDescent="0.2">
      <c r="A259" s="648">
        <v>45544</v>
      </c>
      <c r="B259" s="643" t="s">
        <v>883</v>
      </c>
      <c r="C259" s="643" t="s">
        <v>883</v>
      </c>
      <c r="D259" s="644">
        <v>17.554300000000001</v>
      </c>
    </row>
    <row r="260" spans="1:4" x14ac:dyDescent="0.2">
      <c r="A260" s="649">
        <v>45545</v>
      </c>
      <c r="B260" s="646">
        <v>17.3813</v>
      </c>
      <c r="C260" s="646">
        <v>17.576699999999999</v>
      </c>
      <c r="D260" s="646">
        <v>17.554300000000001</v>
      </c>
    </row>
    <row r="261" spans="1:4" x14ac:dyDescent="0.2">
      <c r="A261" s="648">
        <v>45546</v>
      </c>
      <c r="B261" s="644">
        <v>17.255299999999998</v>
      </c>
      <c r="C261" s="644">
        <v>17.3813</v>
      </c>
      <c r="D261" s="644">
        <v>17.576699999999999</v>
      </c>
    </row>
    <row r="262" spans="1:4" x14ac:dyDescent="0.2">
      <c r="A262" s="648">
        <v>45547</v>
      </c>
      <c r="B262" s="646">
        <v>17.1235</v>
      </c>
      <c r="C262" s="646">
        <v>17.255299999999998</v>
      </c>
      <c r="D262" s="646">
        <v>17.3813</v>
      </c>
    </row>
    <row r="263" spans="1:4" x14ac:dyDescent="0.2">
      <c r="A263" s="649">
        <v>45548</v>
      </c>
      <c r="B263" s="644">
        <v>17.104199999999999</v>
      </c>
      <c r="C263" s="644">
        <v>17.1235</v>
      </c>
      <c r="D263" s="644">
        <v>17.255299999999998</v>
      </c>
    </row>
    <row r="264" spans="1:4" x14ac:dyDescent="0.2">
      <c r="A264" s="648">
        <v>45549</v>
      </c>
      <c r="B264" s="646">
        <v>17.0807</v>
      </c>
      <c r="C264" s="646">
        <v>17.104199999999999</v>
      </c>
      <c r="D264" s="646">
        <v>17.1235</v>
      </c>
    </row>
    <row r="265" spans="1:4" x14ac:dyDescent="0.2">
      <c r="A265" s="648">
        <v>45550</v>
      </c>
      <c r="B265" s="643" t="s">
        <v>883</v>
      </c>
      <c r="C265" s="643" t="s">
        <v>883</v>
      </c>
      <c r="D265" s="644">
        <v>17.104199999999999</v>
      </c>
    </row>
    <row r="266" spans="1:4" x14ac:dyDescent="0.2">
      <c r="A266" s="649">
        <v>45551</v>
      </c>
      <c r="B266" s="645" t="s">
        <v>883</v>
      </c>
      <c r="C266" s="645" t="s">
        <v>883</v>
      </c>
      <c r="D266" s="646">
        <v>17.104199999999999</v>
      </c>
    </row>
    <row r="267" spans="1:4" x14ac:dyDescent="0.2">
      <c r="A267" s="648">
        <v>45552</v>
      </c>
      <c r="B267" s="644">
        <v>17.130700000000001</v>
      </c>
      <c r="C267" s="644">
        <v>17.0807</v>
      </c>
      <c r="D267" s="644">
        <v>17.104199999999999</v>
      </c>
    </row>
    <row r="268" spans="1:4" x14ac:dyDescent="0.2">
      <c r="A268" s="648">
        <v>45553</v>
      </c>
      <c r="B268" s="646">
        <v>17.080500000000001</v>
      </c>
      <c r="C268" s="646">
        <v>17.130700000000001</v>
      </c>
      <c r="D268" s="646">
        <v>17.0807</v>
      </c>
    </row>
    <row r="269" spans="1:4" x14ac:dyDescent="0.2">
      <c r="A269" s="649">
        <v>45554</v>
      </c>
      <c r="B269" s="644">
        <v>17.024000000000001</v>
      </c>
      <c r="C269" s="644">
        <v>17.080500000000001</v>
      </c>
      <c r="D269" s="644">
        <v>17.130700000000001</v>
      </c>
    </row>
    <row r="270" spans="1:4" x14ac:dyDescent="0.2">
      <c r="A270" s="648">
        <v>45555</v>
      </c>
      <c r="B270" s="646">
        <v>17.1675</v>
      </c>
      <c r="C270" s="646">
        <v>17.024000000000001</v>
      </c>
      <c r="D270" s="646">
        <v>17.080500000000001</v>
      </c>
    </row>
    <row r="271" spans="1:4" x14ac:dyDescent="0.2">
      <c r="A271" s="648">
        <v>45556</v>
      </c>
      <c r="B271" s="644">
        <v>17.1568</v>
      </c>
      <c r="C271" s="644">
        <v>17.1675</v>
      </c>
      <c r="D271" s="644">
        <v>17.024000000000001</v>
      </c>
    </row>
    <row r="272" spans="1:4" x14ac:dyDescent="0.2">
      <c r="A272" s="649">
        <v>45557</v>
      </c>
      <c r="B272" s="645" t="s">
        <v>883</v>
      </c>
      <c r="C272" s="645" t="s">
        <v>883</v>
      </c>
      <c r="D272" s="646">
        <v>17.1675</v>
      </c>
    </row>
    <row r="273" spans="1:4" x14ac:dyDescent="0.2">
      <c r="A273" s="648">
        <v>45558</v>
      </c>
      <c r="B273" s="643" t="s">
        <v>883</v>
      </c>
      <c r="C273" s="643" t="s">
        <v>883</v>
      </c>
      <c r="D273" s="644">
        <v>17.1675</v>
      </c>
    </row>
    <row r="274" spans="1:4" x14ac:dyDescent="0.2">
      <c r="A274" s="648">
        <v>45559</v>
      </c>
      <c r="B274" s="646">
        <v>17.3733</v>
      </c>
      <c r="C274" s="646">
        <v>17.1568</v>
      </c>
      <c r="D274" s="646">
        <v>17.1675</v>
      </c>
    </row>
    <row r="275" spans="1:4" x14ac:dyDescent="0.2">
      <c r="A275" s="649">
        <v>45560</v>
      </c>
      <c r="B275" s="644">
        <v>17.4758</v>
      </c>
      <c r="C275" s="644">
        <v>17.3733</v>
      </c>
      <c r="D275" s="644">
        <v>17.1568</v>
      </c>
    </row>
    <row r="276" spans="1:4" x14ac:dyDescent="0.2">
      <c r="A276" s="648">
        <v>45561</v>
      </c>
      <c r="B276" s="646">
        <v>17.7287</v>
      </c>
      <c r="C276" s="646">
        <v>17.4758</v>
      </c>
      <c r="D276" s="646">
        <v>17.3733</v>
      </c>
    </row>
    <row r="277" spans="1:4" x14ac:dyDescent="0.2">
      <c r="A277" s="648">
        <v>45562</v>
      </c>
      <c r="B277" s="644">
        <v>17.619499999999999</v>
      </c>
      <c r="C277" s="644">
        <v>17.7287</v>
      </c>
      <c r="D277" s="644">
        <v>17.4758</v>
      </c>
    </row>
    <row r="278" spans="1:4" x14ac:dyDescent="0.2">
      <c r="A278" s="649">
        <v>45563</v>
      </c>
      <c r="B278" s="646">
        <v>17.412700000000001</v>
      </c>
      <c r="C278" s="646">
        <v>17.619499999999999</v>
      </c>
      <c r="D278" s="646">
        <v>17.7287</v>
      </c>
    </row>
    <row r="279" spans="1:4" x14ac:dyDescent="0.2">
      <c r="A279" s="648">
        <v>45564</v>
      </c>
      <c r="B279" s="643" t="s">
        <v>883</v>
      </c>
      <c r="C279" s="643" t="s">
        <v>883</v>
      </c>
      <c r="D279" s="644">
        <v>17.619499999999999</v>
      </c>
    </row>
    <row r="280" spans="1:4" x14ac:dyDescent="0.2">
      <c r="A280" s="648">
        <v>45565</v>
      </c>
      <c r="B280" s="645" t="s">
        <v>883</v>
      </c>
      <c r="C280" s="645" t="s">
        <v>883</v>
      </c>
      <c r="D280" s="646">
        <v>17.619499999999999</v>
      </c>
    </row>
    <row r="281" spans="1:4" x14ac:dyDescent="0.2">
      <c r="A281" s="649">
        <v>45566</v>
      </c>
      <c r="B281" s="644">
        <v>17.591999999999999</v>
      </c>
      <c r="C281" s="644">
        <v>17.412700000000001</v>
      </c>
      <c r="D281" s="644">
        <v>17.619499999999999</v>
      </c>
    </row>
    <row r="282" spans="1:4" x14ac:dyDescent="0.2">
      <c r="A282" s="648">
        <v>45567</v>
      </c>
      <c r="B282" s="646">
        <v>17.9025</v>
      </c>
      <c r="C282" s="646">
        <v>17.591999999999999</v>
      </c>
      <c r="D282" s="646">
        <v>17.412700000000001</v>
      </c>
    </row>
    <row r="283" spans="1:4" x14ac:dyDescent="0.2">
      <c r="A283" s="648">
        <v>45568</v>
      </c>
      <c r="B283" s="644">
        <v>18.016999999999999</v>
      </c>
      <c r="C283" s="644">
        <v>17.9025</v>
      </c>
      <c r="D283" s="644">
        <v>17.591999999999999</v>
      </c>
    </row>
    <row r="284" spans="1:4" x14ac:dyDescent="0.2">
      <c r="A284" s="649">
        <v>45569</v>
      </c>
      <c r="B284" s="646">
        <v>18.2407</v>
      </c>
      <c r="C284" s="646">
        <v>18.016999999999999</v>
      </c>
      <c r="D284" s="646">
        <v>17.9025</v>
      </c>
    </row>
    <row r="285" spans="1:4" x14ac:dyDescent="0.2">
      <c r="A285" s="648">
        <v>45570</v>
      </c>
      <c r="B285" s="644">
        <v>18.183700000000002</v>
      </c>
      <c r="C285" s="644">
        <v>18.2407</v>
      </c>
      <c r="D285" s="644">
        <v>18.016999999999999</v>
      </c>
    </row>
    <row r="286" spans="1:4" x14ac:dyDescent="0.2">
      <c r="A286" s="648">
        <v>45571</v>
      </c>
      <c r="B286" s="645" t="s">
        <v>883</v>
      </c>
      <c r="C286" s="645" t="s">
        <v>883</v>
      </c>
      <c r="D286" s="646">
        <v>18.2407</v>
      </c>
    </row>
    <row r="287" spans="1:4" x14ac:dyDescent="0.2">
      <c r="A287" s="649">
        <v>45572</v>
      </c>
      <c r="B287" s="643" t="s">
        <v>883</v>
      </c>
      <c r="C287" s="643" t="s">
        <v>883</v>
      </c>
      <c r="D287" s="644">
        <v>18.2407</v>
      </c>
    </row>
    <row r="288" spans="1:4" x14ac:dyDescent="0.2">
      <c r="A288" s="648">
        <v>45573</v>
      </c>
      <c r="B288" s="646">
        <v>18.348199999999999</v>
      </c>
      <c r="C288" s="646">
        <v>18.183700000000002</v>
      </c>
      <c r="D288" s="646">
        <v>18.2407</v>
      </c>
    </row>
    <row r="289" spans="1:4" x14ac:dyDescent="0.2">
      <c r="A289" s="648">
        <v>45574</v>
      </c>
      <c r="B289" s="644">
        <v>17.991700000000002</v>
      </c>
      <c r="C289" s="644">
        <v>18.348199999999999</v>
      </c>
      <c r="D289" s="644">
        <v>18.183700000000002</v>
      </c>
    </row>
    <row r="290" spans="1:4" x14ac:dyDescent="0.2">
      <c r="A290" s="649">
        <v>45575</v>
      </c>
      <c r="B290" s="646">
        <v>17.841999999999999</v>
      </c>
      <c r="C290" s="646">
        <v>17.991700000000002</v>
      </c>
      <c r="D290" s="646">
        <v>18.348199999999999</v>
      </c>
    </row>
    <row r="291" spans="1:4" x14ac:dyDescent="0.2">
      <c r="A291" s="648">
        <v>45576</v>
      </c>
      <c r="B291" s="644">
        <v>17.9132</v>
      </c>
      <c r="C291" s="644">
        <v>17.841999999999999</v>
      </c>
      <c r="D291" s="644">
        <v>17.991700000000002</v>
      </c>
    </row>
    <row r="292" spans="1:4" x14ac:dyDescent="0.2">
      <c r="A292" s="648">
        <v>45577</v>
      </c>
      <c r="B292" s="646">
        <v>18.036200000000001</v>
      </c>
      <c r="C292" s="646">
        <v>17.9132</v>
      </c>
      <c r="D292" s="646">
        <v>17.841999999999999</v>
      </c>
    </row>
    <row r="293" spans="1:4" x14ac:dyDescent="0.2">
      <c r="A293" s="649">
        <v>45578</v>
      </c>
      <c r="B293" s="643" t="s">
        <v>883</v>
      </c>
      <c r="C293" s="643" t="s">
        <v>883</v>
      </c>
      <c r="D293" s="644">
        <v>17.9132</v>
      </c>
    </row>
    <row r="294" spans="1:4" x14ac:dyDescent="0.2">
      <c r="A294" s="648">
        <v>45579</v>
      </c>
      <c r="B294" s="645" t="s">
        <v>883</v>
      </c>
      <c r="C294" s="645" t="s">
        <v>883</v>
      </c>
      <c r="D294" s="646">
        <v>17.9132</v>
      </c>
    </row>
    <row r="295" spans="1:4" x14ac:dyDescent="0.2">
      <c r="A295" s="648">
        <v>45580</v>
      </c>
      <c r="B295" s="644">
        <v>17.956800000000001</v>
      </c>
      <c r="C295" s="644">
        <v>18.036200000000001</v>
      </c>
      <c r="D295" s="644">
        <v>17.9132</v>
      </c>
    </row>
    <row r="296" spans="1:4" x14ac:dyDescent="0.2">
      <c r="A296" s="649">
        <v>45581</v>
      </c>
      <c r="B296" s="646">
        <v>17.909700000000001</v>
      </c>
      <c r="C296" s="646">
        <v>17.956800000000001</v>
      </c>
      <c r="D296" s="646">
        <v>18.036200000000001</v>
      </c>
    </row>
    <row r="297" spans="1:4" x14ac:dyDescent="0.2">
      <c r="A297" s="648">
        <v>45582</v>
      </c>
      <c r="B297" s="644">
        <v>18.244</v>
      </c>
      <c r="C297" s="644">
        <v>17.909700000000001</v>
      </c>
      <c r="D297" s="644">
        <v>17.956800000000001</v>
      </c>
    </row>
    <row r="298" spans="1:4" x14ac:dyDescent="0.2">
      <c r="A298" s="648">
        <v>45583</v>
      </c>
      <c r="B298" s="646">
        <v>18.287299999999998</v>
      </c>
      <c r="C298" s="646">
        <v>18.244</v>
      </c>
      <c r="D298" s="646">
        <v>17.909700000000001</v>
      </c>
    </row>
    <row r="299" spans="1:4" x14ac:dyDescent="0.2">
      <c r="A299" s="649">
        <v>45584</v>
      </c>
      <c r="B299" s="644">
        <v>18.234300000000001</v>
      </c>
      <c r="C299" s="644">
        <v>18.287299999999998</v>
      </c>
      <c r="D299" s="644">
        <v>18.244</v>
      </c>
    </row>
    <row r="300" spans="1:4" x14ac:dyDescent="0.2">
      <c r="A300" s="648">
        <v>45585</v>
      </c>
      <c r="B300" s="645" t="s">
        <v>883</v>
      </c>
      <c r="C300" s="645" t="s">
        <v>883</v>
      </c>
      <c r="D300" s="646">
        <v>18.287299999999998</v>
      </c>
    </row>
    <row r="301" spans="1:4" x14ac:dyDescent="0.2">
      <c r="A301" s="648">
        <v>45586</v>
      </c>
      <c r="B301" s="643" t="s">
        <v>883</v>
      </c>
      <c r="C301" s="643" t="s">
        <v>883</v>
      </c>
      <c r="D301" s="644">
        <v>18.287299999999998</v>
      </c>
    </row>
    <row r="302" spans="1:4" x14ac:dyDescent="0.2">
      <c r="A302" s="649">
        <v>45587</v>
      </c>
      <c r="B302" s="646">
        <v>18.1218</v>
      </c>
      <c r="C302" s="646">
        <v>18.234300000000001</v>
      </c>
      <c r="D302" s="646">
        <v>18.287299999999998</v>
      </c>
    </row>
    <row r="303" spans="1:4" x14ac:dyDescent="0.2">
      <c r="A303" s="648">
        <v>45588</v>
      </c>
      <c r="B303" s="644">
        <v>18.284199999999998</v>
      </c>
      <c r="C303" s="644">
        <v>18.1218</v>
      </c>
      <c r="D303" s="644">
        <v>18.234300000000001</v>
      </c>
    </row>
    <row r="304" spans="1:4" x14ac:dyDescent="0.2">
      <c r="A304" s="648">
        <v>45589</v>
      </c>
      <c r="B304" s="646">
        <v>18.312200000000001</v>
      </c>
      <c r="C304" s="646">
        <v>18.284199999999998</v>
      </c>
      <c r="D304" s="646">
        <v>18.1218</v>
      </c>
    </row>
    <row r="305" spans="1:4" x14ac:dyDescent="0.2">
      <c r="A305" s="649">
        <v>45590</v>
      </c>
      <c r="B305" s="644">
        <v>18.2178</v>
      </c>
      <c r="C305" s="644">
        <v>18.312200000000001</v>
      </c>
      <c r="D305" s="644">
        <v>18.284199999999998</v>
      </c>
    </row>
    <row r="306" spans="1:4" x14ac:dyDescent="0.2">
      <c r="A306" s="648">
        <v>45591</v>
      </c>
      <c r="B306" s="646">
        <v>18.075199999999999</v>
      </c>
      <c r="C306" s="646">
        <v>18.2178</v>
      </c>
      <c r="D306" s="646">
        <v>18.312200000000001</v>
      </c>
    </row>
    <row r="307" spans="1:4" x14ac:dyDescent="0.2">
      <c r="A307" s="648">
        <v>45592</v>
      </c>
      <c r="B307" s="643" t="s">
        <v>883</v>
      </c>
      <c r="C307" s="643" t="s">
        <v>883</v>
      </c>
      <c r="D307" s="644">
        <v>18.2178</v>
      </c>
    </row>
    <row r="308" spans="1:4" x14ac:dyDescent="0.2">
      <c r="A308" s="649">
        <v>45593</v>
      </c>
      <c r="B308" s="645" t="s">
        <v>883</v>
      </c>
      <c r="C308" s="645" t="s">
        <v>883</v>
      </c>
      <c r="D308" s="646">
        <v>18.2178</v>
      </c>
    </row>
    <row r="309" spans="1:4" x14ac:dyDescent="0.2">
      <c r="A309" s="648">
        <v>45594</v>
      </c>
      <c r="B309" s="644">
        <v>18.064</v>
      </c>
      <c r="C309" s="644">
        <v>18.075199999999999</v>
      </c>
      <c r="D309" s="644">
        <v>18.2178</v>
      </c>
    </row>
    <row r="310" spans="1:4" x14ac:dyDescent="0.2">
      <c r="A310" s="648">
        <v>45595</v>
      </c>
      <c r="B310" s="646">
        <v>18.036799999999999</v>
      </c>
      <c r="C310" s="646">
        <v>18.064</v>
      </c>
      <c r="D310" s="646">
        <v>18.075199999999999</v>
      </c>
    </row>
    <row r="311" spans="1:4" x14ac:dyDescent="0.2">
      <c r="A311" s="649">
        <v>45596</v>
      </c>
      <c r="B311" s="644">
        <v>17.930499999999999</v>
      </c>
      <c r="C311" s="644">
        <v>18.036799999999999</v>
      </c>
      <c r="D311" s="644">
        <v>18.064</v>
      </c>
    </row>
    <row r="312" spans="1:4" x14ac:dyDescent="0.2">
      <c r="A312" s="648">
        <v>45597</v>
      </c>
      <c r="B312" s="645" t="s">
        <v>883</v>
      </c>
      <c r="C312" s="645" t="s">
        <v>883</v>
      </c>
      <c r="D312" s="646">
        <v>18.036799999999999</v>
      </c>
    </row>
    <row r="313" spans="1:4" x14ac:dyDescent="0.2">
      <c r="A313" s="648">
        <v>45598</v>
      </c>
      <c r="B313" s="644">
        <v>17.4117</v>
      </c>
      <c r="C313" s="644">
        <v>17.930499999999999</v>
      </c>
      <c r="D313" s="644">
        <v>18.036799999999999</v>
      </c>
    </row>
    <row r="314" spans="1:4" x14ac:dyDescent="0.2">
      <c r="A314" s="649">
        <v>45599</v>
      </c>
      <c r="B314" s="645" t="s">
        <v>883</v>
      </c>
      <c r="C314" s="645" t="s">
        <v>883</v>
      </c>
      <c r="D314" s="646">
        <v>17.930499999999999</v>
      </c>
    </row>
    <row r="315" spans="1:4" x14ac:dyDescent="0.2">
      <c r="A315" s="648">
        <v>45600</v>
      </c>
      <c r="B315" s="643" t="s">
        <v>883</v>
      </c>
      <c r="C315" s="643" t="s">
        <v>883</v>
      </c>
      <c r="D315" s="644">
        <v>17.930499999999999</v>
      </c>
    </row>
    <row r="316" spans="1:4" x14ac:dyDescent="0.2">
      <c r="A316" s="648">
        <v>45601</v>
      </c>
      <c r="B316" s="646">
        <v>17.530799999999999</v>
      </c>
      <c r="C316" s="646">
        <v>17.4117</v>
      </c>
      <c r="D316" s="646">
        <v>17.930499999999999</v>
      </c>
    </row>
    <row r="317" spans="1:4" x14ac:dyDescent="0.2">
      <c r="A317" s="649">
        <v>45602</v>
      </c>
      <c r="B317" s="644">
        <v>17.509699999999999</v>
      </c>
      <c r="C317" s="644">
        <v>17.530799999999999</v>
      </c>
      <c r="D317" s="644">
        <v>17.4117</v>
      </c>
    </row>
    <row r="318" spans="1:4" x14ac:dyDescent="0.2">
      <c r="A318" s="648">
        <v>45603</v>
      </c>
      <c r="B318" s="646">
        <v>17.5017</v>
      </c>
      <c r="C318" s="646">
        <v>17.509699999999999</v>
      </c>
      <c r="D318" s="646">
        <v>17.530799999999999</v>
      </c>
    </row>
    <row r="319" spans="1:4" x14ac:dyDescent="0.2">
      <c r="A319" s="648">
        <v>45604</v>
      </c>
      <c r="B319" s="644">
        <v>17.488800000000001</v>
      </c>
      <c r="C319" s="644">
        <v>17.5017</v>
      </c>
      <c r="D319" s="644">
        <v>17.509699999999999</v>
      </c>
    </row>
    <row r="320" spans="1:4" x14ac:dyDescent="0.2">
      <c r="A320" s="649">
        <v>45605</v>
      </c>
      <c r="B320" s="646">
        <v>17.748000000000001</v>
      </c>
      <c r="C320" s="646">
        <v>17.488800000000001</v>
      </c>
      <c r="D320" s="646">
        <v>17.5017</v>
      </c>
    </row>
    <row r="321" spans="1:4" x14ac:dyDescent="0.2">
      <c r="A321" s="648">
        <v>45606</v>
      </c>
      <c r="B321" s="643" t="s">
        <v>883</v>
      </c>
      <c r="C321" s="643" t="s">
        <v>883</v>
      </c>
      <c r="D321" s="644">
        <v>17.488800000000001</v>
      </c>
    </row>
    <row r="322" spans="1:4" x14ac:dyDescent="0.2">
      <c r="A322" s="648">
        <v>45607</v>
      </c>
      <c r="B322" s="645" t="s">
        <v>883</v>
      </c>
      <c r="C322" s="645" t="s">
        <v>883</v>
      </c>
      <c r="D322" s="646">
        <v>17.488800000000001</v>
      </c>
    </row>
    <row r="323" spans="1:4" x14ac:dyDescent="0.2">
      <c r="A323" s="649">
        <v>45608</v>
      </c>
      <c r="B323" s="644">
        <v>17.613800000000001</v>
      </c>
      <c r="C323" s="644">
        <v>17.748000000000001</v>
      </c>
      <c r="D323" s="644">
        <v>17.488800000000001</v>
      </c>
    </row>
    <row r="324" spans="1:4" x14ac:dyDescent="0.2">
      <c r="A324" s="648">
        <v>45609</v>
      </c>
      <c r="B324" s="646">
        <v>17.3917</v>
      </c>
      <c r="C324" s="646">
        <v>17.613800000000001</v>
      </c>
      <c r="D324" s="646">
        <v>17.748000000000001</v>
      </c>
    </row>
    <row r="325" spans="1:4" x14ac:dyDescent="0.2">
      <c r="A325" s="648">
        <v>45610</v>
      </c>
      <c r="B325" s="644">
        <v>17.338699999999999</v>
      </c>
      <c r="C325" s="644">
        <v>17.3917</v>
      </c>
      <c r="D325" s="644">
        <v>17.613800000000001</v>
      </c>
    </row>
    <row r="326" spans="1:4" x14ac:dyDescent="0.2">
      <c r="A326" s="649">
        <v>45611</v>
      </c>
      <c r="B326" s="646">
        <v>17.270800000000001</v>
      </c>
      <c r="C326" s="646">
        <v>17.338699999999999</v>
      </c>
      <c r="D326" s="646">
        <v>17.3917</v>
      </c>
    </row>
    <row r="327" spans="1:4" x14ac:dyDescent="0.2">
      <c r="A327" s="648">
        <v>45612</v>
      </c>
      <c r="B327" s="644">
        <v>17.217500000000001</v>
      </c>
      <c r="C327" s="644">
        <v>17.270800000000001</v>
      </c>
      <c r="D327" s="644">
        <v>17.338699999999999</v>
      </c>
    </row>
    <row r="328" spans="1:4" x14ac:dyDescent="0.2">
      <c r="A328" s="648">
        <v>45613</v>
      </c>
      <c r="B328" s="645" t="s">
        <v>883</v>
      </c>
      <c r="C328" s="645" t="s">
        <v>883</v>
      </c>
      <c r="D328" s="646">
        <v>17.270800000000001</v>
      </c>
    </row>
    <row r="329" spans="1:4" x14ac:dyDescent="0.2">
      <c r="A329" s="649">
        <v>45614</v>
      </c>
      <c r="B329" s="643" t="s">
        <v>883</v>
      </c>
      <c r="C329" s="643" t="s">
        <v>883</v>
      </c>
      <c r="D329" s="644">
        <v>17.270800000000001</v>
      </c>
    </row>
    <row r="330" spans="1:4" x14ac:dyDescent="0.2">
      <c r="A330" s="648">
        <v>45615</v>
      </c>
      <c r="B330" s="645" t="s">
        <v>883</v>
      </c>
      <c r="C330" s="645" t="s">
        <v>883</v>
      </c>
      <c r="D330" s="646">
        <v>17.270800000000001</v>
      </c>
    </row>
    <row r="331" spans="1:4" x14ac:dyDescent="0.2">
      <c r="A331" s="648">
        <v>45616</v>
      </c>
      <c r="B331" s="644">
        <v>17.2102</v>
      </c>
      <c r="C331" s="644">
        <v>17.217500000000001</v>
      </c>
      <c r="D331" s="644">
        <v>17.270800000000001</v>
      </c>
    </row>
    <row r="332" spans="1:4" x14ac:dyDescent="0.2">
      <c r="A332" s="649">
        <v>45617</v>
      </c>
      <c r="B332" s="646">
        <v>17.2133</v>
      </c>
      <c r="C332" s="646">
        <v>17.2102</v>
      </c>
      <c r="D332" s="646">
        <v>17.217500000000001</v>
      </c>
    </row>
    <row r="333" spans="1:4" x14ac:dyDescent="0.2">
      <c r="A333" s="648">
        <v>45618</v>
      </c>
      <c r="B333" s="644">
        <v>17.178699999999999</v>
      </c>
      <c r="C333" s="644">
        <v>17.2133</v>
      </c>
      <c r="D333" s="644">
        <v>17.2102</v>
      </c>
    </row>
    <row r="334" spans="1:4" x14ac:dyDescent="0.2">
      <c r="A334" s="648">
        <v>45619</v>
      </c>
      <c r="B334" s="646">
        <v>17.126799999999999</v>
      </c>
      <c r="C334" s="646">
        <v>17.178699999999999</v>
      </c>
      <c r="D334" s="646">
        <v>17.2133</v>
      </c>
    </row>
    <row r="335" spans="1:4" x14ac:dyDescent="0.2">
      <c r="A335" s="649">
        <v>45620</v>
      </c>
      <c r="B335" s="643" t="s">
        <v>883</v>
      </c>
      <c r="C335" s="643" t="s">
        <v>883</v>
      </c>
      <c r="D335" s="644">
        <v>17.178699999999999</v>
      </c>
    </row>
    <row r="336" spans="1:4" x14ac:dyDescent="0.2">
      <c r="A336" s="648">
        <v>45621</v>
      </c>
      <c r="B336" s="645" t="s">
        <v>883</v>
      </c>
      <c r="C336" s="645" t="s">
        <v>883</v>
      </c>
      <c r="D336" s="646">
        <v>17.178699999999999</v>
      </c>
    </row>
    <row r="337" spans="1:4" x14ac:dyDescent="0.2">
      <c r="A337" s="648">
        <v>45622</v>
      </c>
      <c r="B337" s="644">
        <v>17.1555</v>
      </c>
      <c r="C337" s="644">
        <v>17.126799999999999</v>
      </c>
      <c r="D337" s="644">
        <v>17.178699999999999</v>
      </c>
    </row>
    <row r="338" spans="1:4" x14ac:dyDescent="0.2">
      <c r="A338" s="649">
        <v>45623</v>
      </c>
      <c r="B338" s="646">
        <v>17.1357</v>
      </c>
      <c r="C338" s="646">
        <v>17.1555</v>
      </c>
      <c r="D338" s="646">
        <v>17.126799999999999</v>
      </c>
    </row>
    <row r="339" spans="1:4" x14ac:dyDescent="0.2">
      <c r="A339" s="648">
        <v>45624</v>
      </c>
      <c r="B339" s="644">
        <v>17.187000000000001</v>
      </c>
      <c r="C339" s="644">
        <v>17.1357</v>
      </c>
      <c r="D339" s="644">
        <v>17.1555</v>
      </c>
    </row>
    <row r="340" spans="1:4" x14ac:dyDescent="0.2">
      <c r="A340" s="648">
        <v>45625</v>
      </c>
      <c r="B340" s="646">
        <v>17.373000000000001</v>
      </c>
      <c r="C340" s="646">
        <v>17.187000000000001</v>
      </c>
      <c r="D340" s="646">
        <v>17.1357</v>
      </c>
    </row>
    <row r="341" spans="1:4" x14ac:dyDescent="0.2">
      <c r="A341" s="649">
        <v>45626</v>
      </c>
      <c r="B341" s="644">
        <v>17.214300000000001</v>
      </c>
      <c r="C341" s="644">
        <v>17.373000000000001</v>
      </c>
      <c r="D341" s="644">
        <v>17.187000000000001</v>
      </c>
    </row>
    <row r="342" spans="1:4" x14ac:dyDescent="0.2">
      <c r="A342" s="648">
        <v>45627</v>
      </c>
      <c r="B342" s="645" t="s">
        <v>883</v>
      </c>
      <c r="C342" s="645" t="s">
        <v>883</v>
      </c>
      <c r="D342" s="646">
        <v>17.373000000000001</v>
      </c>
    </row>
    <row r="343" spans="1:4" x14ac:dyDescent="0.2">
      <c r="A343" s="648">
        <v>45628</v>
      </c>
      <c r="B343" s="643" t="s">
        <v>883</v>
      </c>
      <c r="C343" s="643" t="s">
        <v>883</v>
      </c>
      <c r="D343" s="644">
        <v>17.373000000000001</v>
      </c>
    </row>
    <row r="344" spans="1:4" x14ac:dyDescent="0.2">
      <c r="A344" s="649">
        <v>45629</v>
      </c>
      <c r="B344" s="646">
        <v>17.405999999999999</v>
      </c>
      <c r="C344" s="646">
        <v>17.214300000000001</v>
      </c>
      <c r="D344" s="646">
        <v>17.373000000000001</v>
      </c>
    </row>
    <row r="345" spans="1:4" x14ac:dyDescent="0.2">
      <c r="A345" s="648">
        <v>45630</v>
      </c>
      <c r="B345" s="644">
        <v>17.421500000000002</v>
      </c>
      <c r="C345" s="644">
        <v>17.405999999999999</v>
      </c>
      <c r="D345" s="644">
        <v>17.214300000000001</v>
      </c>
    </row>
    <row r="346" spans="1:4" x14ac:dyDescent="0.2">
      <c r="A346" s="648">
        <v>45631</v>
      </c>
      <c r="B346" s="646">
        <v>17.2685</v>
      </c>
      <c r="C346" s="646">
        <v>17.421500000000002</v>
      </c>
      <c r="D346" s="646">
        <v>17.405999999999999</v>
      </c>
    </row>
    <row r="347" spans="1:4" x14ac:dyDescent="0.2">
      <c r="A347" s="649">
        <v>45632</v>
      </c>
      <c r="B347" s="644">
        <v>17.419699999999999</v>
      </c>
      <c r="C347" s="644">
        <v>17.2685</v>
      </c>
      <c r="D347" s="644">
        <v>17.421500000000002</v>
      </c>
    </row>
    <row r="348" spans="1:4" x14ac:dyDescent="0.2">
      <c r="A348" s="648">
        <v>45633</v>
      </c>
      <c r="B348" s="646">
        <v>17.3688</v>
      </c>
      <c r="C348" s="646">
        <v>17.419699999999999</v>
      </c>
      <c r="D348" s="646">
        <v>17.2685</v>
      </c>
    </row>
    <row r="349" spans="1:4" x14ac:dyDescent="0.2">
      <c r="A349" s="648">
        <v>45634</v>
      </c>
      <c r="B349" s="643" t="s">
        <v>883</v>
      </c>
      <c r="C349" s="643" t="s">
        <v>883</v>
      </c>
      <c r="D349" s="644">
        <v>17.419699999999999</v>
      </c>
    </row>
    <row r="350" spans="1:4" x14ac:dyDescent="0.2">
      <c r="A350" s="649">
        <v>45635</v>
      </c>
      <c r="B350" s="645" t="s">
        <v>883</v>
      </c>
      <c r="C350" s="645" t="s">
        <v>883</v>
      </c>
      <c r="D350" s="646">
        <v>17.419699999999999</v>
      </c>
    </row>
    <row r="351" spans="1:4" x14ac:dyDescent="0.2">
      <c r="A351" s="648">
        <v>45636</v>
      </c>
      <c r="B351" s="644">
        <v>17.446999999999999</v>
      </c>
      <c r="C351" s="644">
        <v>17.3688</v>
      </c>
      <c r="D351" s="644">
        <v>17.419699999999999</v>
      </c>
    </row>
    <row r="352" spans="1:4" x14ac:dyDescent="0.2">
      <c r="A352" s="648">
        <v>45637</v>
      </c>
      <c r="B352" s="645" t="s">
        <v>883</v>
      </c>
      <c r="C352" s="645" t="s">
        <v>883</v>
      </c>
      <c r="D352" s="646">
        <v>17.3688</v>
      </c>
    </row>
    <row r="353" spans="1:4" x14ac:dyDescent="0.2">
      <c r="A353" s="649">
        <v>45638</v>
      </c>
      <c r="B353" s="644">
        <v>17.398</v>
      </c>
      <c r="C353" s="644">
        <v>17.446999999999999</v>
      </c>
      <c r="D353" s="644">
        <v>17.3688</v>
      </c>
    </row>
    <row r="354" spans="1:4" x14ac:dyDescent="0.2">
      <c r="A354" s="648">
        <v>45639</v>
      </c>
      <c r="B354" s="646">
        <v>17.298999999999999</v>
      </c>
      <c r="C354" s="646">
        <v>17.398</v>
      </c>
      <c r="D354" s="646">
        <v>17.446999999999999</v>
      </c>
    </row>
    <row r="355" spans="1:4" x14ac:dyDescent="0.2">
      <c r="A355" s="648">
        <v>45640</v>
      </c>
      <c r="B355" s="644">
        <v>17.190799999999999</v>
      </c>
      <c r="C355" s="644">
        <v>17.298999999999999</v>
      </c>
      <c r="D355" s="644">
        <v>17.398</v>
      </c>
    </row>
    <row r="356" spans="1:4" x14ac:dyDescent="0.2">
      <c r="A356" s="649">
        <v>45641</v>
      </c>
      <c r="B356" s="645" t="s">
        <v>883</v>
      </c>
      <c r="C356" s="645" t="s">
        <v>883</v>
      </c>
      <c r="D356" s="646">
        <v>17.298999999999999</v>
      </c>
    </row>
    <row r="357" spans="1:4" x14ac:dyDescent="0.2">
      <c r="A357" s="648">
        <v>45642</v>
      </c>
      <c r="B357" s="643" t="s">
        <v>883</v>
      </c>
      <c r="C357" s="643" t="s">
        <v>883</v>
      </c>
      <c r="D357" s="644">
        <v>17.298999999999999</v>
      </c>
    </row>
    <row r="358" spans="1:4" x14ac:dyDescent="0.2">
      <c r="A358" s="648">
        <v>45643</v>
      </c>
      <c r="B358" s="646">
        <v>17.227699999999999</v>
      </c>
      <c r="C358" s="646">
        <v>17.190799999999999</v>
      </c>
      <c r="D358" s="646">
        <v>17.298999999999999</v>
      </c>
    </row>
    <row r="359" spans="1:4" x14ac:dyDescent="0.2">
      <c r="A359" s="649">
        <v>45644</v>
      </c>
      <c r="B359" s="644">
        <v>17.065200000000001</v>
      </c>
      <c r="C359" s="644">
        <v>17.227699999999999</v>
      </c>
      <c r="D359" s="644">
        <v>17.190799999999999</v>
      </c>
    </row>
    <row r="360" spans="1:4" x14ac:dyDescent="0.2">
      <c r="A360" s="648">
        <v>45645</v>
      </c>
      <c r="B360" s="646">
        <v>17.067299999999999</v>
      </c>
      <c r="C360" s="646">
        <v>17.065200000000001</v>
      </c>
      <c r="D360" s="646">
        <v>17.227699999999999</v>
      </c>
    </row>
    <row r="361" spans="1:4" x14ac:dyDescent="0.2">
      <c r="A361" s="648">
        <v>45646</v>
      </c>
      <c r="B361" s="644">
        <v>17.059000000000001</v>
      </c>
      <c r="C361" s="644">
        <v>17.067299999999999</v>
      </c>
      <c r="D361" s="644">
        <v>17.065200000000001</v>
      </c>
    </row>
    <row r="362" spans="1:4" x14ac:dyDescent="0.2">
      <c r="A362" s="649">
        <v>45647</v>
      </c>
      <c r="B362" s="646">
        <v>16.973800000000001</v>
      </c>
      <c r="C362" s="646">
        <v>17.059000000000001</v>
      </c>
      <c r="D362" s="646">
        <v>17.067299999999999</v>
      </c>
    </row>
    <row r="363" spans="1:4" x14ac:dyDescent="0.2">
      <c r="A363" s="648">
        <v>45648</v>
      </c>
      <c r="B363" s="643" t="s">
        <v>883</v>
      </c>
      <c r="C363" s="643" t="s">
        <v>883</v>
      </c>
      <c r="D363" s="644">
        <v>17.059000000000001</v>
      </c>
    </row>
    <row r="364" spans="1:4" x14ac:dyDescent="0.2">
      <c r="A364" s="648">
        <v>45649</v>
      </c>
      <c r="B364" s="645" t="s">
        <v>883</v>
      </c>
      <c r="C364" s="645" t="s">
        <v>883</v>
      </c>
      <c r="D364" s="646">
        <v>17.059000000000001</v>
      </c>
    </row>
    <row r="365" spans="1:4" x14ac:dyDescent="0.2">
      <c r="A365" s="649">
        <v>45650</v>
      </c>
      <c r="B365" s="643" t="s">
        <v>883</v>
      </c>
      <c r="C365" s="643" t="s">
        <v>883</v>
      </c>
      <c r="D365" s="644">
        <v>17.059000000000001</v>
      </c>
    </row>
    <row r="366" spans="1:4" x14ac:dyDescent="0.2">
      <c r="A366" s="648">
        <v>45651</v>
      </c>
      <c r="B366" s="646">
        <v>16.9727</v>
      </c>
      <c r="C366" s="646">
        <v>16.973800000000001</v>
      </c>
      <c r="D366" s="646">
        <v>17.059000000000001</v>
      </c>
    </row>
    <row r="367" spans="1:4" x14ac:dyDescent="0.2">
      <c r="A367" s="648">
        <v>45652</v>
      </c>
      <c r="B367" s="644">
        <v>16.922000000000001</v>
      </c>
      <c r="C367" s="644">
        <v>16.9727</v>
      </c>
      <c r="D367" s="644">
        <v>16.973800000000001</v>
      </c>
    </row>
  </sheetData>
  <mergeCells count="6">
    <mergeCell ref="A1:D3"/>
    <mergeCell ref="A4:D4"/>
    <mergeCell ref="A5:A6"/>
    <mergeCell ref="B5:B6"/>
    <mergeCell ref="C5:C6"/>
    <mergeCell ref="D5:D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E4C7-C3CF-4992-A873-9E05F450FC08}">
  <dimension ref="A4:G32"/>
  <sheetViews>
    <sheetView showGridLines="0" zoomScale="90" zoomScaleNormal="90" workbookViewId="0">
      <selection activeCell="B14" sqref="B14"/>
    </sheetView>
  </sheetViews>
  <sheetFormatPr baseColWidth="10" defaultColWidth="10.88671875" defaultRowHeight="15" x14ac:dyDescent="0.25"/>
  <cols>
    <col min="1" max="1" width="16.109375" style="416" customWidth="1"/>
    <col min="2" max="3" width="13.109375" style="416" customWidth="1"/>
    <col min="4" max="4" width="13.33203125" style="416" customWidth="1"/>
    <col min="5" max="16384" width="10.88671875" style="416"/>
  </cols>
  <sheetData>
    <row r="4" spans="1:6" ht="15.75" x14ac:dyDescent="0.25">
      <c r="A4" s="415" t="s">
        <v>905</v>
      </c>
    </row>
    <row r="5" spans="1:6" ht="15.75" x14ac:dyDescent="0.25">
      <c r="A5" s="415" t="s">
        <v>906</v>
      </c>
    </row>
    <row r="6" spans="1:6" ht="15.75" x14ac:dyDescent="0.25">
      <c r="A6" s="415"/>
    </row>
    <row r="8" spans="1:6" ht="15.75" thickBot="1" x14ac:dyDescent="0.3"/>
    <row r="9" spans="1:6" ht="15.75" thickBot="1" x14ac:dyDescent="0.3">
      <c r="A9" s="748" t="s">
        <v>907</v>
      </c>
      <c r="B9" s="417" t="s">
        <v>908</v>
      </c>
      <c r="C9" s="418" t="s">
        <v>908</v>
      </c>
      <c r="D9" s="418" t="s">
        <v>908</v>
      </c>
      <c r="E9" s="750" t="s">
        <v>909</v>
      </c>
      <c r="F9" s="751"/>
    </row>
    <row r="10" spans="1:6" ht="15.75" thickBot="1" x14ac:dyDescent="0.3">
      <c r="A10" s="749"/>
      <c r="B10" s="419" t="s">
        <v>910</v>
      </c>
      <c r="C10" s="420" t="s">
        <v>809</v>
      </c>
      <c r="D10" s="420" t="s">
        <v>911</v>
      </c>
      <c r="E10" s="421" t="s">
        <v>810</v>
      </c>
      <c r="F10" s="422" t="s">
        <v>912</v>
      </c>
    </row>
    <row r="11" spans="1:6" x14ac:dyDescent="0.25">
      <c r="A11" s="423"/>
      <c r="B11" s="424"/>
      <c r="C11" s="424"/>
      <c r="D11" s="424"/>
      <c r="E11" s="425"/>
      <c r="F11" s="426"/>
    </row>
    <row r="12" spans="1:6" x14ac:dyDescent="0.25">
      <c r="A12" s="426"/>
      <c r="B12" s="426"/>
      <c r="C12" s="426"/>
      <c r="D12" s="426"/>
      <c r="E12" s="424"/>
      <c r="F12" s="427"/>
    </row>
    <row r="13" spans="1:6" x14ac:dyDescent="0.25">
      <c r="A13" s="428" t="s">
        <v>732</v>
      </c>
      <c r="B13" s="429">
        <v>0</v>
      </c>
      <c r="C13" s="429">
        <f>+B13</f>
        <v>0</v>
      </c>
      <c r="D13" s="429">
        <f>+C13</f>
        <v>0</v>
      </c>
      <c r="E13" s="430">
        <v>45339</v>
      </c>
      <c r="F13" s="431" t="s">
        <v>913</v>
      </c>
    </row>
    <row r="14" spans="1:6" x14ac:dyDescent="0.25">
      <c r="A14" s="428" t="s">
        <v>733</v>
      </c>
      <c r="B14" s="429">
        <v>316863</v>
      </c>
      <c r="C14" s="429">
        <f>+B14</f>
        <v>316863</v>
      </c>
      <c r="D14" s="429"/>
      <c r="E14" s="430">
        <v>45368</v>
      </c>
      <c r="F14" s="431" t="s">
        <v>914</v>
      </c>
    </row>
    <row r="15" spans="1:6" x14ac:dyDescent="0.25">
      <c r="A15" s="432" t="s">
        <v>915</v>
      </c>
      <c r="B15" s="429">
        <v>-161440</v>
      </c>
      <c r="C15" s="429">
        <f>+C14+B15</f>
        <v>155423</v>
      </c>
      <c r="D15" s="429"/>
      <c r="E15" s="430"/>
      <c r="F15" s="431"/>
    </row>
    <row r="16" spans="1:6" x14ac:dyDescent="0.25">
      <c r="A16" s="432" t="s">
        <v>916</v>
      </c>
      <c r="B16" s="429">
        <v>-155423</v>
      </c>
      <c r="C16" s="429">
        <f>+C15+B16</f>
        <v>0</v>
      </c>
      <c r="D16" s="429">
        <f>+D13+C16</f>
        <v>0</v>
      </c>
      <c r="E16" s="430"/>
      <c r="F16" s="431"/>
    </row>
    <row r="17" spans="1:7" x14ac:dyDescent="0.25">
      <c r="A17" s="428" t="s">
        <v>734</v>
      </c>
      <c r="B17" s="429">
        <f>585339-316863</f>
        <v>268476</v>
      </c>
      <c r="C17" s="429">
        <f>+B17</f>
        <v>268476</v>
      </c>
      <c r="D17" s="429"/>
      <c r="E17" s="430">
        <v>45402</v>
      </c>
      <c r="F17" s="431" t="s">
        <v>917</v>
      </c>
    </row>
    <row r="18" spans="1:7" x14ac:dyDescent="0.25">
      <c r="A18" s="432" t="s">
        <v>916</v>
      </c>
      <c r="B18" s="429">
        <v>-209413</v>
      </c>
      <c r="C18" s="429">
        <f>+C17+B18</f>
        <v>59063</v>
      </c>
      <c r="D18" s="429"/>
      <c r="E18" s="430"/>
      <c r="F18" s="431"/>
    </row>
    <row r="19" spans="1:7" x14ac:dyDescent="0.25">
      <c r="A19" s="432" t="s">
        <v>918</v>
      </c>
      <c r="B19" s="429">
        <v>-59063</v>
      </c>
      <c r="C19" s="429">
        <f>+C18+B19</f>
        <v>0</v>
      </c>
      <c r="D19" s="429">
        <f>+D16+C19</f>
        <v>0</v>
      </c>
      <c r="E19" s="430"/>
      <c r="F19" s="431"/>
    </row>
    <row r="20" spans="1:7" x14ac:dyDescent="0.25">
      <c r="A20" s="428" t="s">
        <v>735</v>
      </c>
      <c r="B20" s="429">
        <v>0</v>
      </c>
      <c r="C20" s="429">
        <f>+B20</f>
        <v>0</v>
      </c>
      <c r="D20" s="429">
        <f>+D19+C20</f>
        <v>0</v>
      </c>
      <c r="E20" s="430">
        <v>45430</v>
      </c>
      <c r="F20" s="431" t="s">
        <v>919</v>
      </c>
      <c r="G20" s="433"/>
    </row>
    <row r="21" spans="1:7" x14ac:dyDescent="0.25">
      <c r="A21" s="428" t="s">
        <v>736</v>
      </c>
      <c r="B21" s="429">
        <v>0</v>
      </c>
      <c r="C21" s="429">
        <f>+B21</f>
        <v>0</v>
      </c>
      <c r="D21" s="429">
        <f>+D20+C21</f>
        <v>0</v>
      </c>
      <c r="E21" s="430">
        <v>45460</v>
      </c>
      <c r="F21" s="431" t="s">
        <v>920</v>
      </c>
      <c r="G21" s="433"/>
    </row>
    <row r="22" spans="1:7" x14ac:dyDescent="0.25">
      <c r="A22" s="428" t="s">
        <v>737</v>
      </c>
      <c r="B22" s="429">
        <v>0</v>
      </c>
      <c r="C22" s="429">
        <f>+B22</f>
        <v>0</v>
      </c>
      <c r="D22" s="429">
        <f>+D21+C22</f>
        <v>0</v>
      </c>
      <c r="E22" s="430">
        <v>45493</v>
      </c>
      <c r="F22" s="431" t="s">
        <v>921</v>
      </c>
    </row>
    <row r="23" spans="1:7" x14ac:dyDescent="0.25">
      <c r="A23" s="434" t="s">
        <v>738</v>
      </c>
      <c r="B23" s="429">
        <v>482853</v>
      </c>
      <c r="C23" s="429">
        <f>+B23</f>
        <v>482853</v>
      </c>
      <c r="D23" s="429"/>
      <c r="E23" s="430">
        <v>45521</v>
      </c>
      <c r="F23" s="431" t="s">
        <v>922</v>
      </c>
    </row>
    <row r="24" spans="1:7" x14ac:dyDescent="0.25">
      <c r="A24" s="432" t="s">
        <v>923</v>
      </c>
      <c r="B24" s="429">
        <v>-482853</v>
      </c>
      <c r="C24" s="429">
        <f>+C23+B24</f>
        <v>0</v>
      </c>
      <c r="D24" s="429">
        <f>+D22-C24</f>
        <v>0</v>
      </c>
      <c r="E24" s="430"/>
      <c r="F24" s="431"/>
    </row>
    <row r="25" spans="1:7" x14ac:dyDescent="0.25">
      <c r="A25" s="434" t="s">
        <v>739</v>
      </c>
      <c r="B25" s="435">
        <f>854259-482853</f>
        <v>371406</v>
      </c>
      <c r="C25" s="429">
        <f>+B25</f>
        <v>371406</v>
      </c>
      <c r="D25" s="429"/>
      <c r="E25" s="430">
        <v>45552</v>
      </c>
      <c r="F25" s="431" t="s">
        <v>924</v>
      </c>
    </row>
    <row r="26" spans="1:7" x14ac:dyDescent="0.25">
      <c r="A26" s="432" t="s">
        <v>923</v>
      </c>
      <c r="B26" s="435">
        <f>482853-646171</f>
        <v>-163318</v>
      </c>
      <c r="C26" s="429">
        <f>+C25+B26</f>
        <v>208088</v>
      </c>
      <c r="D26" s="429"/>
      <c r="E26" s="430"/>
      <c r="F26" s="431"/>
    </row>
    <row r="27" spans="1:7" x14ac:dyDescent="0.25">
      <c r="A27" s="432" t="s">
        <v>925</v>
      </c>
      <c r="B27" s="435">
        <v>-208088</v>
      </c>
      <c r="C27" s="429">
        <f>+C26+B27</f>
        <v>0</v>
      </c>
      <c r="D27" s="429">
        <f>+D24+C27</f>
        <v>0</v>
      </c>
      <c r="E27" s="430"/>
      <c r="F27" s="431"/>
    </row>
    <row r="28" spans="1:7" x14ac:dyDescent="0.25">
      <c r="A28" s="434" t="s">
        <v>740</v>
      </c>
      <c r="B28" s="435">
        <v>0</v>
      </c>
      <c r="C28" s="435">
        <f>+B28</f>
        <v>0</v>
      </c>
      <c r="D28" s="429">
        <f>+D27+C28</f>
        <v>0</v>
      </c>
      <c r="E28" s="430">
        <v>45584</v>
      </c>
      <c r="F28" s="431" t="s">
        <v>926</v>
      </c>
    </row>
    <row r="29" spans="1:7" x14ac:dyDescent="0.25">
      <c r="A29" s="434" t="s">
        <v>741</v>
      </c>
      <c r="B29" s="435">
        <v>0</v>
      </c>
      <c r="C29" s="435">
        <f>+B29</f>
        <v>0</v>
      </c>
      <c r="D29" s="429">
        <f>+D28+C29</f>
        <v>0</v>
      </c>
      <c r="E29" s="430">
        <v>45613</v>
      </c>
      <c r="F29" s="431" t="s">
        <v>927</v>
      </c>
    </row>
    <row r="30" spans="1:7" x14ac:dyDescent="0.25">
      <c r="A30" s="434" t="s">
        <v>742</v>
      </c>
      <c r="B30" s="435">
        <v>97599</v>
      </c>
      <c r="C30" s="435">
        <f>+B30</f>
        <v>97599</v>
      </c>
      <c r="D30" s="429"/>
      <c r="E30" s="430">
        <v>45643</v>
      </c>
      <c r="F30" s="431" t="s">
        <v>928</v>
      </c>
    </row>
    <row r="31" spans="1:7" x14ac:dyDescent="0.25">
      <c r="A31" s="432" t="s">
        <v>929</v>
      </c>
      <c r="B31" s="435">
        <v>-97599</v>
      </c>
      <c r="C31" s="435">
        <f>+C30+B31</f>
        <v>0</v>
      </c>
      <c r="D31" s="429">
        <f>+D29+C31</f>
        <v>0</v>
      </c>
      <c r="E31" s="430"/>
      <c r="F31" s="431"/>
    </row>
    <row r="32" spans="1:7" ht="15.75" thickBot="1" x14ac:dyDescent="0.3">
      <c r="A32" s="434" t="s">
        <v>743</v>
      </c>
      <c r="B32" s="435">
        <v>0</v>
      </c>
      <c r="C32" s="435">
        <f>+B32</f>
        <v>0</v>
      </c>
      <c r="D32" s="436">
        <f>+D30+C32</f>
        <v>0</v>
      </c>
      <c r="E32" s="430"/>
      <c r="F32" s="431"/>
    </row>
  </sheetData>
  <mergeCells count="2">
    <mergeCell ref="A9:A10"/>
    <mergeCell ref="E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10</vt:i4>
      </vt:variant>
    </vt:vector>
  </HeadingPairs>
  <TitlesOfParts>
    <vt:vector size="33" baseType="lpstr">
      <vt:lpstr>INDICE</vt:lpstr>
      <vt:lpstr>I. Balanza</vt:lpstr>
      <vt:lpstr>II. Balance general </vt:lpstr>
      <vt:lpstr>III. Estado de Resultados</vt:lpstr>
      <vt:lpstr>IV. Edo de Cambios</vt:lpstr>
      <vt:lpstr>V. Flujo de Efectivo</vt:lpstr>
      <vt:lpstr>VI. Conciliacion Activo</vt:lpstr>
      <vt:lpstr>VII. Conciliacion Pasivo</vt:lpstr>
      <vt:lpstr>VIII. Ajuste Anual  Por Infl</vt:lpstr>
      <vt:lpstr>IX. Ajuste Anual Ctas Dolares</vt:lpstr>
      <vt:lpstr>X. Venta de Activo Fijo</vt:lpstr>
      <vt:lpstr>XI. Regalias Pagadas</vt:lpstr>
      <vt:lpstr>XII. Provisiones</vt:lpstr>
      <vt:lpstr>XIII.Resultado Fiscal</vt:lpstr>
      <vt:lpstr>XIV. Coef Utilidad</vt:lpstr>
      <vt:lpstr>XV. Tasa Efectiva</vt:lpstr>
      <vt:lpstr>XVI. Ej Polizas Cont Impuestos</vt:lpstr>
      <vt:lpstr>XVII. Razones Financieras</vt:lpstr>
      <vt:lpstr>XVIII. Calendario</vt:lpstr>
      <vt:lpstr>XIX. Lista de Revision</vt:lpstr>
      <vt:lpstr>XX. INPC</vt:lpstr>
      <vt:lpstr>XXI. T. Cambio</vt:lpstr>
      <vt:lpstr>XXII. Int Saldos a Favor</vt:lpstr>
      <vt:lpstr>'II. Balance general '!_ftn1</vt:lpstr>
      <vt:lpstr>'II. Balance general '!_ftn2</vt:lpstr>
      <vt:lpstr>'II. Balance general '!_ftn3</vt:lpstr>
      <vt:lpstr>'II. Balance general '!_ftn4</vt:lpstr>
      <vt:lpstr>'II. Balance general '!_ftn5</vt:lpstr>
      <vt:lpstr>'II. Balance general '!_ftn6</vt:lpstr>
      <vt:lpstr>'II. Balance general '!_ftn7</vt:lpstr>
      <vt:lpstr>'V. Flujo de Efectivo'!_ftnref1</vt:lpstr>
      <vt:lpstr>'V. Flujo de Efectivo'!_ftnref3</vt:lpstr>
      <vt:lpstr>'II. Balance general '!_ftnref4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2020-07-17T16:19:54Z</dcterms:created>
  <dcterms:modified xsi:type="dcterms:W3CDTF">2025-02-08T02:02:32Z</dcterms:modified>
</cp:coreProperties>
</file>