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Disco local D\00 Calculadoras Fiscales de México\5 KITS COMPLETO\01 FISCAL\"/>
    </mc:Choice>
  </mc:AlternateContent>
  <bookViews>
    <workbookView xWindow="0" yWindow="0" windowWidth="20490" windowHeight="7905" activeTab="1"/>
  </bookViews>
  <sheets>
    <sheet name="Instrucciones " sheetId="61" r:id="rId1"/>
    <sheet name="Nomina" sheetId="26" r:id="rId2"/>
    <sheet name="Recibos" sheetId="62" r:id="rId3"/>
    <sheet name="Impuestos" sheetId="60" r:id="rId4"/>
    <sheet name="Tablas" sheetId="12" r:id="rId5"/>
  </sheets>
  <definedNames>
    <definedName name="_xlnm._FilterDatabase" localSheetId="1" hidden="1">Nomina!$D$6:$AF$51</definedName>
    <definedName name="ADMINISTRATIVOS">#REF!</definedName>
    <definedName name="Cajas">#REF!</definedName>
    <definedName name="CATEGORIA">#REF!</definedName>
    <definedName name="Combustible__Siembra">#REF!</definedName>
    <definedName name="Combustible_Cultivo">#REF!</definedName>
    <definedName name="Combustible_Empaque">#REF!</definedName>
    <definedName name="Combustible_Ferlilizantes">#REF!</definedName>
    <definedName name="Combustible_Limpieza">#REF!</definedName>
    <definedName name="CONTROL_BIOLOGICOS">#REF!</definedName>
    <definedName name="CULTIVO">#REF!</definedName>
    <definedName name="EMPAQUE">#REF!</definedName>
    <definedName name="Energia_Electrica">#REF!</definedName>
    <definedName name="Equipo_de_Serguridad">#REF!</definedName>
    <definedName name="Etiquetas">#REF!</definedName>
    <definedName name="EXPORTACION">#REF!</definedName>
    <definedName name="FERTILIZANTES">#REF!</definedName>
    <definedName name="HONORARIOS__CULTIVO">#REF!</definedName>
    <definedName name="INOCUIDAD">#REF!</definedName>
    <definedName name="Invernadero">#REF!</definedName>
    <definedName name="LIMPIEZA">#REF!</definedName>
    <definedName name="MANTENIMIENTO">#REF!</definedName>
    <definedName name="Materiales__Cultivo">#REF!</definedName>
    <definedName name="Medicamentos">#REF!</definedName>
    <definedName name="registros">Tablas!$K$13:$K$18</definedName>
    <definedName name="Semillas">#REF!</definedName>
    <definedName name="SIEMBRA">#REF!</definedName>
    <definedName name="Sombreo">#REF!</definedName>
    <definedName name="Trampas">#REF!</definedName>
    <definedName name="UNIDAD">#REF!</definedName>
    <definedName name="Viaticos_Empleados_Administratvos">#REF!+#REF!</definedName>
    <definedName name="Viaticos_Empleados_Operativos">#REF!</definedName>
  </definedNames>
  <calcPr calcId="152511"/>
</workbook>
</file>

<file path=xl/calcChain.xml><?xml version="1.0" encoding="utf-8"?>
<calcChain xmlns="http://schemas.openxmlformats.org/spreadsheetml/2006/main">
  <c r="Q7" i="60" l="1"/>
  <c r="M5" i="60" s="1"/>
  <c r="S10" i="60" l="1"/>
  <c r="S9" i="60"/>
  <c r="S8" i="60"/>
  <c r="S7" i="60"/>
  <c r="Q51" i="60"/>
  <c r="Q50" i="60"/>
  <c r="Q49" i="60"/>
  <c r="Q48" i="60"/>
  <c r="Q47" i="60"/>
  <c r="Q46" i="60"/>
  <c r="Q45" i="60"/>
  <c r="Q44" i="60"/>
  <c r="Q43" i="60"/>
  <c r="Q42" i="60"/>
  <c r="Q41" i="60"/>
  <c r="Q40" i="60"/>
  <c r="Q39" i="60"/>
  <c r="Q38" i="60"/>
  <c r="Q37" i="60"/>
  <c r="Q36" i="60"/>
  <c r="Q35" i="60"/>
  <c r="Q34" i="60"/>
  <c r="Q33" i="60"/>
  <c r="Q32" i="60"/>
  <c r="Q31" i="60"/>
  <c r="Q30" i="60"/>
  <c r="Q29" i="60"/>
  <c r="Q28" i="60"/>
  <c r="Q27" i="60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R7" i="60"/>
  <c r="N9" i="12" l="1"/>
  <c r="N3" i="26"/>
  <c r="L7" i="26" l="1"/>
  <c r="I7" i="26"/>
  <c r="M7" i="26" l="1"/>
  <c r="P7" i="26" s="1"/>
  <c r="E938" i="62"/>
  <c r="E917" i="62"/>
  <c r="E896" i="62"/>
  <c r="E875" i="62"/>
  <c r="E854" i="62"/>
  <c r="E833" i="62"/>
  <c r="E812" i="62"/>
  <c r="E791" i="62"/>
  <c r="E770" i="62"/>
  <c r="E749" i="62"/>
  <c r="E728" i="62"/>
  <c r="E707" i="62"/>
  <c r="E686" i="62"/>
  <c r="E665" i="62"/>
  <c r="E644" i="62"/>
  <c r="E623" i="62"/>
  <c r="E602" i="62"/>
  <c r="E581" i="62"/>
  <c r="E560" i="62"/>
  <c r="E539" i="62"/>
  <c r="E518" i="62"/>
  <c r="E497" i="62"/>
  <c r="E476" i="62"/>
  <c r="E455" i="62"/>
  <c r="E434" i="62"/>
  <c r="E413" i="62"/>
  <c r="E392" i="62"/>
  <c r="E371" i="62"/>
  <c r="E350" i="62"/>
  <c r="E329" i="62"/>
  <c r="E308" i="62"/>
  <c r="E287" i="62"/>
  <c r="E266" i="62"/>
  <c r="E245" i="62"/>
  <c r="E224" i="62"/>
  <c r="E203" i="62"/>
  <c r="E182" i="62"/>
  <c r="E161" i="62"/>
  <c r="E140" i="62"/>
  <c r="E119" i="62"/>
  <c r="E98" i="62"/>
  <c r="E77" i="62"/>
  <c r="E56" i="62"/>
  <c r="E35" i="62"/>
  <c r="E14" i="62"/>
  <c r="C11" i="62"/>
  <c r="F935" i="62"/>
  <c r="F914" i="62"/>
  <c r="F893" i="62"/>
  <c r="F872" i="62"/>
  <c r="F851" i="62"/>
  <c r="F830" i="62"/>
  <c r="F809" i="62"/>
  <c r="F788" i="62"/>
  <c r="F767" i="62"/>
  <c r="F746" i="62"/>
  <c r="F725" i="62"/>
  <c r="F704" i="62"/>
  <c r="F683" i="62"/>
  <c r="F662" i="62"/>
  <c r="F641" i="62"/>
  <c r="F620" i="62"/>
  <c r="F599" i="62"/>
  <c r="F578" i="62"/>
  <c r="F557" i="62"/>
  <c r="F536" i="62"/>
  <c r="F515" i="62"/>
  <c r="F494" i="62"/>
  <c r="F473" i="62"/>
  <c r="F452" i="62"/>
  <c r="F431" i="62"/>
  <c r="F410" i="62"/>
  <c r="F389" i="62"/>
  <c r="F368" i="62"/>
  <c r="F347" i="62"/>
  <c r="F326" i="62"/>
  <c r="F305" i="62"/>
  <c r="F284" i="62"/>
  <c r="F263" i="62"/>
  <c r="F242" i="62"/>
  <c r="F221" i="62"/>
  <c r="F200" i="62"/>
  <c r="F179" i="62"/>
  <c r="F158" i="62"/>
  <c r="F137" i="62"/>
  <c r="F116" i="62"/>
  <c r="F95" i="62"/>
  <c r="F74" i="62"/>
  <c r="F53" i="62"/>
  <c r="F32" i="62"/>
  <c r="F11" i="62"/>
  <c r="L8" i="26"/>
  <c r="C32" i="62" s="1"/>
  <c r="L9" i="26"/>
  <c r="C53" i="62" s="1"/>
  <c r="L10" i="26"/>
  <c r="C74" i="62" s="1"/>
  <c r="L11" i="26"/>
  <c r="C95" i="62" s="1"/>
  <c r="L12" i="26"/>
  <c r="C116" i="62" s="1"/>
  <c r="L13" i="26"/>
  <c r="C137" i="62" s="1"/>
  <c r="L14" i="26"/>
  <c r="C158" i="62" s="1"/>
  <c r="L15" i="26"/>
  <c r="C179" i="62" s="1"/>
  <c r="L16" i="26"/>
  <c r="C200" i="62" s="1"/>
  <c r="L17" i="26"/>
  <c r="C221" i="62" s="1"/>
  <c r="L18" i="26"/>
  <c r="C242" i="62" s="1"/>
  <c r="L19" i="26"/>
  <c r="C263" i="62" s="1"/>
  <c r="L20" i="26"/>
  <c r="C284" i="62" s="1"/>
  <c r="L21" i="26"/>
  <c r="C305" i="62" s="1"/>
  <c r="L22" i="26"/>
  <c r="C326" i="62" s="1"/>
  <c r="L23" i="26"/>
  <c r="C347" i="62" s="1"/>
  <c r="L24" i="26"/>
  <c r="C368" i="62" s="1"/>
  <c r="L25" i="26"/>
  <c r="C389" i="62" s="1"/>
  <c r="L26" i="26"/>
  <c r="C410" i="62" s="1"/>
  <c r="L27" i="26"/>
  <c r="C431" i="62" s="1"/>
  <c r="L28" i="26"/>
  <c r="C452" i="62" s="1"/>
  <c r="L29" i="26"/>
  <c r="C473" i="62" s="1"/>
  <c r="L30" i="26"/>
  <c r="C494" i="62" s="1"/>
  <c r="L31" i="26"/>
  <c r="C515" i="62" s="1"/>
  <c r="L32" i="26"/>
  <c r="C536" i="62" s="1"/>
  <c r="L33" i="26"/>
  <c r="C557" i="62" s="1"/>
  <c r="L34" i="26"/>
  <c r="C578" i="62" s="1"/>
  <c r="L35" i="26"/>
  <c r="C599" i="62" s="1"/>
  <c r="L36" i="26"/>
  <c r="C620" i="62" s="1"/>
  <c r="L37" i="26"/>
  <c r="C641" i="62" s="1"/>
  <c r="L38" i="26"/>
  <c r="C662" i="62" s="1"/>
  <c r="L39" i="26"/>
  <c r="C683" i="62" s="1"/>
  <c r="L40" i="26"/>
  <c r="C704" i="62" s="1"/>
  <c r="L41" i="26"/>
  <c r="C725" i="62" s="1"/>
  <c r="L42" i="26"/>
  <c r="C746" i="62" s="1"/>
  <c r="L43" i="26"/>
  <c r="C767" i="62" s="1"/>
  <c r="L44" i="26"/>
  <c r="C788" i="62" s="1"/>
  <c r="L45" i="26"/>
  <c r="C809" i="62" s="1"/>
  <c r="L46" i="26"/>
  <c r="C830" i="62" s="1"/>
  <c r="L47" i="26"/>
  <c r="C851" i="62" s="1"/>
  <c r="L48" i="26"/>
  <c r="C872" i="62" s="1"/>
  <c r="L49" i="26"/>
  <c r="C893" i="62" s="1"/>
  <c r="L50" i="26"/>
  <c r="C914" i="62" s="1"/>
  <c r="L51" i="26"/>
  <c r="C935" i="62" s="1"/>
  <c r="W7" i="26" l="1"/>
  <c r="F14" i="62" s="1"/>
  <c r="I9" i="26" l="1"/>
  <c r="W9" i="26" s="1"/>
  <c r="F56" i="62" s="1"/>
  <c r="I10" i="26"/>
  <c r="W10" i="26" s="1"/>
  <c r="F77" i="62" s="1"/>
  <c r="I11" i="26"/>
  <c r="W11" i="26" s="1"/>
  <c r="F98" i="62" s="1"/>
  <c r="I12" i="26"/>
  <c r="I13" i="26"/>
  <c r="W13" i="26" s="1"/>
  <c r="F140" i="62" s="1"/>
  <c r="I14" i="26"/>
  <c r="W14" i="26" s="1"/>
  <c r="F161" i="62" s="1"/>
  <c r="I15" i="26"/>
  <c r="W15" i="26" s="1"/>
  <c r="F182" i="62" s="1"/>
  <c r="I16" i="26"/>
  <c r="W16" i="26" s="1"/>
  <c r="F203" i="62" s="1"/>
  <c r="I17" i="26"/>
  <c r="W17" i="26" s="1"/>
  <c r="F224" i="62" s="1"/>
  <c r="I18" i="26"/>
  <c r="W18" i="26" s="1"/>
  <c r="F245" i="62" s="1"/>
  <c r="I19" i="26"/>
  <c r="W19" i="26" s="1"/>
  <c r="F266" i="62" s="1"/>
  <c r="I20" i="26"/>
  <c r="I21" i="26"/>
  <c r="W21" i="26" s="1"/>
  <c r="F308" i="62" s="1"/>
  <c r="I22" i="26"/>
  <c r="W22" i="26" s="1"/>
  <c r="F329" i="62" s="1"/>
  <c r="I23" i="26"/>
  <c r="W23" i="26" s="1"/>
  <c r="F350" i="62" s="1"/>
  <c r="I24" i="26"/>
  <c r="W24" i="26" s="1"/>
  <c r="F371" i="62" s="1"/>
  <c r="I25" i="26"/>
  <c r="W25" i="26" s="1"/>
  <c r="F392" i="62" s="1"/>
  <c r="I26" i="26"/>
  <c r="W26" i="26" s="1"/>
  <c r="F413" i="62" s="1"/>
  <c r="I27" i="26"/>
  <c r="W27" i="26" s="1"/>
  <c r="F434" i="62" s="1"/>
  <c r="I28" i="26"/>
  <c r="I29" i="26"/>
  <c r="W29" i="26" s="1"/>
  <c r="F476" i="62" s="1"/>
  <c r="I30" i="26"/>
  <c r="W30" i="26" s="1"/>
  <c r="F497" i="62" s="1"/>
  <c r="I31" i="26"/>
  <c r="W31" i="26" s="1"/>
  <c r="F518" i="62" s="1"/>
  <c r="I32" i="26"/>
  <c r="I33" i="26"/>
  <c r="W33" i="26" s="1"/>
  <c r="F560" i="62" s="1"/>
  <c r="I34" i="26"/>
  <c r="W34" i="26" s="1"/>
  <c r="F581" i="62" s="1"/>
  <c r="I35" i="26"/>
  <c r="W35" i="26" s="1"/>
  <c r="F602" i="62" s="1"/>
  <c r="I36" i="26"/>
  <c r="I37" i="26"/>
  <c r="W37" i="26" s="1"/>
  <c r="F644" i="62" s="1"/>
  <c r="I38" i="26"/>
  <c r="W38" i="26" s="1"/>
  <c r="F665" i="62" s="1"/>
  <c r="I39" i="26"/>
  <c r="W39" i="26" s="1"/>
  <c r="F686" i="62" s="1"/>
  <c r="I40" i="26"/>
  <c r="I41" i="26"/>
  <c r="W41" i="26" s="1"/>
  <c r="F728" i="62" s="1"/>
  <c r="I42" i="26"/>
  <c r="W42" i="26" s="1"/>
  <c r="F749" i="62" s="1"/>
  <c r="I43" i="26"/>
  <c r="W43" i="26" s="1"/>
  <c r="F770" i="62" s="1"/>
  <c r="I44" i="26"/>
  <c r="I45" i="26"/>
  <c r="W45" i="26" s="1"/>
  <c r="F812" i="62" s="1"/>
  <c r="I46" i="26"/>
  <c r="W46" i="26" s="1"/>
  <c r="F833" i="62" s="1"/>
  <c r="I47" i="26"/>
  <c r="W47" i="26" s="1"/>
  <c r="F854" i="62" s="1"/>
  <c r="I48" i="26"/>
  <c r="I49" i="26"/>
  <c r="W49" i="26" s="1"/>
  <c r="F896" i="62" s="1"/>
  <c r="I50" i="26"/>
  <c r="W50" i="26" s="1"/>
  <c r="F917" i="62" s="1"/>
  <c r="I51" i="26"/>
  <c r="W51" i="26" s="1"/>
  <c r="F938" i="62" s="1"/>
  <c r="I8" i="26"/>
  <c r="W8" i="26" s="1"/>
  <c r="F35" i="62" s="1"/>
  <c r="C941" i="62"/>
  <c r="B941" i="62"/>
  <c r="C940" i="62"/>
  <c r="B940" i="62"/>
  <c r="B939" i="62"/>
  <c r="C938" i="62"/>
  <c r="B938" i="62"/>
  <c r="C937" i="62"/>
  <c r="B937" i="62"/>
  <c r="B936" i="62"/>
  <c r="B935" i="62"/>
  <c r="C931" i="62"/>
  <c r="F930" i="62"/>
  <c r="C930" i="62"/>
  <c r="F929" i="62"/>
  <c r="C927" i="62"/>
  <c r="C920" i="62"/>
  <c r="B920" i="62"/>
  <c r="C919" i="62"/>
  <c r="B919" i="62"/>
  <c r="B918" i="62"/>
  <c r="C917" i="62"/>
  <c r="B917" i="62"/>
  <c r="C916" i="62"/>
  <c r="B916" i="62"/>
  <c r="B915" i="62"/>
  <c r="B914" i="62"/>
  <c r="C910" i="62"/>
  <c r="F909" i="62"/>
  <c r="C909" i="62"/>
  <c r="F908" i="62"/>
  <c r="C906" i="62"/>
  <c r="C899" i="62"/>
  <c r="B899" i="62"/>
  <c r="C898" i="62"/>
  <c r="B898" i="62"/>
  <c r="B897" i="62"/>
  <c r="C896" i="62"/>
  <c r="B896" i="62"/>
  <c r="C895" i="62"/>
  <c r="B895" i="62"/>
  <c r="B894" i="62"/>
  <c r="B893" i="62"/>
  <c r="C889" i="62"/>
  <c r="F888" i="62"/>
  <c r="C888" i="62"/>
  <c r="F887" i="62"/>
  <c r="C885" i="62"/>
  <c r="C878" i="62"/>
  <c r="B878" i="62"/>
  <c r="C877" i="62"/>
  <c r="B877" i="62"/>
  <c r="B876" i="62"/>
  <c r="C875" i="62"/>
  <c r="B875" i="62"/>
  <c r="C874" i="62"/>
  <c r="B874" i="62"/>
  <c r="B873" i="62"/>
  <c r="B872" i="62"/>
  <c r="C868" i="62"/>
  <c r="F867" i="62"/>
  <c r="C867" i="62"/>
  <c r="F866" i="62"/>
  <c r="C864" i="62"/>
  <c r="C857" i="62"/>
  <c r="B857" i="62"/>
  <c r="C856" i="62"/>
  <c r="B856" i="62"/>
  <c r="B855" i="62"/>
  <c r="C854" i="62"/>
  <c r="B854" i="62"/>
  <c r="C853" i="62"/>
  <c r="B853" i="62"/>
  <c r="B852" i="62"/>
  <c r="B851" i="62"/>
  <c r="C847" i="62"/>
  <c r="F846" i="62"/>
  <c r="C846" i="62"/>
  <c r="F845" i="62"/>
  <c r="C843" i="62"/>
  <c r="C836" i="62"/>
  <c r="B836" i="62"/>
  <c r="C835" i="62"/>
  <c r="B835" i="62"/>
  <c r="B834" i="62"/>
  <c r="C833" i="62"/>
  <c r="B833" i="62"/>
  <c r="C832" i="62"/>
  <c r="B832" i="62"/>
  <c r="B831" i="62"/>
  <c r="B830" i="62"/>
  <c r="C826" i="62"/>
  <c r="F825" i="62"/>
  <c r="C825" i="62"/>
  <c r="F824" i="62"/>
  <c r="C822" i="62"/>
  <c r="C815" i="62"/>
  <c r="B815" i="62"/>
  <c r="C814" i="62"/>
  <c r="B814" i="62"/>
  <c r="B813" i="62"/>
  <c r="C812" i="62"/>
  <c r="B812" i="62"/>
  <c r="C811" i="62"/>
  <c r="B811" i="62"/>
  <c r="B810" i="62"/>
  <c r="B809" i="62"/>
  <c r="C805" i="62"/>
  <c r="F804" i="62"/>
  <c r="C804" i="62"/>
  <c r="F803" i="62"/>
  <c r="C801" i="62"/>
  <c r="C794" i="62"/>
  <c r="B794" i="62"/>
  <c r="C793" i="62"/>
  <c r="B793" i="62"/>
  <c r="B792" i="62"/>
  <c r="C791" i="62"/>
  <c r="B791" i="62"/>
  <c r="C790" i="62"/>
  <c r="B790" i="62"/>
  <c r="B789" i="62"/>
  <c r="B788" i="62"/>
  <c r="C784" i="62"/>
  <c r="F783" i="62"/>
  <c r="C783" i="62"/>
  <c r="F782" i="62"/>
  <c r="C780" i="62"/>
  <c r="C773" i="62"/>
  <c r="B773" i="62"/>
  <c r="C772" i="62"/>
  <c r="B772" i="62"/>
  <c r="B771" i="62"/>
  <c r="C770" i="62"/>
  <c r="B770" i="62"/>
  <c r="C769" i="62"/>
  <c r="B769" i="62"/>
  <c r="B768" i="62"/>
  <c r="B767" i="62"/>
  <c r="C763" i="62"/>
  <c r="F762" i="62"/>
  <c r="C762" i="62"/>
  <c r="F761" i="62"/>
  <c r="C759" i="62"/>
  <c r="C752" i="62"/>
  <c r="B752" i="62"/>
  <c r="C751" i="62"/>
  <c r="B751" i="62"/>
  <c r="B750" i="62"/>
  <c r="C749" i="62"/>
  <c r="B749" i="62"/>
  <c r="C748" i="62"/>
  <c r="B748" i="62"/>
  <c r="B747" i="62"/>
  <c r="B746" i="62"/>
  <c r="C742" i="62"/>
  <c r="F741" i="62"/>
  <c r="C741" i="62"/>
  <c r="F740" i="62"/>
  <c r="C738" i="62"/>
  <c r="C731" i="62"/>
  <c r="B731" i="62"/>
  <c r="C730" i="62"/>
  <c r="B730" i="62"/>
  <c r="B729" i="62"/>
  <c r="C728" i="62"/>
  <c r="B728" i="62"/>
  <c r="C727" i="62"/>
  <c r="B727" i="62"/>
  <c r="B726" i="62"/>
  <c r="B725" i="62"/>
  <c r="C721" i="62"/>
  <c r="F720" i="62"/>
  <c r="C720" i="62"/>
  <c r="F719" i="62"/>
  <c r="C717" i="62"/>
  <c r="C710" i="62"/>
  <c r="B710" i="62"/>
  <c r="C709" i="62"/>
  <c r="B709" i="62"/>
  <c r="B708" i="62"/>
  <c r="C707" i="62"/>
  <c r="B707" i="62"/>
  <c r="C706" i="62"/>
  <c r="B706" i="62"/>
  <c r="B705" i="62"/>
  <c r="B704" i="62"/>
  <c r="C700" i="62"/>
  <c r="F699" i="62"/>
  <c r="C699" i="62"/>
  <c r="F698" i="62"/>
  <c r="C696" i="62"/>
  <c r="C689" i="62"/>
  <c r="B689" i="62"/>
  <c r="C688" i="62"/>
  <c r="B688" i="62"/>
  <c r="B687" i="62"/>
  <c r="C686" i="62"/>
  <c r="B686" i="62"/>
  <c r="C685" i="62"/>
  <c r="B685" i="62"/>
  <c r="B684" i="62"/>
  <c r="B683" i="62"/>
  <c r="C679" i="62"/>
  <c r="F678" i="62"/>
  <c r="C678" i="62"/>
  <c r="F677" i="62"/>
  <c r="C675" i="62"/>
  <c r="C668" i="62"/>
  <c r="B668" i="62"/>
  <c r="C667" i="62"/>
  <c r="B667" i="62"/>
  <c r="B666" i="62"/>
  <c r="C665" i="62"/>
  <c r="B665" i="62"/>
  <c r="C664" i="62"/>
  <c r="B664" i="62"/>
  <c r="B663" i="62"/>
  <c r="B662" i="62"/>
  <c r="C658" i="62"/>
  <c r="F657" i="62"/>
  <c r="C657" i="62"/>
  <c r="F656" i="62"/>
  <c r="C654" i="62"/>
  <c r="C647" i="62"/>
  <c r="B647" i="62"/>
  <c r="C646" i="62"/>
  <c r="B646" i="62"/>
  <c r="B645" i="62"/>
  <c r="C644" i="62"/>
  <c r="B644" i="62"/>
  <c r="C643" i="62"/>
  <c r="B643" i="62"/>
  <c r="B642" i="62"/>
  <c r="B641" i="62"/>
  <c r="C637" i="62"/>
  <c r="F636" i="62"/>
  <c r="C636" i="62"/>
  <c r="F635" i="62"/>
  <c r="C633" i="62"/>
  <c r="C626" i="62"/>
  <c r="B626" i="62"/>
  <c r="C625" i="62"/>
  <c r="B625" i="62"/>
  <c r="B624" i="62"/>
  <c r="C623" i="62"/>
  <c r="B623" i="62"/>
  <c r="C622" i="62"/>
  <c r="B622" i="62"/>
  <c r="B621" i="62"/>
  <c r="B620" i="62"/>
  <c r="C616" i="62"/>
  <c r="F615" i="62"/>
  <c r="C615" i="62"/>
  <c r="F614" i="62"/>
  <c r="C612" i="62"/>
  <c r="C605" i="62"/>
  <c r="B605" i="62"/>
  <c r="C604" i="62"/>
  <c r="B604" i="62"/>
  <c r="B603" i="62"/>
  <c r="C602" i="62"/>
  <c r="B602" i="62"/>
  <c r="C601" i="62"/>
  <c r="B601" i="62"/>
  <c r="B600" i="62"/>
  <c r="B599" i="62"/>
  <c r="C595" i="62"/>
  <c r="F594" i="62"/>
  <c r="C594" i="62"/>
  <c r="F593" i="62"/>
  <c r="C591" i="62"/>
  <c r="C584" i="62"/>
  <c r="B584" i="62"/>
  <c r="C583" i="62"/>
  <c r="B583" i="62"/>
  <c r="B582" i="62"/>
  <c r="C581" i="62"/>
  <c r="B581" i="62"/>
  <c r="C580" i="62"/>
  <c r="B580" i="62"/>
  <c r="B579" i="62"/>
  <c r="B578" i="62"/>
  <c r="C574" i="62"/>
  <c r="F573" i="62"/>
  <c r="C573" i="62"/>
  <c r="F572" i="62"/>
  <c r="C570" i="62"/>
  <c r="C563" i="62"/>
  <c r="B563" i="62"/>
  <c r="C562" i="62"/>
  <c r="B562" i="62"/>
  <c r="B561" i="62"/>
  <c r="C560" i="62"/>
  <c r="B560" i="62"/>
  <c r="C559" i="62"/>
  <c r="B559" i="62"/>
  <c r="B558" i="62"/>
  <c r="B557" i="62"/>
  <c r="C553" i="62"/>
  <c r="F552" i="62"/>
  <c r="C552" i="62"/>
  <c r="F551" i="62"/>
  <c r="C549" i="62"/>
  <c r="C542" i="62"/>
  <c r="B542" i="62"/>
  <c r="C541" i="62"/>
  <c r="B541" i="62"/>
  <c r="B540" i="62"/>
  <c r="C539" i="62"/>
  <c r="B539" i="62"/>
  <c r="C538" i="62"/>
  <c r="B538" i="62"/>
  <c r="B537" i="62"/>
  <c r="B536" i="62"/>
  <c r="C532" i="62"/>
  <c r="F531" i="62"/>
  <c r="C531" i="62"/>
  <c r="F530" i="62"/>
  <c r="C528" i="62"/>
  <c r="C521" i="62"/>
  <c r="B521" i="62"/>
  <c r="C520" i="62"/>
  <c r="B520" i="62"/>
  <c r="B519" i="62"/>
  <c r="C518" i="62"/>
  <c r="B518" i="62"/>
  <c r="C517" i="62"/>
  <c r="B517" i="62"/>
  <c r="B516" i="62"/>
  <c r="B515" i="62"/>
  <c r="C511" i="62"/>
  <c r="F510" i="62"/>
  <c r="C510" i="62"/>
  <c r="F509" i="62"/>
  <c r="C507" i="62"/>
  <c r="C500" i="62"/>
  <c r="B500" i="62"/>
  <c r="C499" i="62"/>
  <c r="B499" i="62"/>
  <c r="B498" i="62"/>
  <c r="C497" i="62"/>
  <c r="B497" i="62"/>
  <c r="C496" i="62"/>
  <c r="B496" i="62"/>
  <c r="B495" i="62"/>
  <c r="B494" i="62"/>
  <c r="C490" i="62"/>
  <c r="F489" i="62"/>
  <c r="C489" i="62"/>
  <c r="F488" i="62"/>
  <c r="C486" i="62"/>
  <c r="C479" i="62"/>
  <c r="B479" i="62"/>
  <c r="C478" i="62"/>
  <c r="B478" i="62"/>
  <c r="B477" i="62"/>
  <c r="C476" i="62"/>
  <c r="B476" i="62"/>
  <c r="C475" i="62"/>
  <c r="B475" i="62"/>
  <c r="B474" i="62"/>
  <c r="B473" i="62"/>
  <c r="F469" i="62"/>
  <c r="C469" i="62"/>
  <c r="F468" i="62"/>
  <c r="C468" i="62"/>
  <c r="F467" i="62"/>
  <c r="C465" i="62"/>
  <c r="C458" i="62"/>
  <c r="B458" i="62"/>
  <c r="C457" i="62"/>
  <c r="B457" i="62"/>
  <c r="B456" i="62"/>
  <c r="C455" i="62"/>
  <c r="B455" i="62"/>
  <c r="C454" i="62"/>
  <c r="B454" i="62"/>
  <c r="B453" i="62"/>
  <c r="B452" i="62"/>
  <c r="C448" i="62"/>
  <c r="F447" i="62"/>
  <c r="C447" i="62"/>
  <c r="F446" i="62"/>
  <c r="C444" i="62"/>
  <c r="C437" i="62"/>
  <c r="B437" i="62"/>
  <c r="C436" i="62"/>
  <c r="B436" i="62"/>
  <c r="B435" i="62"/>
  <c r="C434" i="62"/>
  <c r="B434" i="62"/>
  <c r="C433" i="62"/>
  <c r="B433" i="62"/>
  <c r="B432" i="62"/>
  <c r="B431" i="62"/>
  <c r="C427" i="62"/>
  <c r="F426" i="62"/>
  <c r="C426" i="62"/>
  <c r="F425" i="62"/>
  <c r="C423" i="62"/>
  <c r="C416" i="62"/>
  <c r="B416" i="62"/>
  <c r="C415" i="62"/>
  <c r="B415" i="62"/>
  <c r="B414" i="62"/>
  <c r="C413" i="62"/>
  <c r="B413" i="62"/>
  <c r="C412" i="62"/>
  <c r="B412" i="62"/>
  <c r="B411" i="62"/>
  <c r="B410" i="62"/>
  <c r="C406" i="62"/>
  <c r="F405" i="62"/>
  <c r="C405" i="62"/>
  <c r="F404" i="62"/>
  <c r="C402" i="62"/>
  <c r="C395" i="62"/>
  <c r="B395" i="62"/>
  <c r="C394" i="62"/>
  <c r="B394" i="62"/>
  <c r="B393" i="62"/>
  <c r="C392" i="62"/>
  <c r="B392" i="62"/>
  <c r="C391" i="62"/>
  <c r="B391" i="62"/>
  <c r="B390" i="62"/>
  <c r="B389" i="62"/>
  <c r="C385" i="62"/>
  <c r="F384" i="62"/>
  <c r="C384" i="62"/>
  <c r="F383" i="62"/>
  <c r="C381" i="62"/>
  <c r="C374" i="62"/>
  <c r="B374" i="62"/>
  <c r="C373" i="62"/>
  <c r="B373" i="62"/>
  <c r="B372" i="62"/>
  <c r="C371" i="62"/>
  <c r="B371" i="62"/>
  <c r="C370" i="62"/>
  <c r="B370" i="62"/>
  <c r="B369" i="62"/>
  <c r="B368" i="62"/>
  <c r="C364" i="62"/>
  <c r="F363" i="62"/>
  <c r="C363" i="62"/>
  <c r="F362" i="62"/>
  <c r="C360" i="62"/>
  <c r="C353" i="62"/>
  <c r="B353" i="62"/>
  <c r="C352" i="62"/>
  <c r="B352" i="62"/>
  <c r="B351" i="62"/>
  <c r="C350" i="62"/>
  <c r="B350" i="62"/>
  <c r="C349" i="62"/>
  <c r="B349" i="62"/>
  <c r="B348" i="62"/>
  <c r="B347" i="62"/>
  <c r="C343" i="62"/>
  <c r="F342" i="62"/>
  <c r="C342" i="62"/>
  <c r="F341" i="62"/>
  <c r="C339" i="62"/>
  <c r="C332" i="62"/>
  <c r="B332" i="62"/>
  <c r="C331" i="62"/>
  <c r="B331" i="62"/>
  <c r="B330" i="62"/>
  <c r="C329" i="62"/>
  <c r="B329" i="62"/>
  <c r="C328" i="62"/>
  <c r="B328" i="62"/>
  <c r="B327" i="62"/>
  <c r="B326" i="62"/>
  <c r="C322" i="62"/>
  <c r="F321" i="62"/>
  <c r="C321" i="62"/>
  <c r="F320" i="62"/>
  <c r="C318" i="62"/>
  <c r="M10" i="26"/>
  <c r="R10" i="60"/>
  <c r="AC10" i="60" s="1"/>
  <c r="C311" i="62"/>
  <c r="B311" i="62"/>
  <c r="C310" i="62"/>
  <c r="B310" i="62"/>
  <c r="B309" i="62"/>
  <c r="C308" i="62"/>
  <c r="B308" i="62"/>
  <c r="C307" i="62"/>
  <c r="B307" i="62"/>
  <c r="B306" i="62"/>
  <c r="B305" i="62"/>
  <c r="C301" i="62"/>
  <c r="F300" i="62"/>
  <c r="C300" i="62"/>
  <c r="F299" i="62"/>
  <c r="C297" i="62"/>
  <c r="C290" i="62"/>
  <c r="B290" i="62"/>
  <c r="C289" i="62"/>
  <c r="B289" i="62"/>
  <c r="B288" i="62"/>
  <c r="C287" i="62"/>
  <c r="B287" i="62"/>
  <c r="C286" i="62"/>
  <c r="B286" i="62"/>
  <c r="B285" i="62"/>
  <c r="B284" i="62"/>
  <c r="C280" i="62"/>
  <c r="F279" i="62"/>
  <c r="C279" i="62"/>
  <c r="F278" i="62"/>
  <c r="C276" i="62"/>
  <c r="C269" i="62"/>
  <c r="B269" i="62"/>
  <c r="C268" i="62"/>
  <c r="B268" i="62"/>
  <c r="B267" i="62"/>
  <c r="C266" i="62"/>
  <c r="B266" i="62"/>
  <c r="C265" i="62"/>
  <c r="B265" i="62"/>
  <c r="B264" i="62"/>
  <c r="B263" i="62"/>
  <c r="F259" i="62"/>
  <c r="C259" i="62"/>
  <c r="F258" i="62"/>
  <c r="C258" i="62"/>
  <c r="F257" i="62"/>
  <c r="C255" i="62"/>
  <c r="C248" i="62"/>
  <c r="B248" i="62"/>
  <c r="C247" i="62"/>
  <c r="B247" i="62"/>
  <c r="B246" i="62"/>
  <c r="C245" i="62"/>
  <c r="B245" i="62"/>
  <c r="C244" i="62"/>
  <c r="B244" i="62"/>
  <c r="B243" i="62"/>
  <c r="B242" i="62"/>
  <c r="C238" i="62"/>
  <c r="F237" i="62"/>
  <c r="C237" i="62"/>
  <c r="F236" i="62"/>
  <c r="C234" i="62"/>
  <c r="C227" i="62"/>
  <c r="B227" i="62"/>
  <c r="C226" i="62"/>
  <c r="B226" i="62"/>
  <c r="B225" i="62"/>
  <c r="C224" i="62"/>
  <c r="B224" i="62"/>
  <c r="C223" i="62"/>
  <c r="B223" i="62"/>
  <c r="B222" i="62"/>
  <c r="B221" i="62"/>
  <c r="C217" i="62"/>
  <c r="F216" i="62"/>
  <c r="C216" i="62"/>
  <c r="F215" i="62"/>
  <c r="C213" i="62"/>
  <c r="C206" i="62"/>
  <c r="B206" i="62"/>
  <c r="C205" i="62"/>
  <c r="B205" i="62"/>
  <c r="B204" i="62"/>
  <c r="C203" i="62"/>
  <c r="B203" i="62"/>
  <c r="C202" i="62"/>
  <c r="B202" i="62"/>
  <c r="B201" i="62"/>
  <c r="B200" i="62"/>
  <c r="C196" i="62"/>
  <c r="F195" i="62"/>
  <c r="C195" i="62"/>
  <c r="F194" i="62"/>
  <c r="C192" i="62"/>
  <c r="C185" i="62"/>
  <c r="B185" i="62"/>
  <c r="C184" i="62"/>
  <c r="B184" i="62"/>
  <c r="B183" i="62"/>
  <c r="C182" i="62"/>
  <c r="B182" i="62"/>
  <c r="C181" i="62"/>
  <c r="B181" i="62"/>
  <c r="B180" i="62"/>
  <c r="B179" i="62"/>
  <c r="C175" i="62"/>
  <c r="F174" i="62"/>
  <c r="C174" i="62"/>
  <c r="F173" i="62"/>
  <c r="C171" i="62"/>
  <c r="C164" i="62"/>
  <c r="B164" i="62"/>
  <c r="C163" i="62"/>
  <c r="B163" i="62"/>
  <c r="B162" i="62"/>
  <c r="C161" i="62"/>
  <c r="B161" i="62"/>
  <c r="C160" i="62"/>
  <c r="B160" i="62"/>
  <c r="B159" i="62"/>
  <c r="B158" i="62"/>
  <c r="C154" i="62"/>
  <c r="F153" i="62"/>
  <c r="C153" i="62"/>
  <c r="F152" i="62"/>
  <c r="C150" i="62"/>
  <c r="C143" i="62"/>
  <c r="B143" i="62"/>
  <c r="C142" i="62"/>
  <c r="B142" i="62"/>
  <c r="B141" i="62"/>
  <c r="C140" i="62"/>
  <c r="B140" i="62"/>
  <c r="C139" i="62"/>
  <c r="B139" i="62"/>
  <c r="B138" i="62"/>
  <c r="B137" i="62"/>
  <c r="F133" i="62"/>
  <c r="C133" i="62"/>
  <c r="F132" i="62"/>
  <c r="C132" i="62"/>
  <c r="F131" i="62"/>
  <c r="C129" i="62"/>
  <c r="C122" i="62"/>
  <c r="B122" i="62"/>
  <c r="C121" i="62"/>
  <c r="B121" i="62"/>
  <c r="B120" i="62"/>
  <c r="C119" i="62"/>
  <c r="B119" i="62"/>
  <c r="C118" i="62"/>
  <c r="B118" i="62"/>
  <c r="B117" i="62"/>
  <c r="B116" i="62"/>
  <c r="C112" i="62"/>
  <c r="F111" i="62"/>
  <c r="C111" i="62"/>
  <c r="F110" i="62"/>
  <c r="C108" i="62"/>
  <c r="C101" i="62"/>
  <c r="B101" i="62"/>
  <c r="C100" i="62"/>
  <c r="B100" i="62"/>
  <c r="B99" i="62"/>
  <c r="C98" i="62"/>
  <c r="B98" i="62"/>
  <c r="C97" i="62"/>
  <c r="B97" i="62"/>
  <c r="B96" i="62"/>
  <c r="B95" i="62"/>
  <c r="C91" i="62"/>
  <c r="F90" i="62"/>
  <c r="C90" i="62"/>
  <c r="F89" i="62"/>
  <c r="C87" i="62"/>
  <c r="C80" i="62"/>
  <c r="B80" i="62"/>
  <c r="C79" i="62"/>
  <c r="B79" i="62"/>
  <c r="B78" i="62"/>
  <c r="C77" i="62"/>
  <c r="B77" i="62"/>
  <c r="C76" i="62"/>
  <c r="B76" i="62"/>
  <c r="B75" i="62"/>
  <c r="B74" i="62"/>
  <c r="F70" i="62"/>
  <c r="C70" i="62"/>
  <c r="F69" i="62"/>
  <c r="C69" i="62"/>
  <c r="F68" i="62"/>
  <c r="C66" i="62"/>
  <c r="C59" i="62"/>
  <c r="B59" i="62"/>
  <c r="C58" i="62"/>
  <c r="B58" i="62"/>
  <c r="B57" i="62"/>
  <c r="C56" i="62"/>
  <c r="B56" i="62"/>
  <c r="C55" i="62"/>
  <c r="B55" i="62"/>
  <c r="B54" i="62"/>
  <c r="B53" i="62"/>
  <c r="C49" i="62"/>
  <c r="F48" i="62"/>
  <c r="C48" i="62"/>
  <c r="F47" i="62"/>
  <c r="C45" i="62"/>
  <c r="C38" i="62"/>
  <c r="B38" i="62"/>
  <c r="C37" i="62"/>
  <c r="B37" i="62"/>
  <c r="B36" i="62"/>
  <c r="C35" i="62"/>
  <c r="B35" i="62"/>
  <c r="C34" i="62"/>
  <c r="B34" i="62"/>
  <c r="B33" i="62"/>
  <c r="B32" i="62"/>
  <c r="C28" i="62"/>
  <c r="F27" i="62"/>
  <c r="C27" i="62"/>
  <c r="F26" i="62"/>
  <c r="C24" i="62"/>
  <c r="C17" i="62"/>
  <c r="B17" i="62"/>
  <c r="B16" i="62"/>
  <c r="B15" i="62"/>
  <c r="B14" i="62"/>
  <c r="B13" i="62"/>
  <c r="B12" i="62"/>
  <c r="B11" i="62"/>
  <c r="C16" i="62"/>
  <c r="C14" i="62"/>
  <c r="C13" i="62"/>
  <c r="F49" i="62"/>
  <c r="M11" i="26"/>
  <c r="AF11" i="26" s="1"/>
  <c r="M13" i="26"/>
  <c r="C138" i="62" s="1"/>
  <c r="F154" i="62"/>
  <c r="M14" i="26"/>
  <c r="P14" i="26" s="1"/>
  <c r="F14" i="60" s="1"/>
  <c r="BJ14" i="60" s="1"/>
  <c r="Y14" i="26" s="1"/>
  <c r="F159" i="62" s="1"/>
  <c r="F175" i="62"/>
  <c r="F238" i="62"/>
  <c r="M18" i="26"/>
  <c r="M19" i="26"/>
  <c r="AF19" i="26" s="1"/>
  <c r="M21" i="26"/>
  <c r="M22" i="26"/>
  <c r="P22" i="26" s="1"/>
  <c r="F22" i="60" s="1"/>
  <c r="M25" i="26"/>
  <c r="AF25" i="26" s="1"/>
  <c r="M29" i="26"/>
  <c r="C474" i="62" s="1"/>
  <c r="M30" i="26"/>
  <c r="F889" i="62"/>
  <c r="M49" i="26"/>
  <c r="AM6" i="26"/>
  <c r="AH6" i="60" s="1"/>
  <c r="R12" i="60"/>
  <c r="AU12" i="60" s="1"/>
  <c r="BA12" i="60" s="1"/>
  <c r="BG12" i="60" s="1"/>
  <c r="R29" i="60"/>
  <c r="R50" i="60"/>
  <c r="AQ50" i="60" s="1"/>
  <c r="N52" i="26"/>
  <c r="O52" i="26"/>
  <c r="Q52" i="26"/>
  <c r="R52" i="26"/>
  <c r="C3" i="62"/>
  <c r="F7" i="62"/>
  <c r="C7" i="62"/>
  <c r="F6" i="62"/>
  <c r="F5" i="62"/>
  <c r="C6" i="62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22" i="60"/>
  <c r="B23" i="60"/>
  <c r="B24" i="60"/>
  <c r="B25" i="60"/>
  <c r="B26" i="60"/>
  <c r="B27" i="60"/>
  <c r="B28" i="60"/>
  <c r="B29" i="60"/>
  <c r="B30" i="60"/>
  <c r="B31" i="60"/>
  <c r="B32" i="60"/>
  <c r="B33" i="60"/>
  <c r="B34" i="60"/>
  <c r="B35" i="60"/>
  <c r="B36" i="60"/>
  <c r="B37" i="60"/>
  <c r="B38" i="60"/>
  <c r="B39" i="60"/>
  <c r="B40" i="60"/>
  <c r="B41" i="60"/>
  <c r="B42" i="60"/>
  <c r="B43" i="60"/>
  <c r="B44" i="60"/>
  <c r="B45" i="60"/>
  <c r="B46" i="60"/>
  <c r="B47" i="60"/>
  <c r="B48" i="60"/>
  <c r="B49" i="60"/>
  <c r="B50" i="60"/>
  <c r="B51" i="60"/>
  <c r="A8" i="60"/>
  <c r="A9" i="60"/>
  <c r="A10" i="60"/>
  <c r="A11" i="60"/>
  <c r="A12" i="60"/>
  <c r="A13" i="60"/>
  <c r="A14" i="60"/>
  <c r="A15" i="60"/>
  <c r="A16" i="60"/>
  <c r="A17" i="60"/>
  <c r="A18" i="60"/>
  <c r="A19" i="60"/>
  <c r="A20" i="60"/>
  <c r="A21" i="60"/>
  <c r="A22" i="60"/>
  <c r="A23" i="60"/>
  <c r="A24" i="60"/>
  <c r="A25" i="60"/>
  <c r="A26" i="60"/>
  <c r="A27" i="60"/>
  <c r="A28" i="60"/>
  <c r="A29" i="60"/>
  <c r="A30" i="60"/>
  <c r="A31" i="60"/>
  <c r="A32" i="60"/>
  <c r="A33" i="60"/>
  <c r="A34" i="60"/>
  <c r="A35" i="60"/>
  <c r="A36" i="60"/>
  <c r="A37" i="60"/>
  <c r="A38" i="60"/>
  <c r="A39" i="60"/>
  <c r="A40" i="60"/>
  <c r="A41" i="60"/>
  <c r="A42" i="60"/>
  <c r="A43" i="60"/>
  <c r="A44" i="60"/>
  <c r="A45" i="60"/>
  <c r="A46" i="60"/>
  <c r="A47" i="60"/>
  <c r="A48" i="60"/>
  <c r="A49" i="60"/>
  <c r="A50" i="60"/>
  <c r="A51" i="60"/>
  <c r="A7" i="60"/>
  <c r="B7" i="60"/>
  <c r="S51" i="60"/>
  <c r="U51" i="60" s="1"/>
  <c r="S50" i="60"/>
  <c r="U50" i="60" s="1"/>
  <c r="S49" i="60"/>
  <c r="U49" i="60" s="1"/>
  <c r="S48" i="60"/>
  <c r="U48" i="60" s="1"/>
  <c r="S47" i="60"/>
  <c r="U47" i="60" s="1"/>
  <c r="S46" i="60"/>
  <c r="U46" i="60" s="1"/>
  <c r="S45" i="60"/>
  <c r="U45" i="60" s="1"/>
  <c r="S44" i="60"/>
  <c r="U44" i="60" s="1"/>
  <c r="S43" i="60"/>
  <c r="U43" i="60" s="1"/>
  <c r="S42" i="60"/>
  <c r="U42" i="60" s="1"/>
  <c r="S41" i="60"/>
  <c r="U41" i="60" s="1"/>
  <c r="S40" i="60"/>
  <c r="U40" i="60" s="1"/>
  <c r="S39" i="60"/>
  <c r="U39" i="60" s="1"/>
  <c r="S38" i="60"/>
  <c r="U38" i="60" s="1"/>
  <c r="S37" i="60"/>
  <c r="U37" i="60" s="1"/>
  <c r="S36" i="60"/>
  <c r="U36" i="60" s="1"/>
  <c r="S35" i="60"/>
  <c r="U35" i="60" s="1"/>
  <c r="S34" i="60"/>
  <c r="U34" i="60" s="1"/>
  <c r="S33" i="60"/>
  <c r="U33" i="60" s="1"/>
  <c r="S32" i="60"/>
  <c r="U32" i="60" s="1"/>
  <c r="S31" i="60"/>
  <c r="U31" i="60" s="1"/>
  <c r="S30" i="60"/>
  <c r="U30" i="60" s="1"/>
  <c r="S29" i="60"/>
  <c r="U29" i="60" s="1"/>
  <c r="S28" i="60"/>
  <c r="U28" i="60" s="1"/>
  <c r="S27" i="60"/>
  <c r="U27" i="60" s="1"/>
  <c r="S26" i="60"/>
  <c r="U26" i="60" s="1"/>
  <c r="S25" i="60"/>
  <c r="U25" i="60" s="1"/>
  <c r="S24" i="60"/>
  <c r="U24" i="60" s="1"/>
  <c r="S23" i="60"/>
  <c r="U23" i="60" s="1"/>
  <c r="S22" i="60"/>
  <c r="U22" i="60" s="1"/>
  <c r="S21" i="60"/>
  <c r="U21" i="60" s="1"/>
  <c r="S20" i="60"/>
  <c r="U20" i="60" s="1"/>
  <c r="S19" i="60"/>
  <c r="U19" i="60" s="1"/>
  <c r="S18" i="60"/>
  <c r="U18" i="60" s="1"/>
  <c r="S17" i="60"/>
  <c r="U17" i="60" s="1"/>
  <c r="S16" i="60"/>
  <c r="U16" i="60" s="1"/>
  <c r="S15" i="60"/>
  <c r="U15" i="60" s="1"/>
  <c r="S14" i="60"/>
  <c r="U14" i="60" s="1"/>
  <c r="S13" i="60"/>
  <c r="U13" i="60" s="1"/>
  <c r="S12" i="60"/>
  <c r="U12" i="60" s="1"/>
  <c r="S11" i="60"/>
  <c r="U11" i="60" s="1"/>
  <c r="U10" i="60"/>
  <c r="U9" i="60"/>
  <c r="U8" i="60"/>
  <c r="U7" i="60"/>
  <c r="I23" i="12"/>
  <c r="I22" i="12"/>
  <c r="I21" i="12"/>
  <c r="I20" i="12"/>
  <c r="I19" i="12"/>
  <c r="I18" i="12"/>
  <c r="I17" i="12"/>
  <c r="N7" i="12"/>
  <c r="I16" i="12"/>
  <c r="L6" i="12"/>
  <c r="N6" i="12" s="1"/>
  <c r="I15" i="12"/>
  <c r="N5" i="12"/>
  <c r="I14" i="12"/>
  <c r="L4" i="12"/>
  <c r="N4" i="12" s="1"/>
  <c r="I13" i="12"/>
  <c r="I12" i="12"/>
  <c r="I11" i="12"/>
  <c r="I10" i="12"/>
  <c r="I9" i="12"/>
  <c r="I8" i="12"/>
  <c r="I7" i="12"/>
  <c r="I6" i="12"/>
  <c r="I5" i="12"/>
  <c r="G5" i="12"/>
  <c r="G6" i="12" s="1"/>
  <c r="G7" i="12" s="1"/>
  <c r="G8" i="12" s="1"/>
  <c r="G9" i="12" s="1"/>
  <c r="G10" i="12" s="1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I4" i="12"/>
  <c r="AF29" i="26"/>
  <c r="F826" i="62" l="1"/>
  <c r="F805" i="62"/>
  <c r="M42" i="26"/>
  <c r="P42" i="26" s="1"/>
  <c r="F42" i="60" s="1"/>
  <c r="K42" i="60" s="1"/>
  <c r="R41" i="60"/>
  <c r="AC41" i="60" s="1"/>
  <c r="M38" i="26"/>
  <c r="M37" i="26"/>
  <c r="P37" i="26" s="1"/>
  <c r="F37" i="60" s="1"/>
  <c r="I37" i="60" s="1"/>
  <c r="R35" i="60"/>
  <c r="AF35" i="60" s="1"/>
  <c r="F763" i="62"/>
  <c r="R28" i="60"/>
  <c r="AC28" i="60" s="1"/>
  <c r="M45" i="26"/>
  <c r="AF45" i="26" s="1"/>
  <c r="M43" i="26"/>
  <c r="C768" i="62" s="1"/>
  <c r="R22" i="60"/>
  <c r="Z22" i="60" s="1"/>
  <c r="F658" i="62"/>
  <c r="F595" i="62"/>
  <c r="R14" i="60"/>
  <c r="AQ14" i="60" s="1"/>
  <c r="AS14" i="60" s="1"/>
  <c r="F427" i="62"/>
  <c r="F322" i="62"/>
  <c r="R48" i="60"/>
  <c r="AE48" i="60" s="1"/>
  <c r="F385" i="62"/>
  <c r="R40" i="60"/>
  <c r="AQ40" i="60" s="1"/>
  <c r="AS40" i="60" s="1"/>
  <c r="R13" i="60"/>
  <c r="AB13" i="60" s="1"/>
  <c r="M26" i="26"/>
  <c r="R43" i="60"/>
  <c r="AK43" i="60" s="1"/>
  <c r="AM43" i="60" s="1"/>
  <c r="R42" i="60"/>
  <c r="V42" i="60" s="1"/>
  <c r="F742" i="62"/>
  <c r="F721" i="62"/>
  <c r="R19" i="60"/>
  <c r="AF19" i="60" s="1"/>
  <c r="F406" i="62"/>
  <c r="R9" i="60"/>
  <c r="W9" i="60" s="1"/>
  <c r="M15" i="26"/>
  <c r="C180" i="62" s="1"/>
  <c r="F868" i="62"/>
  <c r="W48" i="26"/>
  <c r="F875" i="62" s="1"/>
  <c r="F700" i="62"/>
  <c r="W40" i="26"/>
  <c r="F707" i="62" s="1"/>
  <c r="F532" i="62"/>
  <c r="W32" i="26"/>
  <c r="F539" i="62" s="1"/>
  <c r="M31" i="26"/>
  <c r="AF31" i="26" s="1"/>
  <c r="F784" i="62"/>
  <c r="W44" i="26"/>
  <c r="F791" i="62" s="1"/>
  <c r="M36" i="26"/>
  <c r="AF36" i="26" s="1"/>
  <c r="W36" i="26"/>
  <c r="F623" i="62" s="1"/>
  <c r="F448" i="62"/>
  <c r="W28" i="26"/>
  <c r="F455" i="62" s="1"/>
  <c r="M20" i="26"/>
  <c r="P20" i="26" s="1"/>
  <c r="F20" i="60" s="1"/>
  <c r="G20" i="60" s="1"/>
  <c r="H20" i="60" s="1"/>
  <c r="W20" i="26"/>
  <c r="F287" i="62" s="1"/>
  <c r="M12" i="26"/>
  <c r="W12" i="26"/>
  <c r="R47" i="60"/>
  <c r="AB47" i="60" s="1"/>
  <c r="R39" i="60"/>
  <c r="V39" i="60" s="1"/>
  <c r="R15" i="60"/>
  <c r="AF15" i="60" s="1"/>
  <c r="M47" i="26"/>
  <c r="F847" i="62"/>
  <c r="M39" i="26"/>
  <c r="C684" i="62" s="1"/>
  <c r="F679" i="62"/>
  <c r="P29" i="26"/>
  <c r="F29" i="60" s="1"/>
  <c r="I29" i="60" s="1"/>
  <c r="F616" i="62"/>
  <c r="AF42" i="26"/>
  <c r="AF12" i="26"/>
  <c r="P12" i="26"/>
  <c r="F12" i="60" s="1"/>
  <c r="M12" i="60" s="1"/>
  <c r="O12" i="60" s="1"/>
  <c r="F112" i="62"/>
  <c r="AF13" i="26"/>
  <c r="M48" i="26"/>
  <c r="AF48" i="26" s="1"/>
  <c r="M32" i="26"/>
  <c r="AF32" i="26" s="1"/>
  <c r="P13" i="26"/>
  <c r="F13" i="60" s="1"/>
  <c r="I13" i="60" s="1"/>
  <c r="AF14" i="26"/>
  <c r="C159" i="62"/>
  <c r="P38" i="26"/>
  <c r="F38" i="60" s="1"/>
  <c r="G38" i="60" s="1"/>
  <c r="H38" i="60" s="1"/>
  <c r="AF38" i="26"/>
  <c r="F553" i="62"/>
  <c r="F343" i="62"/>
  <c r="F511" i="62"/>
  <c r="M51" i="26"/>
  <c r="F931" i="62"/>
  <c r="P30" i="26"/>
  <c r="F30" i="60" s="1"/>
  <c r="I30" i="60" s="1"/>
  <c r="C495" i="62"/>
  <c r="G22" i="60"/>
  <c r="H22" i="60" s="1"/>
  <c r="I22" i="60"/>
  <c r="BJ22" i="60"/>
  <c r="Y22" i="26" s="1"/>
  <c r="F327" i="62" s="1"/>
  <c r="F490" i="62"/>
  <c r="AF30" i="26"/>
  <c r="R51" i="60"/>
  <c r="AH51" i="60" s="1"/>
  <c r="AJ51" i="60" s="1"/>
  <c r="AF37" i="26"/>
  <c r="AF22" i="26"/>
  <c r="C327" i="62"/>
  <c r="F91" i="62"/>
  <c r="C117" i="62"/>
  <c r="F280" i="62"/>
  <c r="F301" i="62"/>
  <c r="P10" i="26"/>
  <c r="F10" i="60" s="1"/>
  <c r="K10" i="60" s="1"/>
  <c r="AF10" i="26"/>
  <c r="C75" i="62"/>
  <c r="F637" i="62"/>
  <c r="C621" i="62"/>
  <c r="P36" i="26"/>
  <c r="F36" i="60" s="1"/>
  <c r="I36" i="60" s="1"/>
  <c r="P21" i="26"/>
  <c r="F21" i="60" s="1"/>
  <c r="G21" i="60" s="1"/>
  <c r="H21" i="60" s="1"/>
  <c r="AF21" i="26"/>
  <c r="M8" i="26"/>
  <c r="C33" i="62" s="1"/>
  <c r="F28" i="62"/>
  <c r="C894" i="62"/>
  <c r="P49" i="26"/>
  <c r="F49" i="60" s="1"/>
  <c r="K49" i="60" s="1"/>
  <c r="AF49" i="26"/>
  <c r="M34" i="26"/>
  <c r="F574" i="62"/>
  <c r="P26" i="26"/>
  <c r="F26" i="60" s="1"/>
  <c r="I26" i="60" s="1"/>
  <c r="AF26" i="26"/>
  <c r="M24" i="26"/>
  <c r="F364" i="62"/>
  <c r="P18" i="26"/>
  <c r="F18" i="60" s="1"/>
  <c r="G18" i="60" s="1"/>
  <c r="H18" i="60" s="1"/>
  <c r="AF18" i="26"/>
  <c r="M16" i="26"/>
  <c r="F196" i="62"/>
  <c r="C663" i="62"/>
  <c r="R31" i="60"/>
  <c r="AC31" i="60" s="1"/>
  <c r="R27" i="60"/>
  <c r="AU27" i="60" s="1"/>
  <c r="BA27" i="60" s="1"/>
  <c r="BG27" i="60" s="1"/>
  <c r="R23" i="60"/>
  <c r="AQ23" i="60" s="1"/>
  <c r="AS23" i="60" s="1"/>
  <c r="R11" i="60"/>
  <c r="AF11" i="60" s="1"/>
  <c r="R46" i="60"/>
  <c r="AQ46" i="60" s="1"/>
  <c r="AS46" i="60" s="1"/>
  <c r="R38" i="60"/>
  <c r="V38" i="60" s="1"/>
  <c r="R34" i="60"/>
  <c r="AC34" i="60" s="1"/>
  <c r="R30" i="60"/>
  <c r="AW30" i="60" s="1"/>
  <c r="AY30" i="60" s="1"/>
  <c r="R26" i="60"/>
  <c r="AC26" i="60" s="1"/>
  <c r="R18" i="60"/>
  <c r="AW18" i="60" s="1"/>
  <c r="AY18" i="60" s="1"/>
  <c r="M50" i="26"/>
  <c r="F910" i="62"/>
  <c r="M46" i="26"/>
  <c r="M44" i="26"/>
  <c r="M33" i="26"/>
  <c r="M27" i="26"/>
  <c r="AF27" i="26" s="1"/>
  <c r="C390" i="62"/>
  <c r="P25" i="26"/>
  <c r="F25" i="60" s="1"/>
  <c r="BJ25" i="60" s="1"/>
  <c r="Y25" i="26" s="1"/>
  <c r="F390" i="62" s="1"/>
  <c r="M23" i="26"/>
  <c r="M17" i="26"/>
  <c r="F217" i="62"/>
  <c r="C411" i="62"/>
  <c r="R49" i="60"/>
  <c r="AK49" i="60" s="1"/>
  <c r="AM49" i="60" s="1"/>
  <c r="R45" i="60"/>
  <c r="V45" i="60" s="1"/>
  <c r="R37" i="60"/>
  <c r="AE37" i="60" s="1"/>
  <c r="R33" i="60"/>
  <c r="AK33" i="60" s="1"/>
  <c r="AM33" i="60" s="1"/>
  <c r="R25" i="60"/>
  <c r="AK25" i="60" s="1"/>
  <c r="AM25" i="60" s="1"/>
  <c r="R21" i="60"/>
  <c r="AU21" i="60" s="1"/>
  <c r="BA21" i="60" s="1"/>
  <c r="BG21" i="60" s="1"/>
  <c r="R17" i="60"/>
  <c r="AT17" i="60" s="1"/>
  <c r="M41" i="26"/>
  <c r="AF41" i="26" s="1"/>
  <c r="M40" i="26"/>
  <c r="M35" i="26"/>
  <c r="AF35" i="26" s="1"/>
  <c r="M28" i="26"/>
  <c r="M9" i="26"/>
  <c r="AF9" i="26" s="1"/>
  <c r="R8" i="60"/>
  <c r="V8" i="60" s="1"/>
  <c r="R44" i="60"/>
  <c r="AH44" i="60" s="1"/>
  <c r="AJ44" i="60" s="1"/>
  <c r="R36" i="60"/>
  <c r="V36" i="60" s="1"/>
  <c r="R32" i="60"/>
  <c r="AC32" i="60" s="1"/>
  <c r="R24" i="60"/>
  <c r="AW24" i="60" s="1"/>
  <c r="AY24" i="60" s="1"/>
  <c r="R20" i="60"/>
  <c r="AB20" i="60" s="1"/>
  <c r="R16" i="60"/>
  <c r="AU16" i="60" s="1"/>
  <c r="BA16" i="60" s="1"/>
  <c r="BG16" i="60" s="1"/>
  <c r="M22" i="60"/>
  <c r="O22" i="60" s="1"/>
  <c r="M42" i="60"/>
  <c r="O42" i="60" s="1"/>
  <c r="AW12" i="60"/>
  <c r="AY12" i="60" s="1"/>
  <c r="AH12" i="60"/>
  <c r="AJ12" i="60" s="1"/>
  <c r="Y12" i="60"/>
  <c r="V12" i="60"/>
  <c r="H12" i="26"/>
  <c r="AF12" i="60"/>
  <c r="AQ12" i="60"/>
  <c r="AS12" i="60" s="1"/>
  <c r="AK12" i="60"/>
  <c r="AM12" i="60" s="1"/>
  <c r="AT12" i="60"/>
  <c r="AV12" i="60" s="1"/>
  <c r="AE12" i="60"/>
  <c r="AB12" i="60"/>
  <c r="AH10" i="60"/>
  <c r="AJ10" i="60" s="1"/>
  <c r="AT10" i="60"/>
  <c r="AQ10" i="60"/>
  <c r="AS10" i="60" s="1"/>
  <c r="AE10" i="60"/>
  <c r="H10" i="26"/>
  <c r="AB10" i="60"/>
  <c r="AD10" i="60" s="1"/>
  <c r="Y10" i="60"/>
  <c r="AW10" i="60"/>
  <c r="AY10" i="60" s="1"/>
  <c r="AK10" i="60"/>
  <c r="AM10" i="60" s="1"/>
  <c r="V10" i="60"/>
  <c r="AC29" i="60"/>
  <c r="V29" i="60"/>
  <c r="AB29" i="60"/>
  <c r="AT29" i="60"/>
  <c r="AH29" i="60"/>
  <c r="AJ29" i="60" s="1"/>
  <c r="AE29" i="60"/>
  <c r="AW29" i="60"/>
  <c r="AY29" i="60" s="1"/>
  <c r="Y29" i="60"/>
  <c r="AQ29" i="60"/>
  <c r="AS29" i="60" s="1"/>
  <c r="P47" i="26"/>
  <c r="F47" i="60" s="1"/>
  <c r="C852" i="62"/>
  <c r="AF47" i="26"/>
  <c r="P43" i="26"/>
  <c r="F43" i="60" s="1"/>
  <c r="AK29" i="60"/>
  <c r="AM29" i="60" s="1"/>
  <c r="G14" i="60"/>
  <c r="H14" i="60" s="1"/>
  <c r="I14" i="60"/>
  <c r="K14" i="60"/>
  <c r="M14" i="60"/>
  <c r="O14" i="60" s="1"/>
  <c r="M29" i="60"/>
  <c r="O29" i="60" s="1"/>
  <c r="G29" i="60"/>
  <c r="H29" i="60" s="1"/>
  <c r="C873" i="62"/>
  <c r="P48" i="26"/>
  <c r="F48" i="60" s="1"/>
  <c r="C243" i="62"/>
  <c r="C306" i="62"/>
  <c r="I42" i="60"/>
  <c r="BJ42" i="60"/>
  <c r="Y42" i="26" s="1"/>
  <c r="F747" i="62" s="1"/>
  <c r="C12" i="62"/>
  <c r="AF7" i="26"/>
  <c r="G42" i="60"/>
  <c r="H42" i="60" s="1"/>
  <c r="C747" i="62"/>
  <c r="C96" i="62"/>
  <c r="P11" i="26"/>
  <c r="F11" i="60" s="1"/>
  <c r="K22" i="60"/>
  <c r="C264" i="62"/>
  <c r="P19" i="26"/>
  <c r="F19" i="60" s="1"/>
  <c r="AS50" i="60"/>
  <c r="AC50" i="60"/>
  <c r="V50" i="60"/>
  <c r="AE50" i="60"/>
  <c r="H50" i="26"/>
  <c r="Y50" i="60"/>
  <c r="AK50" i="60"/>
  <c r="AM50" i="60" s="1"/>
  <c r="AT50" i="60"/>
  <c r="AB50" i="60"/>
  <c r="AH50" i="60"/>
  <c r="AJ50" i="60" s="1"/>
  <c r="AW50" i="60"/>
  <c r="AY50" i="60" s="1"/>
  <c r="H29" i="26"/>
  <c r="AF50" i="60"/>
  <c r="AU50" i="60"/>
  <c r="W50" i="60"/>
  <c r="Z50" i="60"/>
  <c r="AU29" i="60"/>
  <c r="Z29" i="60"/>
  <c r="W29" i="60"/>
  <c r="AF29" i="60"/>
  <c r="AC12" i="60"/>
  <c r="W12" i="60"/>
  <c r="Z12" i="60"/>
  <c r="Z10" i="60"/>
  <c r="AF10" i="60"/>
  <c r="AU10" i="60"/>
  <c r="W10" i="60"/>
  <c r="AF13" i="60" l="1"/>
  <c r="AU13" i="60"/>
  <c r="BA13" i="60" s="1"/>
  <c r="AU28" i="60"/>
  <c r="BA28" i="60" s="1"/>
  <c r="AC13" i="60"/>
  <c r="AD13" i="60" s="1"/>
  <c r="AH13" i="60"/>
  <c r="AJ13" i="60" s="1"/>
  <c r="Z28" i="60"/>
  <c r="W28" i="60"/>
  <c r="AQ13" i="60"/>
  <c r="AS13" i="60" s="1"/>
  <c r="Y13" i="60"/>
  <c r="W13" i="60"/>
  <c r="AF48" i="60"/>
  <c r="AG48" i="60" s="1"/>
  <c r="AT13" i="60"/>
  <c r="AV13" i="60" s="1"/>
  <c r="AB28" i="60"/>
  <c r="AD28" i="60" s="1"/>
  <c r="AE13" i="60"/>
  <c r="H13" i="26"/>
  <c r="AF43" i="60"/>
  <c r="V41" i="60"/>
  <c r="AB43" i="60"/>
  <c r="AK35" i="60"/>
  <c r="AM35" i="60" s="1"/>
  <c r="V19" i="60"/>
  <c r="AH43" i="60"/>
  <c r="AJ43" i="60" s="1"/>
  <c r="AQ19" i="60"/>
  <c r="AS19" i="60" s="1"/>
  <c r="AC19" i="60"/>
  <c r="Z13" i="60"/>
  <c r="AB14" i="60"/>
  <c r="H19" i="26"/>
  <c r="AW13" i="60"/>
  <c r="AY13" i="60" s="1"/>
  <c r="AK13" i="60"/>
  <c r="AM13" i="60" s="1"/>
  <c r="V13" i="60"/>
  <c r="Z35" i="60"/>
  <c r="H35" i="26"/>
  <c r="AK14" i="60"/>
  <c r="AM14" i="60" s="1"/>
  <c r="V35" i="60"/>
  <c r="AT19" i="60"/>
  <c r="AT43" i="60"/>
  <c r="AB19" i="60"/>
  <c r="AK19" i="60"/>
  <c r="AM19" i="60" s="1"/>
  <c r="AU43" i="60"/>
  <c r="BA43" i="60" s="1"/>
  <c r="AW43" i="60"/>
  <c r="AY43" i="60" s="1"/>
  <c r="AH14" i="60"/>
  <c r="AJ14" i="60" s="1"/>
  <c r="Y35" i="60"/>
  <c r="V43" i="60"/>
  <c r="AC43" i="60"/>
  <c r="AH19" i="60"/>
  <c r="AJ19" i="60" s="1"/>
  <c r="AU41" i="60"/>
  <c r="BA41" i="60" s="1"/>
  <c r="AU42" i="60"/>
  <c r="BA42" i="60" s="1"/>
  <c r="AK42" i="60"/>
  <c r="AM42" i="60" s="1"/>
  <c r="H41" i="26"/>
  <c r="AQ22" i="60"/>
  <c r="AS22" i="60" s="1"/>
  <c r="AH22" i="60"/>
  <c r="AJ22" i="60" s="1"/>
  <c r="AQ42" i="60"/>
  <c r="AS42" i="60" s="1"/>
  <c r="W22" i="60"/>
  <c r="AF42" i="60"/>
  <c r="AE42" i="60"/>
  <c r="AE41" i="60"/>
  <c r="AQ41" i="60"/>
  <c r="AS41" i="60" s="1"/>
  <c r="Y42" i="60"/>
  <c r="Z41" i="60"/>
  <c r="Z42" i="60"/>
  <c r="Z43" i="60"/>
  <c r="AU22" i="60"/>
  <c r="BA22" i="60" s="1"/>
  <c r="AT42" i="60"/>
  <c r="AV42" i="60" s="1"/>
  <c r="AE14" i="60"/>
  <c r="H14" i="26"/>
  <c r="AW35" i="60"/>
  <c r="AY35" i="60" s="1"/>
  <c r="AH41" i="60"/>
  <c r="AJ41" i="60" s="1"/>
  <c r="AT41" i="60"/>
  <c r="AB41" i="60"/>
  <c r="AD41" i="60" s="1"/>
  <c r="AT22" i="60"/>
  <c r="AV22" i="60" s="1"/>
  <c r="Y22" i="60"/>
  <c r="AA22" i="60" s="1"/>
  <c r="AH42" i="60"/>
  <c r="AJ42" i="60" s="1"/>
  <c r="AQ43" i="60"/>
  <c r="AS43" i="60" s="1"/>
  <c r="Y43" i="60"/>
  <c r="AK40" i="60"/>
  <c r="AM40" i="60" s="1"/>
  <c r="H22" i="26"/>
  <c r="AF41" i="60"/>
  <c r="AC42" i="60"/>
  <c r="Y41" i="60"/>
  <c r="AA41" i="60" s="1"/>
  <c r="Z19" i="60"/>
  <c r="AC22" i="60"/>
  <c r="W19" i="60"/>
  <c r="Z14" i="60"/>
  <c r="W35" i="60"/>
  <c r="W41" i="60"/>
  <c r="W42" i="60"/>
  <c r="X42" i="60" s="1"/>
  <c r="W43" i="60"/>
  <c r="H43" i="26"/>
  <c r="H42" i="26"/>
  <c r="AW14" i="60"/>
  <c r="AY14" i="60" s="1"/>
  <c r="AQ35" i="60"/>
  <c r="AS35" i="60" s="1"/>
  <c r="AW41" i="60"/>
  <c r="AY41" i="60" s="1"/>
  <c r="AK41" i="60"/>
  <c r="AM41" i="60" s="1"/>
  <c r="AK22" i="60"/>
  <c r="AM22" i="60" s="1"/>
  <c r="AW19" i="60"/>
  <c r="AY19" i="60" s="1"/>
  <c r="AW42" i="60"/>
  <c r="AY42" i="60" s="1"/>
  <c r="AB42" i="60"/>
  <c r="AE43" i="60"/>
  <c r="V40" i="60"/>
  <c r="AU40" i="60"/>
  <c r="BA40" i="60" s="1"/>
  <c r="AF40" i="60"/>
  <c r="W14" i="60"/>
  <c r="AB40" i="60"/>
  <c r="P45" i="26"/>
  <c r="F45" i="60" s="1"/>
  <c r="M45" i="60" s="1"/>
  <c r="O45" i="60" s="1"/>
  <c r="AC35" i="60"/>
  <c r="AQ28" i="60"/>
  <c r="AS28" i="60" s="1"/>
  <c r="Y14" i="60"/>
  <c r="AA14" i="60" s="1"/>
  <c r="AK48" i="60"/>
  <c r="AM48" i="60" s="1"/>
  <c r="AE19" i="60"/>
  <c r="AG19" i="60" s="1"/>
  <c r="H28" i="26"/>
  <c r="Y19" i="60"/>
  <c r="AW22" i="60"/>
  <c r="AY22" i="60" s="1"/>
  <c r="C642" i="62"/>
  <c r="AC14" i="60"/>
  <c r="AD14" i="60" s="1"/>
  <c r="AW40" i="60"/>
  <c r="AF14" i="60"/>
  <c r="AE40" i="60"/>
  <c r="AG40" i="60" s="1"/>
  <c r="AC40" i="60"/>
  <c r="AQ48" i="60"/>
  <c r="AS48" i="60" s="1"/>
  <c r="Y48" i="60"/>
  <c r="AT14" i="60"/>
  <c r="AB48" i="60"/>
  <c r="V48" i="60"/>
  <c r="AK28" i="60"/>
  <c r="AM28" i="60" s="1"/>
  <c r="AH28" i="60"/>
  <c r="AJ28" i="60" s="1"/>
  <c r="AF22" i="60"/>
  <c r="AE35" i="60"/>
  <c r="AG35" i="60" s="1"/>
  <c r="AF28" i="60"/>
  <c r="Z48" i="60"/>
  <c r="AC48" i="60"/>
  <c r="AB35" i="60"/>
  <c r="K29" i="60"/>
  <c r="Y28" i="60"/>
  <c r="M30" i="60"/>
  <c r="O30" i="60" s="1"/>
  <c r="AE28" i="60"/>
  <c r="AW48" i="60"/>
  <c r="AY48" i="60" s="1"/>
  <c r="AU14" i="60"/>
  <c r="BA14" i="60" s="1"/>
  <c r="BG14" i="60" s="1"/>
  <c r="AE22" i="60"/>
  <c r="AG22" i="60" s="1"/>
  <c r="BJ29" i="60"/>
  <c r="Y29" i="26" s="1"/>
  <c r="F474" i="62" s="1"/>
  <c r="V28" i="60"/>
  <c r="X28" i="60" s="1"/>
  <c r="AU19" i="60"/>
  <c r="BA19" i="60" s="1"/>
  <c r="AH35" i="60"/>
  <c r="AJ35" i="60" s="1"/>
  <c r="AT28" i="60"/>
  <c r="W48" i="60"/>
  <c r="AT35" i="60"/>
  <c r="AH48" i="60"/>
  <c r="AJ48" i="60" s="1"/>
  <c r="AF43" i="26"/>
  <c r="AW28" i="60"/>
  <c r="AY28" i="60" s="1"/>
  <c r="Z40" i="60"/>
  <c r="W40" i="60"/>
  <c r="AH40" i="60"/>
  <c r="AJ40" i="60" s="1"/>
  <c r="H40" i="26"/>
  <c r="Y40" i="60"/>
  <c r="AA40" i="60" s="1"/>
  <c r="AT48" i="60"/>
  <c r="H48" i="26"/>
  <c r="P31" i="26"/>
  <c r="F31" i="60" s="1"/>
  <c r="K31" i="60" s="1"/>
  <c r="V22" i="60"/>
  <c r="C810" i="62"/>
  <c r="AU35" i="60"/>
  <c r="BA35" i="60" s="1"/>
  <c r="AU48" i="60"/>
  <c r="BA48" i="60" s="1"/>
  <c r="V14" i="60"/>
  <c r="AB22" i="60"/>
  <c r="AT40" i="60"/>
  <c r="C285" i="62"/>
  <c r="I25" i="60"/>
  <c r="AK47" i="60"/>
  <c r="AM47" i="60" s="1"/>
  <c r="AW9" i="60"/>
  <c r="AY9" i="60" s="1"/>
  <c r="Z15" i="60"/>
  <c r="AW47" i="60"/>
  <c r="AY47" i="60" s="1"/>
  <c r="AF9" i="60"/>
  <c r="Z39" i="60"/>
  <c r="AE9" i="60"/>
  <c r="AC9" i="60"/>
  <c r="AB9" i="60"/>
  <c r="AH9" i="60"/>
  <c r="AJ9" i="60" s="1"/>
  <c r="Z9" i="60"/>
  <c r="AU9" i="60"/>
  <c r="BA9" i="60" s="1"/>
  <c r="Y9" i="60"/>
  <c r="H9" i="26"/>
  <c r="AQ9" i="60"/>
  <c r="AS9" i="60" s="1"/>
  <c r="AT9" i="60"/>
  <c r="V9" i="60"/>
  <c r="X9" i="60" s="1"/>
  <c r="AK9" i="60"/>
  <c r="AM9" i="60" s="1"/>
  <c r="W47" i="60"/>
  <c r="AT47" i="60"/>
  <c r="AC47" i="60"/>
  <c r="AD47" i="60" s="1"/>
  <c r="AC15" i="60"/>
  <c r="AU15" i="60"/>
  <c r="BA15" i="60" s="1"/>
  <c r="Z47" i="60"/>
  <c r="AU47" i="60"/>
  <c r="BA47" i="60" s="1"/>
  <c r="V47" i="60"/>
  <c r="AH47" i="60"/>
  <c r="AJ47" i="60" s="1"/>
  <c r="AE47" i="60"/>
  <c r="AH15" i="60"/>
  <c r="AJ15" i="60" s="1"/>
  <c r="AB15" i="60"/>
  <c r="H15" i="26"/>
  <c r="AQ15" i="60"/>
  <c r="AS15" i="60" s="1"/>
  <c r="AW15" i="60"/>
  <c r="AY15" i="60" s="1"/>
  <c r="AF47" i="60"/>
  <c r="AQ47" i="60"/>
  <c r="AS47" i="60" s="1"/>
  <c r="H47" i="26"/>
  <c r="AE15" i="60"/>
  <c r="AG15" i="60" s="1"/>
  <c r="AK15" i="60"/>
  <c r="AM15" i="60" s="1"/>
  <c r="W15" i="60"/>
  <c r="Y47" i="60"/>
  <c r="AT15" i="60"/>
  <c r="Y15" i="60"/>
  <c r="AT39" i="60"/>
  <c r="AB39" i="60"/>
  <c r="W39" i="60"/>
  <c r="AK39" i="60"/>
  <c r="AM39" i="60" s="1"/>
  <c r="V15" i="60"/>
  <c r="AU39" i="60"/>
  <c r="AH39" i="60"/>
  <c r="AJ39" i="60" s="1"/>
  <c r="AQ39" i="60"/>
  <c r="AS39" i="60" s="1"/>
  <c r="AW39" i="60"/>
  <c r="AY39" i="60" s="1"/>
  <c r="AF39" i="60"/>
  <c r="H39" i="26"/>
  <c r="P15" i="26"/>
  <c r="F15" i="60" s="1"/>
  <c r="K15" i="60" s="1"/>
  <c r="AF20" i="26"/>
  <c r="Y39" i="60"/>
  <c r="AE39" i="60"/>
  <c r="AF15" i="26"/>
  <c r="AC39" i="60"/>
  <c r="AF39" i="26"/>
  <c r="C516" i="62"/>
  <c r="F119" i="62"/>
  <c r="W52" i="26"/>
  <c r="P39" i="26"/>
  <c r="F39" i="60" s="1"/>
  <c r="G39" i="60" s="1"/>
  <c r="H39" i="60" s="1"/>
  <c r="I45" i="60"/>
  <c r="G13" i="60"/>
  <c r="H13" i="60" s="1"/>
  <c r="J13" i="60" s="1"/>
  <c r="BJ13" i="60"/>
  <c r="Y13" i="26" s="1"/>
  <c r="F138" i="62" s="1"/>
  <c r="M18" i="60"/>
  <c r="O18" i="60" s="1"/>
  <c r="M36" i="60"/>
  <c r="O36" i="60" s="1"/>
  <c r="BJ10" i="60"/>
  <c r="Y10" i="26" s="1"/>
  <c r="F75" i="62" s="1"/>
  <c r="G37" i="60"/>
  <c r="H37" i="60" s="1"/>
  <c r="J37" i="60" s="1"/>
  <c r="AE17" i="60"/>
  <c r="AC23" i="60"/>
  <c r="K13" i="60"/>
  <c r="M13" i="60"/>
  <c r="O13" i="60" s="1"/>
  <c r="G10" i="60"/>
  <c r="H10" i="60" s="1"/>
  <c r="K25" i="60"/>
  <c r="K37" i="60"/>
  <c r="K20" i="60"/>
  <c r="BJ12" i="60"/>
  <c r="Y12" i="26" s="1"/>
  <c r="F117" i="62" s="1"/>
  <c r="I20" i="60"/>
  <c r="J20" i="60" s="1"/>
  <c r="I10" i="60"/>
  <c r="M20" i="60"/>
  <c r="O20" i="60" s="1"/>
  <c r="Y16" i="60"/>
  <c r="C600" i="62"/>
  <c r="M25" i="60"/>
  <c r="O25" i="60" s="1"/>
  <c r="M37" i="60"/>
  <c r="O37" i="60" s="1"/>
  <c r="AH34" i="60"/>
  <c r="AJ34" i="60" s="1"/>
  <c r="BJ49" i="60"/>
  <c r="Y49" i="26" s="1"/>
  <c r="F894" i="62" s="1"/>
  <c r="P32" i="26"/>
  <c r="F32" i="60" s="1"/>
  <c r="M32" i="60" s="1"/>
  <c r="O32" i="60" s="1"/>
  <c r="BJ20" i="60"/>
  <c r="Y20" i="26" s="1"/>
  <c r="F285" i="62" s="1"/>
  <c r="P9" i="26"/>
  <c r="F9" i="60" s="1"/>
  <c r="AH38" i="60"/>
  <c r="AJ38" i="60" s="1"/>
  <c r="AH21" i="60"/>
  <c r="AJ21" i="60" s="1"/>
  <c r="AF44" i="60"/>
  <c r="AT20" i="60"/>
  <c r="W38" i="60"/>
  <c r="X38" i="60" s="1"/>
  <c r="W20" i="60"/>
  <c r="V44" i="60"/>
  <c r="AC21" i="60"/>
  <c r="AK27" i="60"/>
  <c r="AM27" i="60" s="1"/>
  <c r="AB45" i="60"/>
  <c r="AH18" i="60"/>
  <c r="AJ18" i="60" s="1"/>
  <c r="AT45" i="60"/>
  <c r="Y18" i="60"/>
  <c r="W18" i="60"/>
  <c r="AC27" i="60"/>
  <c r="AK44" i="60"/>
  <c r="AM44" i="60" s="1"/>
  <c r="AC38" i="60"/>
  <c r="AU38" i="60"/>
  <c r="BA38" i="60" s="1"/>
  <c r="Z38" i="60"/>
  <c r="Z45" i="60"/>
  <c r="AH45" i="60"/>
  <c r="AJ45" i="60" s="1"/>
  <c r="AF18" i="60"/>
  <c r="Z27" i="60"/>
  <c r="AQ44" i="60"/>
  <c r="AS44" i="60" s="1"/>
  <c r="H44" i="26"/>
  <c r="AW38" i="60"/>
  <c r="AY38" i="60" s="1"/>
  <c r="AU20" i="60"/>
  <c r="BA20" i="60" s="1"/>
  <c r="BG20" i="60" s="1"/>
  <c r="AE45" i="60"/>
  <c r="AW45" i="60"/>
  <c r="AY45" i="60" s="1"/>
  <c r="Y20" i="60"/>
  <c r="AF21" i="60"/>
  <c r="AE38" i="60"/>
  <c r="AB21" i="60"/>
  <c r="AQ21" i="60"/>
  <c r="AS21" i="60" s="1"/>
  <c r="AE18" i="60"/>
  <c r="AB18" i="60"/>
  <c r="Z18" i="60"/>
  <c r="AF20" i="60"/>
  <c r="Z44" i="60"/>
  <c r="AU45" i="60"/>
  <c r="BA45" i="60" s="1"/>
  <c r="AK18" i="60"/>
  <c r="AM18" i="60" s="1"/>
  <c r="AH27" i="60"/>
  <c r="AJ27" i="60" s="1"/>
  <c r="AW27" i="60"/>
  <c r="AY27" i="60" s="1"/>
  <c r="AT44" i="60"/>
  <c r="AK38" i="60"/>
  <c r="H45" i="26"/>
  <c r="AC45" i="60"/>
  <c r="AB38" i="60"/>
  <c r="Z20" i="60"/>
  <c r="V21" i="60"/>
  <c r="AU44" i="60"/>
  <c r="AF45" i="60"/>
  <c r="H20" i="26"/>
  <c r="AQ18" i="60"/>
  <c r="AS18" i="60" s="1"/>
  <c r="AE27" i="60"/>
  <c r="H27" i="26"/>
  <c r="AW44" i="60"/>
  <c r="AY44" i="60" s="1"/>
  <c r="AC44" i="60"/>
  <c r="AT38" i="60"/>
  <c r="AK45" i="60"/>
  <c r="AM45" i="60" s="1"/>
  <c r="Y45" i="60"/>
  <c r="H38" i="26"/>
  <c r="Y38" i="60"/>
  <c r="AK20" i="60"/>
  <c r="AM20" i="60" s="1"/>
  <c r="AE21" i="60"/>
  <c r="AT21" i="60"/>
  <c r="AV21" i="60" s="1"/>
  <c r="AT18" i="60"/>
  <c r="K12" i="60"/>
  <c r="M21" i="60"/>
  <c r="O21" i="60" s="1"/>
  <c r="BJ30" i="60"/>
  <c r="Y30" i="26" s="1"/>
  <c r="F495" i="62" s="1"/>
  <c r="G45" i="60"/>
  <c r="H45" i="60" s="1"/>
  <c r="BJ21" i="60"/>
  <c r="Y21" i="26" s="1"/>
  <c r="F306" i="62" s="1"/>
  <c r="C537" i="62"/>
  <c r="C432" i="62"/>
  <c r="P41" i="26"/>
  <c r="F41" i="60" s="1"/>
  <c r="I41" i="60" s="1"/>
  <c r="BJ32" i="60"/>
  <c r="Y32" i="26" s="1"/>
  <c r="F537" i="62" s="1"/>
  <c r="K21" i="60"/>
  <c r="I12" i="60"/>
  <c r="K30" i="60"/>
  <c r="G30" i="60"/>
  <c r="H30" i="60" s="1"/>
  <c r="J30" i="60" s="1"/>
  <c r="K45" i="60"/>
  <c r="C54" i="62"/>
  <c r="P27" i="26"/>
  <c r="F27" i="60" s="1"/>
  <c r="G27" i="60" s="1"/>
  <c r="H27" i="60" s="1"/>
  <c r="C726" i="62"/>
  <c r="I21" i="60"/>
  <c r="J21" i="60" s="1"/>
  <c r="G12" i="60"/>
  <c r="H12" i="60" s="1"/>
  <c r="BJ45" i="60"/>
  <c r="Y45" i="26" s="1"/>
  <c r="F810" i="62" s="1"/>
  <c r="M52" i="26"/>
  <c r="K26" i="60"/>
  <c r="I39" i="60"/>
  <c r="I49" i="60"/>
  <c r="BJ18" i="60"/>
  <c r="Y18" i="26" s="1"/>
  <c r="F243" i="62" s="1"/>
  <c r="I18" i="60"/>
  <c r="J18" i="60" s="1"/>
  <c r="G26" i="60"/>
  <c r="H26" i="60" s="1"/>
  <c r="J26" i="60" s="1"/>
  <c r="K18" i="60"/>
  <c r="J22" i="60"/>
  <c r="L22" i="60" s="1"/>
  <c r="T22" i="26" s="1"/>
  <c r="U22" i="26" s="1"/>
  <c r="I38" i="60"/>
  <c r="J38" i="60" s="1"/>
  <c r="AF51" i="60"/>
  <c r="AK51" i="60"/>
  <c r="AM51" i="60" s="1"/>
  <c r="AF23" i="60"/>
  <c r="AB36" i="60"/>
  <c r="AC51" i="60"/>
  <c r="Y17" i="60"/>
  <c r="AW34" i="60"/>
  <c r="AY34" i="60" s="1"/>
  <c r="AC16" i="60"/>
  <c r="Z34" i="60"/>
  <c r="AQ36" i="60"/>
  <c r="AS36" i="60" s="1"/>
  <c r="V17" i="60"/>
  <c r="AC11" i="60"/>
  <c r="AB30" i="60"/>
  <c r="Z32" i="60"/>
  <c r="AW33" i="60"/>
  <c r="AY33" i="60" s="1"/>
  <c r="Y33" i="60"/>
  <c r="Y11" i="60"/>
  <c r="AU24" i="60"/>
  <c r="BA24" i="60" s="1"/>
  <c r="AU8" i="60"/>
  <c r="BA8" i="60" s="1"/>
  <c r="BG8" i="60" s="1"/>
  <c r="AF26" i="60"/>
  <c r="AE49" i="60"/>
  <c r="H8" i="26"/>
  <c r="AB25" i="60"/>
  <c r="AU33" i="60"/>
  <c r="BA33" i="60" s="1"/>
  <c r="AT33" i="60"/>
  <c r="AT8" i="60"/>
  <c r="AB11" i="60"/>
  <c r="W34" i="60"/>
  <c r="AK30" i="60"/>
  <c r="AM30" i="60" s="1"/>
  <c r="AW37" i="60"/>
  <c r="AY37" i="60" s="1"/>
  <c r="AT36" i="60"/>
  <c r="AK46" i="60"/>
  <c r="AM46" i="60" s="1"/>
  <c r="AQ51" i="60"/>
  <c r="AS51" i="60" s="1"/>
  <c r="AQ17" i="60"/>
  <c r="AS17" i="60" s="1"/>
  <c r="AK23" i="60"/>
  <c r="AM23" i="60" s="1"/>
  <c r="AQ33" i="60"/>
  <c r="AS33" i="60" s="1"/>
  <c r="AH16" i="60"/>
  <c r="AJ16" i="60" s="1"/>
  <c r="AE26" i="60"/>
  <c r="W46" i="60"/>
  <c r="AK24" i="60"/>
  <c r="AM24" i="60" s="1"/>
  <c r="Y8" i="60"/>
  <c r="AF31" i="60"/>
  <c r="AH49" i="60"/>
  <c r="AJ49" i="60" s="1"/>
  <c r="AC25" i="60"/>
  <c r="AT26" i="60"/>
  <c r="Z25" i="60"/>
  <c r="Z33" i="60"/>
  <c r="W49" i="60"/>
  <c r="AE24" i="60"/>
  <c r="AH30" i="60"/>
  <c r="AJ30" i="60" s="1"/>
  <c r="AE33" i="60"/>
  <c r="AC49" i="60"/>
  <c r="AH32" i="60"/>
  <c r="AJ32" i="60" s="1"/>
  <c r="V32" i="60"/>
  <c r="AT31" i="60"/>
  <c r="AQ11" i="60"/>
  <c r="AS11" i="60" s="1"/>
  <c r="AH11" i="60"/>
  <c r="AJ11" i="60" s="1"/>
  <c r="AT11" i="60"/>
  <c r="V11" i="60"/>
  <c r="AT30" i="60"/>
  <c r="W31" i="60"/>
  <c r="H49" i="26"/>
  <c r="V30" i="60"/>
  <c r="AB33" i="60"/>
  <c r="AW46" i="60"/>
  <c r="AY46" i="60" s="1"/>
  <c r="H32" i="26"/>
  <c r="AK32" i="60"/>
  <c r="AM32" i="60" s="1"/>
  <c r="Y32" i="60"/>
  <c r="AQ16" i="60"/>
  <c r="AS16" i="60" s="1"/>
  <c r="AQ25" i="60"/>
  <c r="AS25" i="60" s="1"/>
  <c r="AB23" i="60"/>
  <c r="H31" i="26"/>
  <c r="AT51" i="60"/>
  <c r="AK11" i="60"/>
  <c r="AM11" i="60" s="1"/>
  <c r="AH26" i="60"/>
  <c r="AJ26" i="60" s="1"/>
  <c r="AU25" i="60"/>
  <c r="BA25" i="60" s="1"/>
  <c r="AU46" i="60"/>
  <c r="BA46" i="60" s="1"/>
  <c r="AC8" i="60"/>
  <c r="Z8" i="60"/>
  <c r="V46" i="60"/>
  <c r="AH46" i="60"/>
  <c r="AJ46" i="60" s="1"/>
  <c r="V49" i="60"/>
  <c r="AE25" i="60"/>
  <c r="AK31" i="60"/>
  <c r="AM31" i="60" s="1"/>
  <c r="H26" i="26"/>
  <c r="Z11" i="60"/>
  <c r="AU32" i="60"/>
  <c r="BA32" i="60" s="1"/>
  <c r="AU11" i="60"/>
  <c r="BA11" i="60" s="1"/>
  <c r="W26" i="60"/>
  <c r="W30" i="60"/>
  <c r="AF46" i="60"/>
  <c r="AF49" i="60"/>
  <c r="AG50" i="60"/>
  <c r="AU26" i="60"/>
  <c r="BA26" i="60" s="1"/>
  <c r="AB49" i="60"/>
  <c r="AB24" i="60"/>
  <c r="AC24" i="60"/>
  <c r="H30" i="26"/>
  <c r="AF30" i="60"/>
  <c r="Z30" i="60"/>
  <c r="AH33" i="60"/>
  <c r="AJ33" i="60" s="1"/>
  <c r="AC33" i="60"/>
  <c r="AH8" i="60"/>
  <c r="AJ8" i="60" s="1"/>
  <c r="AW8" i="60"/>
  <c r="AY8" i="60" s="1"/>
  <c r="W8" i="60"/>
  <c r="X8" i="60" s="1"/>
  <c r="AE46" i="60"/>
  <c r="AT46" i="60"/>
  <c r="Z26" i="60"/>
  <c r="W32" i="60"/>
  <c r="AQ49" i="60"/>
  <c r="AS49" i="60" s="1"/>
  <c r="AT49" i="60"/>
  <c r="V24" i="60"/>
  <c r="H25" i="26"/>
  <c r="Y25" i="60"/>
  <c r="V33" i="60"/>
  <c r="AW31" i="60"/>
  <c r="AY31" i="60" s="1"/>
  <c r="AW32" i="60"/>
  <c r="AY32" i="60" s="1"/>
  <c r="AQ32" i="60"/>
  <c r="AS32" i="60" s="1"/>
  <c r="AE32" i="60"/>
  <c r="AT32" i="60"/>
  <c r="AE11" i="60"/>
  <c r="AG11" i="60" s="1"/>
  <c r="AH31" i="60"/>
  <c r="AJ31" i="60" s="1"/>
  <c r="AE30" i="60"/>
  <c r="AB26" i="60"/>
  <c r="AD26" i="60" s="1"/>
  <c r="AK26" i="60"/>
  <c r="AM26" i="60" s="1"/>
  <c r="AQ26" i="60"/>
  <c r="AS26" i="60" s="1"/>
  <c r="AF25" i="60"/>
  <c r="W25" i="60"/>
  <c r="AU49" i="60"/>
  <c r="BA49" i="60" s="1"/>
  <c r="AT24" i="60"/>
  <c r="W24" i="60"/>
  <c r="AQ8" i="60"/>
  <c r="AS8" i="60" s="1"/>
  <c r="Z31" i="60"/>
  <c r="AW49" i="60"/>
  <c r="AY49" i="60" s="1"/>
  <c r="AW25" i="60"/>
  <c r="AY25" i="60" s="1"/>
  <c r="AE31" i="60"/>
  <c r="V31" i="60"/>
  <c r="Y46" i="60"/>
  <c r="Y26" i="60"/>
  <c r="AF8" i="60"/>
  <c r="AF33" i="60"/>
  <c r="W11" i="60"/>
  <c r="Z24" i="60"/>
  <c r="W33" i="60"/>
  <c r="AF24" i="60"/>
  <c r="AF32" i="60"/>
  <c r="Z46" i="60"/>
  <c r="Z49" i="60"/>
  <c r="AK8" i="60"/>
  <c r="AM8" i="60" s="1"/>
  <c r="Y24" i="60"/>
  <c r="AU30" i="60"/>
  <c r="BA30" i="60" s="1"/>
  <c r="BG30" i="60" s="1"/>
  <c r="Y30" i="60"/>
  <c r="AC30" i="60"/>
  <c r="H33" i="26"/>
  <c r="AE8" i="60"/>
  <c r="AB8" i="60"/>
  <c r="H46" i="26"/>
  <c r="AC46" i="60"/>
  <c r="AU31" i="60"/>
  <c r="BA31" i="60" s="1"/>
  <c r="Y49" i="60"/>
  <c r="V25" i="60"/>
  <c r="AH25" i="60"/>
  <c r="AJ25" i="60" s="1"/>
  <c r="AT25" i="60"/>
  <c r="AB31" i="60"/>
  <c r="AD31" i="60" s="1"/>
  <c r="AQ31" i="60"/>
  <c r="AS31" i="60" s="1"/>
  <c r="Y31" i="60"/>
  <c r="AB32" i="60"/>
  <c r="AD32" i="60" s="1"/>
  <c r="AW11" i="60"/>
  <c r="AY11" i="60" s="1"/>
  <c r="H11" i="26"/>
  <c r="AB46" i="60"/>
  <c r="AW26" i="60"/>
  <c r="AY26" i="60" s="1"/>
  <c r="V26" i="60"/>
  <c r="AQ30" i="60"/>
  <c r="AS30" i="60" s="1"/>
  <c r="AQ24" i="60"/>
  <c r="AS24" i="60" s="1"/>
  <c r="H24" i="26"/>
  <c r="AH24" i="60"/>
  <c r="AJ24" i="60" s="1"/>
  <c r="AH37" i="60"/>
  <c r="AJ37" i="60" s="1"/>
  <c r="G15" i="60"/>
  <c r="H15" i="60" s="1"/>
  <c r="C789" i="62"/>
  <c r="P44" i="26"/>
  <c r="F44" i="60" s="1"/>
  <c r="AF44" i="26"/>
  <c r="P8" i="26"/>
  <c r="F8" i="60" s="1"/>
  <c r="AF8" i="26"/>
  <c r="C936" i="62"/>
  <c r="AF51" i="26"/>
  <c r="P51" i="26"/>
  <c r="F51" i="60" s="1"/>
  <c r="Z16" i="60"/>
  <c r="AU37" i="60"/>
  <c r="BA37" i="60" s="1"/>
  <c r="AC20" i="60"/>
  <c r="AD20" i="60" s="1"/>
  <c r="AC18" i="60"/>
  <c r="W37" i="60"/>
  <c r="W17" i="60"/>
  <c r="W21" i="60"/>
  <c r="Z36" i="60"/>
  <c r="W44" i="60"/>
  <c r="W45" i="60"/>
  <c r="X45" i="60" s="1"/>
  <c r="W51" i="60"/>
  <c r="AU18" i="60"/>
  <c r="BA18" i="60" s="1"/>
  <c r="BG18" i="60" s="1"/>
  <c r="AF27" i="60"/>
  <c r="W27" i="60"/>
  <c r="V37" i="60"/>
  <c r="AK37" i="60"/>
  <c r="AM37" i="60" s="1"/>
  <c r="AC36" i="60"/>
  <c r="AE36" i="60"/>
  <c r="AE44" i="60"/>
  <c r="AB44" i="60"/>
  <c r="AQ38" i="60"/>
  <c r="AS38" i="60" s="1"/>
  <c r="AF38" i="60"/>
  <c r="Z21" i="60"/>
  <c r="AQ45" i="60"/>
  <c r="AS45" i="60" s="1"/>
  <c r="K36" i="60"/>
  <c r="Y44" i="60"/>
  <c r="P35" i="26"/>
  <c r="F35" i="60" s="1"/>
  <c r="K35" i="60" s="1"/>
  <c r="M10" i="60"/>
  <c r="O10" i="60" s="1"/>
  <c r="G25" i="60"/>
  <c r="H25" i="60" s="1"/>
  <c r="AK17" i="60"/>
  <c r="AM17" i="60" s="1"/>
  <c r="AU17" i="60"/>
  <c r="BA17" i="60" s="1"/>
  <c r="BG17" i="60" s="1"/>
  <c r="M38" i="60"/>
  <c r="O38" i="60" s="1"/>
  <c r="AH20" i="60"/>
  <c r="AJ20" i="60" s="1"/>
  <c r="AW20" i="60"/>
  <c r="AY20" i="60" s="1"/>
  <c r="AT23" i="60"/>
  <c r="Y23" i="60"/>
  <c r="AH23" i="60"/>
  <c r="AJ23" i="60" s="1"/>
  <c r="BJ37" i="60"/>
  <c r="Y37" i="26" s="1"/>
  <c r="F642" i="62" s="1"/>
  <c r="V27" i="60"/>
  <c r="AE51" i="60"/>
  <c r="AW16" i="60"/>
  <c r="AY16" i="60" s="1"/>
  <c r="AQ27" i="60"/>
  <c r="AS27" i="60" s="1"/>
  <c r="V51" i="60"/>
  <c r="AB16" i="60"/>
  <c r="AF34" i="60"/>
  <c r="AW21" i="60"/>
  <c r="AY21" i="60" s="1"/>
  <c r="H37" i="26"/>
  <c r="AB37" i="60"/>
  <c r="V23" i="60"/>
  <c r="AK34" i="60"/>
  <c r="AM34" i="60" s="1"/>
  <c r="AT34" i="60"/>
  <c r="V34" i="60"/>
  <c r="AE34" i="60"/>
  <c r="C705" i="62"/>
  <c r="P40" i="26"/>
  <c r="F40" i="60" s="1"/>
  <c r="AF40" i="26"/>
  <c r="P46" i="26"/>
  <c r="F46" i="60" s="1"/>
  <c r="AF46" i="26"/>
  <c r="C831" i="62"/>
  <c r="K39" i="60"/>
  <c r="M39" i="60"/>
  <c r="O39" i="60" s="1"/>
  <c r="M26" i="60"/>
  <c r="O26" i="60" s="1"/>
  <c r="BJ26" i="60"/>
  <c r="Y26" i="26" s="1"/>
  <c r="F411" i="62" s="1"/>
  <c r="P34" i="26"/>
  <c r="F34" i="60" s="1"/>
  <c r="C579" i="62"/>
  <c r="AF34" i="26"/>
  <c r="G49" i="60"/>
  <c r="H49" i="60" s="1"/>
  <c r="M49" i="60"/>
  <c r="O49" i="60" s="1"/>
  <c r="C453" i="62"/>
  <c r="AF28" i="26"/>
  <c r="P28" i="26"/>
  <c r="F28" i="60" s="1"/>
  <c r="P23" i="26"/>
  <c r="F23" i="60" s="1"/>
  <c r="C348" i="62"/>
  <c r="AF23" i="26"/>
  <c r="C558" i="62"/>
  <c r="P33" i="26"/>
  <c r="F33" i="60" s="1"/>
  <c r="AF33" i="26"/>
  <c r="C915" i="62"/>
  <c r="P50" i="26"/>
  <c r="F50" i="60" s="1"/>
  <c r="AF50" i="26"/>
  <c r="C201" i="62"/>
  <c r="P16" i="26"/>
  <c r="F16" i="60" s="1"/>
  <c r="AF16" i="26"/>
  <c r="C369" i="62"/>
  <c r="P24" i="26"/>
  <c r="F24" i="60" s="1"/>
  <c r="AF24" i="26"/>
  <c r="AU36" i="60"/>
  <c r="W36" i="60"/>
  <c r="X36" i="60" s="1"/>
  <c r="Z17" i="60"/>
  <c r="Z51" i="60"/>
  <c r="Z23" i="60"/>
  <c r="AQ37" i="60"/>
  <c r="AS37" i="60" s="1"/>
  <c r="AC37" i="60"/>
  <c r="AW36" i="60"/>
  <c r="AY36" i="60" s="1"/>
  <c r="H36" i="26"/>
  <c r="AK36" i="60"/>
  <c r="AM36" i="60" s="1"/>
  <c r="AF16" i="60"/>
  <c r="AU34" i="60"/>
  <c r="BA34" i="60" s="1"/>
  <c r="BG34" i="60" s="1"/>
  <c r="AK16" i="60"/>
  <c r="AM16" i="60" s="1"/>
  <c r="G36" i="60"/>
  <c r="H36" i="60" s="1"/>
  <c r="J36" i="60" s="1"/>
  <c r="AE16" i="60"/>
  <c r="AH17" i="60"/>
  <c r="AJ17" i="60" s="1"/>
  <c r="H17" i="26"/>
  <c r="BJ38" i="60"/>
  <c r="Y38" i="26" s="1"/>
  <c r="F663" i="62" s="1"/>
  <c r="H23" i="26"/>
  <c r="AU23" i="60"/>
  <c r="BA23" i="60" s="1"/>
  <c r="BG23" i="60" s="1"/>
  <c r="AT16" i="60"/>
  <c r="AV16" i="60" s="1"/>
  <c r="V16" i="60"/>
  <c r="AB17" i="60"/>
  <c r="AT37" i="60"/>
  <c r="H34" i="26"/>
  <c r="W16" i="60"/>
  <c r="AC17" i="60"/>
  <c r="Z37" i="60"/>
  <c r="AU51" i="60"/>
  <c r="H51" i="26"/>
  <c r="Y37" i="60"/>
  <c r="AF37" i="60"/>
  <c r="AG37" i="60" s="1"/>
  <c r="Y36" i="60"/>
  <c r="AF36" i="60"/>
  <c r="AH36" i="60"/>
  <c r="AJ36" i="60" s="1"/>
  <c r="H16" i="26"/>
  <c r="AB51" i="60"/>
  <c r="AW51" i="60"/>
  <c r="AY51" i="60" s="1"/>
  <c r="BJ36" i="60"/>
  <c r="Y36" i="26" s="1"/>
  <c r="F621" i="62" s="1"/>
  <c r="Y51" i="60"/>
  <c r="AW17" i="60"/>
  <c r="AY17" i="60" s="1"/>
  <c r="AF17" i="60"/>
  <c r="K38" i="60"/>
  <c r="AQ20" i="60"/>
  <c r="AS20" i="60" s="1"/>
  <c r="AE20" i="60"/>
  <c r="AW23" i="60"/>
  <c r="AY23" i="60" s="1"/>
  <c r="AE23" i="60"/>
  <c r="W23" i="60"/>
  <c r="AT27" i="60"/>
  <c r="AV27" i="60" s="1"/>
  <c r="AB27" i="60"/>
  <c r="V20" i="60"/>
  <c r="Y21" i="60"/>
  <c r="AK21" i="60"/>
  <c r="AM21" i="60" s="1"/>
  <c r="H21" i="26"/>
  <c r="Y27" i="60"/>
  <c r="H18" i="26"/>
  <c r="V18" i="60"/>
  <c r="AQ34" i="60"/>
  <c r="AS34" i="60" s="1"/>
  <c r="AB34" i="60"/>
  <c r="AD34" i="60" s="1"/>
  <c r="Y34" i="60"/>
  <c r="C222" i="62"/>
  <c r="P17" i="26"/>
  <c r="F17" i="60" s="1"/>
  <c r="AF17" i="26"/>
  <c r="J14" i="60"/>
  <c r="L14" i="60" s="1"/>
  <c r="T14" i="26" s="1"/>
  <c r="J42" i="60"/>
  <c r="L42" i="60" s="1"/>
  <c r="T42" i="26" s="1"/>
  <c r="U42" i="26" s="1"/>
  <c r="AA12" i="60"/>
  <c r="AA10" i="60"/>
  <c r="AG12" i="60"/>
  <c r="AD12" i="60"/>
  <c r="AN12" i="60"/>
  <c r="BE12" i="60" s="1"/>
  <c r="AN10" i="60"/>
  <c r="BE10" i="60" s="1"/>
  <c r="AZ12" i="60"/>
  <c r="BH12" i="60" s="1"/>
  <c r="AG29" i="60"/>
  <c r="AG10" i="60"/>
  <c r="AZ10" i="60"/>
  <c r="BH10" i="60" s="1"/>
  <c r="I11" i="60"/>
  <c r="G11" i="60"/>
  <c r="H11" i="60" s="1"/>
  <c r="BJ11" i="60"/>
  <c r="Y11" i="26" s="1"/>
  <c r="F96" i="62" s="1"/>
  <c r="M11" i="60"/>
  <c r="O11" i="60" s="1"/>
  <c r="K11" i="60"/>
  <c r="AZ29" i="60"/>
  <c r="BH29" i="60" s="1"/>
  <c r="AA29" i="60"/>
  <c r="I19" i="60"/>
  <c r="K19" i="60"/>
  <c r="G19" i="60"/>
  <c r="H19" i="60" s="1"/>
  <c r="BJ19" i="60"/>
  <c r="Y19" i="26" s="1"/>
  <c r="F264" i="62" s="1"/>
  <c r="M19" i="60"/>
  <c r="O19" i="60" s="1"/>
  <c r="J29" i="60"/>
  <c r="AD29" i="60"/>
  <c r="F7" i="60"/>
  <c r="BJ48" i="60"/>
  <c r="Y48" i="26" s="1"/>
  <c r="F873" i="62" s="1"/>
  <c r="G48" i="60"/>
  <c r="H48" i="60" s="1"/>
  <c r="K48" i="60"/>
  <c r="I48" i="60"/>
  <c r="M48" i="60"/>
  <c r="O48" i="60" s="1"/>
  <c r="I43" i="60"/>
  <c r="G43" i="60"/>
  <c r="H43" i="60" s="1"/>
  <c r="BJ43" i="60"/>
  <c r="Y43" i="26" s="1"/>
  <c r="F768" i="62" s="1"/>
  <c r="M43" i="60"/>
  <c r="O43" i="60" s="1"/>
  <c r="K43" i="60"/>
  <c r="I47" i="60"/>
  <c r="G47" i="60"/>
  <c r="H47" i="60" s="1"/>
  <c r="BJ47" i="60"/>
  <c r="Y47" i="26" s="1"/>
  <c r="F852" i="62" s="1"/>
  <c r="M47" i="60"/>
  <c r="O47" i="60" s="1"/>
  <c r="K47" i="60"/>
  <c r="AN29" i="60"/>
  <c r="BE29" i="60" s="1"/>
  <c r="AZ50" i="60"/>
  <c r="BH50" i="60" s="1"/>
  <c r="AD50" i="60"/>
  <c r="AA50" i="60"/>
  <c r="AN50" i="60"/>
  <c r="BE50" i="60" s="1"/>
  <c r="AO50" i="60"/>
  <c r="X50" i="60"/>
  <c r="AO10" i="60"/>
  <c r="X10" i="60"/>
  <c r="BA29" i="60"/>
  <c r="AV29" i="60"/>
  <c r="BA50" i="60"/>
  <c r="AV50" i="60"/>
  <c r="BA10" i="60"/>
  <c r="BG10" i="60" s="1"/>
  <c r="AV10" i="60"/>
  <c r="AO29" i="60"/>
  <c r="X29" i="60"/>
  <c r="AO12" i="60"/>
  <c r="X12" i="60"/>
  <c r="G7" i="60" l="1"/>
  <c r="H7" i="60" s="1"/>
  <c r="AG13" i="60"/>
  <c r="AV28" i="60"/>
  <c r="AO28" i="60"/>
  <c r="BD28" i="60" s="1"/>
  <c r="X13" i="60"/>
  <c r="AA13" i="60"/>
  <c r="AO13" i="60"/>
  <c r="BD13" i="60" s="1"/>
  <c r="AD43" i="60"/>
  <c r="AG43" i="60"/>
  <c r="X41" i="60"/>
  <c r="X48" i="60"/>
  <c r="AV43" i="60"/>
  <c r="AV35" i="60"/>
  <c r="AD19" i="60"/>
  <c r="AN13" i="60"/>
  <c r="BE13" i="60" s="1"/>
  <c r="AZ13" i="60"/>
  <c r="BH13" i="60" s="1"/>
  <c r="X19" i="60"/>
  <c r="AN43" i="60"/>
  <c r="BE43" i="60" s="1"/>
  <c r="AA35" i="60"/>
  <c r="AZ14" i="60"/>
  <c r="BH14" i="60" s="1"/>
  <c r="X35" i="60"/>
  <c r="AV41" i="60"/>
  <c r="AV19" i="60"/>
  <c r="AZ43" i="60"/>
  <c r="BH43" i="60" s="1"/>
  <c r="AD35" i="60"/>
  <c r="AO43" i="60"/>
  <c r="BD43" i="60" s="1"/>
  <c r="J25" i="60"/>
  <c r="AD22" i="60"/>
  <c r="AO22" i="60"/>
  <c r="BD22" i="60" s="1"/>
  <c r="AD48" i="60"/>
  <c r="X14" i="60"/>
  <c r="AD42" i="60"/>
  <c r="AA43" i="60"/>
  <c r="AZ35" i="60"/>
  <c r="BH35" i="60" s="1"/>
  <c r="AO48" i="60"/>
  <c r="BD48" i="60" s="1"/>
  <c r="AO19" i="60"/>
  <c r="BD19" i="60" s="1"/>
  <c r="AA42" i="60"/>
  <c r="AG41" i="60"/>
  <c r="AN35" i="60"/>
  <c r="BE35" i="60" s="1"/>
  <c r="AG28" i="60"/>
  <c r="AZ42" i="60"/>
  <c r="BH42" i="60" s="1"/>
  <c r="AO41" i="60"/>
  <c r="BD41" i="60" s="1"/>
  <c r="AG42" i="60"/>
  <c r="X43" i="60"/>
  <c r="AN14" i="60"/>
  <c r="BE14" i="60" s="1"/>
  <c r="AZ41" i="60"/>
  <c r="BH41" i="60" s="1"/>
  <c r="AZ48" i="60"/>
  <c r="BH48" i="60" s="1"/>
  <c r="X40" i="60"/>
  <c r="AD40" i="60"/>
  <c r="AV48" i="60"/>
  <c r="AV40" i="60"/>
  <c r="AO42" i="60"/>
  <c r="BD42" i="60" s="1"/>
  <c r="AN41" i="60"/>
  <c r="BE41" i="60" s="1"/>
  <c r="AZ22" i="60"/>
  <c r="BH22" i="60" s="1"/>
  <c r="AN42" i="60"/>
  <c r="BE42" i="60" s="1"/>
  <c r="AZ19" i="60"/>
  <c r="BH19" i="60" s="1"/>
  <c r="AN28" i="60"/>
  <c r="BE28" i="60" s="1"/>
  <c r="AO35" i="60"/>
  <c r="BD35" i="60" s="1"/>
  <c r="AN22" i="60"/>
  <c r="BE22" i="60" s="1"/>
  <c r="AA48" i="60"/>
  <c r="AO14" i="60"/>
  <c r="BD14" i="60" s="1"/>
  <c r="BK14" i="60" s="1"/>
  <c r="AE14" i="26" s="1"/>
  <c r="AG14" i="26" s="1"/>
  <c r="AZ40" i="60"/>
  <c r="BH40" i="60" s="1"/>
  <c r="AN19" i="60"/>
  <c r="BE19" i="60" s="1"/>
  <c r="M31" i="60"/>
  <c r="O31" i="60" s="1"/>
  <c r="AA19" i="60"/>
  <c r="AN48" i="60"/>
  <c r="BE48" i="60" s="1"/>
  <c r="AA28" i="60"/>
  <c r="AZ28" i="60"/>
  <c r="BH28" i="60" s="1"/>
  <c r="M15" i="60"/>
  <c r="O15" i="60" s="1"/>
  <c r="I31" i="60"/>
  <c r="L29" i="60"/>
  <c r="N29" i="60" s="1"/>
  <c r="Z29" i="26" s="1"/>
  <c r="F475" i="62" s="1"/>
  <c r="G31" i="60"/>
  <c r="H31" i="60" s="1"/>
  <c r="AY40" i="60"/>
  <c r="AO40" i="60"/>
  <c r="BD40" i="60" s="1"/>
  <c r="X22" i="60"/>
  <c r="BJ31" i="60"/>
  <c r="Y31" i="26" s="1"/>
  <c r="F516" i="62" s="1"/>
  <c r="AN40" i="60"/>
  <c r="BE40" i="60" s="1"/>
  <c r="AV14" i="60"/>
  <c r="AG14" i="60"/>
  <c r="BJ39" i="60"/>
  <c r="Y39" i="26" s="1"/>
  <c r="F684" i="62" s="1"/>
  <c r="AD15" i="60"/>
  <c r="K32" i="60"/>
  <c r="K41" i="60"/>
  <c r="G32" i="60"/>
  <c r="H32" i="60" s="1"/>
  <c r="I15" i="60"/>
  <c r="J15" i="60" s="1"/>
  <c r="L15" i="60" s="1"/>
  <c r="N15" i="60" s="1"/>
  <c r="Z15" i="26" s="1"/>
  <c r="F181" i="62" s="1"/>
  <c r="I32" i="60"/>
  <c r="BJ15" i="60"/>
  <c r="Y15" i="26" s="1"/>
  <c r="F180" i="62" s="1"/>
  <c r="AA23" i="60"/>
  <c r="X15" i="60"/>
  <c r="K9" i="60"/>
  <c r="AV9" i="60"/>
  <c r="AA39" i="60"/>
  <c r="AA9" i="60"/>
  <c r="AG47" i="60"/>
  <c r="AG9" i="60"/>
  <c r="AZ9" i="60"/>
  <c r="BH9" i="60" s="1"/>
  <c r="AA15" i="60"/>
  <c r="AO47" i="60"/>
  <c r="BD47" i="60" s="1"/>
  <c r="AD39" i="60"/>
  <c r="AN9" i="60"/>
  <c r="BE9" i="60" s="1"/>
  <c r="AO9" i="60"/>
  <c r="BD9" i="60" s="1"/>
  <c r="AD9" i="60"/>
  <c r="X47" i="60"/>
  <c r="J39" i="60"/>
  <c r="AO15" i="60"/>
  <c r="BD15" i="60" s="1"/>
  <c r="AV47" i="60"/>
  <c r="J45" i="60"/>
  <c r="L45" i="60" s="1"/>
  <c r="T45" i="26" s="1"/>
  <c r="U45" i="26" s="1"/>
  <c r="C817" i="62" s="1"/>
  <c r="AZ47" i="60"/>
  <c r="BH47" i="60" s="1"/>
  <c r="AN47" i="60"/>
  <c r="BE47" i="60" s="1"/>
  <c r="AO39" i="60"/>
  <c r="BD39" i="60" s="1"/>
  <c r="X39" i="60"/>
  <c r="AA26" i="60"/>
  <c r="AV39" i="60"/>
  <c r="AG39" i="60"/>
  <c r="AZ15" i="60"/>
  <c r="BH15" i="60" s="1"/>
  <c r="BA39" i="60"/>
  <c r="BG39" i="60" s="1"/>
  <c r="AA47" i="60"/>
  <c r="AN15" i="60"/>
  <c r="BE15" i="60" s="1"/>
  <c r="AN39" i="60"/>
  <c r="BE39" i="60" s="1"/>
  <c r="AD8" i="60"/>
  <c r="AV15" i="60"/>
  <c r="AZ39" i="60"/>
  <c r="BH39" i="60" s="1"/>
  <c r="X26" i="60"/>
  <c r="AD49" i="60"/>
  <c r="AA51" i="60"/>
  <c r="L20" i="60"/>
  <c r="N20" i="60" s="1"/>
  <c r="Z20" i="26" s="1"/>
  <c r="L37" i="60"/>
  <c r="N37" i="60" s="1"/>
  <c r="Z37" i="26" s="1"/>
  <c r="F643" i="62" s="1"/>
  <c r="AG20" i="60"/>
  <c r="AD51" i="60"/>
  <c r="AG51" i="60"/>
  <c r="L26" i="60"/>
  <c r="T26" i="26" s="1"/>
  <c r="U26" i="26" s="1"/>
  <c r="C418" i="62" s="1"/>
  <c r="BJ35" i="60"/>
  <c r="Y35" i="26" s="1"/>
  <c r="F600" i="62" s="1"/>
  <c r="J12" i="60"/>
  <c r="L12" i="60" s="1"/>
  <c r="N12" i="60" s="1"/>
  <c r="Z12" i="26" s="1"/>
  <c r="F118" i="62" s="1"/>
  <c r="G35" i="60"/>
  <c r="H35" i="60" s="1"/>
  <c r="I35" i="60"/>
  <c r="X44" i="60"/>
  <c r="M35" i="60"/>
  <c r="O35" i="60" s="1"/>
  <c r="I9" i="60"/>
  <c r="AG23" i="60"/>
  <c r="L21" i="60"/>
  <c r="T21" i="26" s="1"/>
  <c r="U21" i="26" s="1"/>
  <c r="J10" i="60"/>
  <c r="L10" i="60" s="1"/>
  <c r="N10" i="60" s="1"/>
  <c r="Z10" i="26" s="1"/>
  <c r="F76" i="62" s="1"/>
  <c r="AD27" i="60"/>
  <c r="L25" i="60"/>
  <c r="N25" i="60" s="1"/>
  <c r="Z25" i="26" s="1"/>
  <c r="F391" i="62" s="1"/>
  <c r="T20" i="26"/>
  <c r="U20" i="26" s="1"/>
  <c r="G9" i="60"/>
  <c r="H9" i="60" s="1"/>
  <c r="M27" i="60"/>
  <c r="O27" i="60" s="1"/>
  <c r="L13" i="60"/>
  <c r="T13" i="26" s="1"/>
  <c r="C141" i="62" s="1"/>
  <c r="M9" i="60"/>
  <c r="O9" i="60" s="1"/>
  <c r="AA38" i="60"/>
  <c r="AG17" i="60"/>
  <c r="AD23" i="60"/>
  <c r="AA49" i="60"/>
  <c r="AA16" i="60"/>
  <c r="AO38" i="60"/>
  <c r="BD38" i="60" s="1"/>
  <c r="AD45" i="60"/>
  <c r="AD46" i="60"/>
  <c r="AV44" i="60"/>
  <c r="L30" i="60"/>
  <c r="T30" i="26" s="1"/>
  <c r="C498" i="62" s="1"/>
  <c r="BJ41" i="60"/>
  <c r="Y41" i="26" s="1"/>
  <c r="F726" i="62" s="1"/>
  <c r="M41" i="60"/>
  <c r="O41" i="60" s="1"/>
  <c r="K27" i="60"/>
  <c r="G41" i="60"/>
  <c r="H41" i="60" s="1"/>
  <c r="J41" i="60" s="1"/>
  <c r="BJ27" i="60"/>
  <c r="Y27" i="26" s="1"/>
  <c r="F432" i="62" s="1"/>
  <c r="I27" i="60"/>
  <c r="J27" i="60" s="1"/>
  <c r="AV38" i="60"/>
  <c r="AG18" i="60"/>
  <c r="X20" i="60"/>
  <c r="AD38" i="60"/>
  <c r="AV20" i="60"/>
  <c r="BA44" i="60"/>
  <c r="BG44" i="60" s="1"/>
  <c r="AZ18" i="60"/>
  <c r="BH18" i="60" s="1"/>
  <c r="AD44" i="60"/>
  <c r="AO18" i="60"/>
  <c r="BD18" i="60" s="1"/>
  <c r="BK18" i="60" s="1"/>
  <c r="AE18" i="26" s="1"/>
  <c r="AG18" i="26" s="1"/>
  <c r="AG27" i="60"/>
  <c r="AZ38" i="60"/>
  <c r="BH38" i="60" s="1"/>
  <c r="AA44" i="60"/>
  <c r="AA18" i="60"/>
  <c r="AG45" i="60"/>
  <c r="AN45" i="60"/>
  <c r="BE45" i="60" s="1"/>
  <c r="AG21" i="60"/>
  <c r="AA45" i="60"/>
  <c r="AA20" i="60"/>
  <c r="AN38" i="60"/>
  <c r="BE38" i="60" s="1"/>
  <c r="AD21" i="60"/>
  <c r="AZ44" i="60"/>
  <c r="BH44" i="60" s="1"/>
  <c r="AV45" i="60"/>
  <c r="AM38" i="60"/>
  <c r="AN18" i="60"/>
  <c r="BE18" i="60" s="1"/>
  <c r="AA17" i="60"/>
  <c r="AA34" i="60"/>
  <c r="L18" i="60"/>
  <c r="N18" i="60" s="1"/>
  <c r="Z18" i="26" s="1"/>
  <c r="F244" i="62" s="1"/>
  <c r="J49" i="60"/>
  <c r="L49" i="60" s="1"/>
  <c r="T49" i="26" s="1"/>
  <c r="L38" i="60"/>
  <c r="N38" i="60" s="1"/>
  <c r="Z38" i="26" s="1"/>
  <c r="F664" i="62" s="1"/>
  <c r="AF52" i="26"/>
  <c r="X17" i="60"/>
  <c r="AD11" i="60"/>
  <c r="AD18" i="60"/>
  <c r="AA37" i="60"/>
  <c r="AO26" i="60"/>
  <c r="BD26" i="60" s="1"/>
  <c r="AZ45" i="60"/>
  <c r="BH45" i="60" s="1"/>
  <c r="AD16" i="60"/>
  <c r="AD36" i="60"/>
  <c r="AG36" i="60"/>
  <c r="AA32" i="60"/>
  <c r="X32" i="60"/>
  <c r="AV24" i="60"/>
  <c r="AA25" i="60"/>
  <c r="AZ23" i="60"/>
  <c r="BB23" i="60" s="1"/>
  <c r="AD30" i="60"/>
  <c r="AO24" i="60"/>
  <c r="BD24" i="60" s="1"/>
  <c r="AA11" i="60"/>
  <c r="AD25" i="60"/>
  <c r="AA33" i="60"/>
  <c r="AV18" i="60"/>
  <c r="AZ25" i="60"/>
  <c r="BH25" i="60" s="1"/>
  <c r="AG26" i="60"/>
  <c r="AV8" i="60"/>
  <c r="AZ33" i="60"/>
  <c r="BH33" i="60" s="1"/>
  <c r="AV36" i="60"/>
  <c r="X34" i="60"/>
  <c r="AO32" i="60"/>
  <c r="BD32" i="60" s="1"/>
  <c r="AO11" i="60"/>
  <c r="BD11" i="60" s="1"/>
  <c r="X46" i="60"/>
  <c r="AV33" i="60"/>
  <c r="AN24" i="60"/>
  <c r="BE24" i="60" s="1"/>
  <c r="AA46" i="60"/>
  <c r="AV49" i="60"/>
  <c r="X49" i="60"/>
  <c r="AG49" i="60"/>
  <c r="X30" i="60"/>
  <c r="AN8" i="60"/>
  <c r="BE8" i="60" s="1"/>
  <c r="AZ11" i="60"/>
  <c r="BH11" i="60" s="1"/>
  <c r="AO44" i="60"/>
  <c r="BD44" i="60" s="1"/>
  <c r="X16" i="60"/>
  <c r="AZ37" i="60"/>
  <c r="BH37" i="60" s="1"/>
  <c r="AO27" i="60"/>
  <c r="BD27" i="60" s="1"/>
  <c r="AA24" i="60"/>
  <c r="AG32" i="60"/>
  <c r="AG24" i="60"/>
  <c r="AV11" i="60"/>
  <c r="AV51" i="60"/>
  <c r="AV46" i="60"/>
  <c r="AG30" i="60"/>
  <c r="AO46" i="60"/>
  <c r="BD46" i="60" s="1"/>
  <c r="AG25" i="60"/>
  <c r="AN33" i="60"/>
  <c r="BE33" i="60" s="1"/>
  <c r="AV30" i="60"/>
  <c r="AZ26" i="60"/>
  <c r="BH26" i="60" s="1"/>
  <c r="X11" i="60"/>
  <c r="AO45" i="60"/>
  <c r="AN25" i="60"/>
  <c r="BE25" i="60" s="1"/>
  <c r="AZ24" i="60"/>
  <c r="BH24" i="60" s="1"/>
  <c r="AN21" i="60"/>
  <c r="BE21" i="60" s="1"/>
  <c r="AO23" i="60"/>
  <c r="BD23" i="60" s="1"/>
  <c r="AV37" i="60"/>
  <c r="AV34" i="60"/>
  <c r="X27" i="60"/>
  <c r="AV23" i="60"/>
  <c r="AO36" i="60"/>
  <c r="BD36" i="60" s="1"/>
  <c r="X31" i="60"/>
  <c r="AO31" i="60"/>
  <c r="BD31" i="60" s="1"/>
  <c r="AN11" i="60"/>
  <c r="BE11" i="60" s="1"/>
  <c r="AV31" i="60"/>
  <c r="AG33" i="60"/>
  <c r="AV25" i="60"/>
  <c r="AZ46" i="60"/>
  <c r="BH46" i="60" s="1"/>
  <c r="AD17" i="60"/>
  <c r="AO16" i="60"/>
  <c r="BD16" i="60" s="1"/>
  <c r="AN30" i="60"/>
  <c r="BE30" i="60" s="1"/>
  <c r="AG8" i="60"/>
  <c r="AO25" i="60"/>
  <c r="BD25" i="60" s="1"/>
  <c r="AO17" i="60"/>
  <c r="BD17" i="60" s="1"/>
  <c r="AO49" i="60"/>
  <c r="AD33" i="60"/>
  <c r="AO8" i="60"/>
  <c r="AN49" i="60"/>
  <c r="BE49" i="60" s="1"/>
  <c r="AN20" i="60"/>
  <c r="BE20" i="60" s="1"/>
  <c r="AA31" i="60"/>
  <c r="AZ30" i="60"/>
  <c r="BH30" i="60" s="1"/>
  <c r="AN32" i="60"/>
  <c r="BE32" i="60" s="1"/>
  <c r="X24" i="60"/>
  <c r="AZ36" i="60"/>
  <c r="BH36" i="60" s="1"/>
  <c r="AV17" i="60"/>
  <c r="AN27" i="60"/>
  <c r="AO37" i="60"/>
  <c r="BD37" i="60" s="1"/>
  <c r="AO51" i="60"/>
  <c r="BD51" i="60" s="1"/>
  <c r="AO33" i="60"/>
  <c r="AN31" i="60"/>
  <c r="BE31" i="60" s="1"/>
  <c r="AV32" i="60"/>
  <c r="AG46" i="60"/>
  <c r="AO30" i="60"/>
  <c r="AZ34" i="60"/>
  <c r="BH34" i="60" s="1"/>
  <c r="AA36" i="60"/>
  <c r="AZ31" i="60"/>
  <c r="BH31" i="60" s="1"/>
  <c r="AZ32" i="60"/>
  <c r="BH32" i="60" s="1"/>
  <c r="AA30" i="60"/>
  <c r="AN34" i="60"/>
  <c r="BE34" i="60" s="1"/>
  <c r="L36" i="60"/>
  <c r="N36" i="60" s="1"/>
  <c r="Z36" i="26" s="1"/>
  <c r="F622" i="62" s="1"/>
  <c r="AZ51" i="60"/>
  <c r="BH51" i="60" s="1"/>
  <c r="AZ21" i="60"/>
  <c r="BH21" i="60" s="1"/>
  <c r="AA27" i="60"/>
  <c r="AG38" i="60"/>
  <c r="AN26" i="60"/>
  <c r="BE26" i="60" s="1"/>
  <c r="AD24" i="60"/>
  <c r="X33" i="60"/>
  <c r="AN46" i="60"/>
  <c r="BE46" i="60" s="1"/>
  <c r="AV26" i="60"/>
  <c r="AZ8" i="60"/>
  <c r="BH8" i="60" s="1"/>
  <c r="AZ49" i="60"/>
  <c r="BH49" i="60" s="1"/>
  <c r="X25" i="60"/>
  <c r="AO20" i="60"/>
  <c r="BD20" i="60" s="1"/>
  <c r="BK20" i="60" s="1"/>
  <c r="AE20" i="26" s="1"/>
  <c r="AG20" i="26" s="1"/>
  <c r="AA8" i="60"/>
  <c r="AG31" i="60"/>
  <c r="AA21" i="60"/>
  <c r="AZ20" i="60"/>
  <c r="BH20" i="60" s="1"/>
  <c r="AN44" i="60"/>
  <c r="BE44" i="60" s="1"/>
  <c r="AN37" i="60"/>
  <c r="BE37" i="60" s="1"/>
  <c r="X51" i="60"/>
  <c r="AO21" i="60"/>
  <c r="BD21" i="60" s="1"/>
  <c r="BK21" i="60" s="1"/>
  <c r="AE21" i="26" s="1"/>
  <c r="AG21" i="26" s="1"/>
  <c r="X23" i="60"/>
  <c r="AG34" i="60"/>
  <c r="AD37" i="60"/>
  <c r="G50" i="60"/>
  <c r="H50" i="60" s="1"/>
  <c r="M50" i="60"/>
  <c r="O50" i="60" s="1"/>
  <c r="K50" i="60"/>
  <c r="BJ50" i="60"/>
  <c r="Y50" i="26" s="1"/>
  <c r="F915" i="62" s="1"/>
  <c r="I50" i="60"/>
  <c r="BJ28" i="60"/>
  <c r="Y28" i="26" s="1"/>
  <c r="F453" i="62" s="1"/>
  <c r="I28" i="60"/>
  <c r="M28" i="60"/>
  <c r="O28" i="60" s="1"/>
  <c r="G28" i="60"/>
  <c r="H28" i="60" s="1"/>
  <c r="K28" i="60"/>
  <c r="I34" i="60"/>
  <c r="G34" i="60"/>
  <c r="H34" i="60" s="1"/>
  <c r="M34" i="60"/>
  <c r="O34" i="60" s="1"/>
  <c r="BJ34" i="60"/>
  <c r="Y34" i="26" s="1"/>
  <c r="F579" i="62" s="1"/>
  <c r="K34" i="60"/>
  <c r="M46" i="60"/>
  <c r="O46" i="60" s="1"/>
  <c r="I46" i="60"/>
  <c r="K46" i="60"/>
  <c r="BJ46" i="60"/>
  <c r="Y46" i="26" s="1"/>
  <c r="F831" i="62" s="1"/>
  <c r="G46" i="60"/>
  <c r="H46" i="60" s="1"/>
  <c r="X18" i="60"/>
  <c r="X21" i="60"/>
  <c r="AG44" i="60"/>
  <c r="AN23" i="60"/>
  <c r="BE23" i="60" s="1"/>
  <c r="M44" i="60"/>
  <c r="O44" i="60" s="1"/>
  <c r="G44" i="60"/>
  <c r="H44" i="60" s="1"/>
  <c r="K44" i="60"/>
  <c r="BJ44" i="60"/>
  <c r="Y44" i="26" s="1"/>
  <c r="F789" i="62" s="1"/>
  <c r="I44" i="60"/>
  <c r="BA51" i="60"/>
  <c r="BG51" i="60" s="1"/>
  <c r="BA36" i="60"/>
  <c r="BG36" i="60" s="1"/>
  <c r="P52" i="26"/>
  <c r="AZ16" i="60"/>
  <c r="BH16" i="60" s="1"/>
  <c r="AN36" i="60"/>
  <c r="BE36" i="60" s="1"/>
  <c r="AN17" i="60"/>
  <c r="BE17" i="60" s="1"/>
  <c r="AG16" i="60"/>
  <c r="I24" i="60"/>
  <c r="G24" i="60"/>
  <c r="H24" i="60" s="1"/>
  <c r="BJ24" i="60"/>
  <c r="Y24" i="26" s="1"/>
  <c r="F369" i="62" s="1"/>
  <c r="K24" i="60"/>
  <c r="M24" i="60"/>
  <c r="O24" i="60" s="1"/>
  <c r="M40" i="60"/>
  <c r="O40" i="60" s="1"/>
  <c r="I40" i="60"/>
  <c r="BJ40" i="60"/>
  <c r="Y40" i="26" s="1"/>
  <c r="F705" i="62" s="1"/>
  <c r="G40" i="60"/>
  <c r="H40" i="60" s="1"/>
  <c r="K40" i="60"/>
  <c r="AZ27" i="60"/>
  <c r="BB27" i="60" s="1"/>
  <c r="AZ17" i="60"/>
  <c r="BH17" i="60" s="1"/>
  <c r="AN16" i="60"/>
  <c r="BE16" i="60" s="1"/>
  <c r="I16" i="60"/>
  <c r="K16" i="60"/>
  <c r="M16" i="60"/>
  <c r="O16" i="60" s="1"/>
  <c r="G16" i="60"/>
  <c r="H16" i="60" s="1"/>
  <c r="BJ16" i="60"/>
  <c r="Y16" i="26" s="1"/>
  <c r="F201" i="62" s="1"/>
  <c r="AO34" i="60"/>
  <c r="BD34" i="60" s="1"/>
  <c r="X37" i="60"/>
  <c r="AN51" i="60"/>
  <c r="BE51" i="60" s="1"/>
  <c r="L39" i="60"/>
  <c r="N39" i="60" s="1"/>
  <c r="Z39" i="26" s="1"/>
  <c r="F685" i="62" s="1"/>
  <c r="BJ17" i="60"/>
  <c r="Y17" i="26" s="1"/>
  <c r="F222" i="62" s="1"/>
  <c r="M17" i="60"/>
  <c r="O17" i="60" s="1"/>
  <c r="K17" i="60"/>
  <c r="G17" i="60"/>
  <c r="H17" i="60" s="1"/>
  <c r="I17" i="60"/>
  <c r="G33" i="60"/>
  <c r="H33" i="60" s="1"/>
  <c r="M33" i="60"/>
  <c r="O33" i="60" s="1"/>
  <c r="K33" i="60"/>
  <c r="I33" i="60"/>
  <c r="BJ33" i="60"/>
  <c r="Y33" i="26" s="1"/>
  <c r="F558" i="62" s="1"/>
  <c r="I23" i="60"/>
  <c r="K23" i="60"/>
  <c r="M23" i="60"/>
  <c r="O23" i="60" s="1"/>
  <c r="BJ23" i="60"/>
  <c r="Y23" i="26" s="1"/>
  <c r="F348" i="62" s="1"/>
  <c r="G23" i="60"/>
  <c r="H23" i="60" s="1"/>
  <c r="BJ51" i="60"/>
  <c r="Y51" i="26" s="1"/>
  <c r="F936" i="62" s="1"/>
  <c r="G51" i="60"/>
  <c r="H51" i="60" s="1"/>
  <c r="K51" i="60"/>
  <c r="M51" i="60"/>
  <c r="O51" i="60" s="1"/>
  <c r="I51" i="60"/>
  <c r="G8" i="60"/>
  <c r="H8" i="60" s="1"/>
  <c r="I8" i="60"/>
  <c r="K8" i="60"/>
  <c r="M8" i="60"/>
  <c r="O8" i="60" s="1"/>
  <c r="C330" i="62"/>
  <c r="C750" i="62"/>
  <c r="N42" i="60"/>
  <c r="Z42" i="26" s="1"/>
  <c r="F748" i="62" s="1"/>
  <c r="N22" i="60"/>
  <c r="Z22" i="26" s="1"/>
  <c r="F328" i="62" s="1"/>
  <c r="J19" i="60"/>
  <c r="L19" i="60" s="1"/>
  <c r="N14" i="60"/>
  <c r="Z14" i="26" s="1"/>
  <c r="F160" i="62" s="1"/>
  <c r="J43" i="60"/>
  <c r="L43" i="60" s="1"/>
  <c r="N43" i="60" s="1"/>
  <c r="Z43" i="26" s="1"/>
  <c r="F769" i="62" s="1"/>
  <c r="J11" i="60"/>
  <c r="L11" i="60" s="1"/>
  <c r="N11" i="60" s="1"/>
  <c r="Z11" i="26" s="1"/>
  <c r="F97" i="62" s="1"/>
  <c r="U14" i="26"/>
  <c r="C166" i="62" s="1"/>
  <c r="C162" i="62"/>
  <c r="BB12" i="60"/>
  <c r="J47" i="60"/>
  <c r="L47" i="60" s="1"/>
  <c r="N47" i="60" s="1"/>
  <c r="Z47" i="26" s="1"/>
  <c r="F853" i="62" s="1"/>
  <c r="J48" i="60"/>
  <c r="L48" i="60" s="1"/>
  <c r="T48" i="26" s="1"/>
  <c r="I7" i="60"/>
  <c r="M7" i="60"/>
  <c r="O7" i="60" s="1"/>
  <c r="K7" i="60"/>
  <c r="T29" i="26"/>
  <c r="BG31" i="60"/>
  <c r="BG13" i="60"/>
  <c r="BB10" i="60"/>
  <c r="BG22" i="60"/>
  <c r="BG26" i="60"/>
  <c r="BG35" i="60"/>
  <c r="BG9" i="60"/>
  <c r="BG49" i="60"/>
  <c r="BG47" i="60"/>
  <c r="BG45" i="60"/>
  <c r="BG43" i="60"/>
  <c r="BG41" i="60"/>
  <c r="BG19" i="60"/>
  <c r="BG11" i="60"/>
  <c r="BD29" i="60"/>
  <c r="AP29" i="60"/>
  <c r="BG29" i="60"/>
  <c r="BB29" i="60"/>
  <c r="BG28" i="60"/>
  <c r="BG37" i="60"/>
  <c r="BD50" i="60"/>
  <c r="AP50" i="60"/>
  <c r="BG32" i="60"/>
  <c r="C334" i="62"/>
  <c r="BD12" i="60"/>
  <c r="BK12" i="60" s="1"/>
  <c r="AE12" i="26" s="1"/>
  <c r="AG12" i="26" s="1"/>
  <c r="AP12" i="60"/>
  <c r="BG38" i="60"/>
  <c r="BG50" i="60"/>
  <c r="BB50" i="60"/>
  <c r="BG48" i="60"/>
  <c r="BG46" i="60"/>
  <c r="BG42" i="60"/>
  <c r="BG40" i="60"/>
  <c r="BG15" i="60"/>
  <c r="BG24" i="60"/>
  <c r="BG33" i="60"/>
  <c r="BG25" i="60"/>
  <c r="BD10" i="60"/>
  <c r="BK10" i="60" s="1"/>
  <c r="AE10" i="26" s="1"/>
  <c r="AG10" i="26" s="1"/>
  <c r="AP10" i="60"/>
  <c r="C754" i="62"/>
  <c r="BB35" i="60" l="1"/>
  <c r="BB42" i="60"/>
  <c r="AP41" i="60"/>
  <c r="BB41" i="60"/>
  <c r="BB14" i="60"/>
  <c r="BB19" i="60"/>
  <c r="BB43" i="60"/>
  <c r="BB13" i="60"/>
  <c r="AP13" i="60"/>
  <c r="BB22" i="60"/>
  <c r="AP48" i="60"/>
  <c r="AP35" i="60"/>
  <c r="AP42" i="60"/>
  <c r="AP19" i="60"/>
  <c r="AP22" i="60"/>
  <c r="BB48" i="60"/>
  <c r="AP43" i="60"/>
  <c r="AP14" i="60"/>
  <c r="AP28" i="60"/>
  <c r="J32" i="60"/>
  <c r="L32" i="60" s="1"/>
  <c r="T32" i="26" s="1"/>
  <c r="C540" i="62" s="1"/>
  <c r="BB40" i="60"/>
  <c r="J31" i="60"/>
  <c r="L31" i="60" s="1"/>
  <c r="N31" i="60" s="1"/>
  <c r="Z31" i="26" s="1"/>
  <c r="F517" i="62" s="1"/>
  <c r="AP40" i="60"/>
  <c r="BB28" i="60"/>
  <c r="L41" i="60"/>
  <c r="BJ9" i="60"/>
  <c r="Y9" i="26" s="1"/>
  <c r="F54" i="62" s="1"/>
  <c r="T31" i="26"/>
  <c r="C519" i="62" s="1"/>
  <c r="BB9" i="60"/>
  <c r="AP9" i="60"/>
  <c r="BB47" i="60"/>
  <c r="AP47" i="60"/>
  <c r="C309" i="62"/>
  <c r="BB15" i="60"/>
  <c r="T25" i="26"/>
  <c r="U25" i="26" s="1"/>
  <c r="N21" i="60"/>
  <c r="Z21" i="26" s="1"/>
  <c r="AA21" i="26" s="1"/>
  <c r="F313" i="62" s="1"/>
  <c r="T18" i="26"/>
  <c r="C246" i="62" s="1"/>
  <c r="J23" i="60"/>
  <c r="L23" i="60" s="1"/>
  <c r="T23" i="26" s="1"/>
  <c r="C351" i="62" s="1"/>
  <c r="AP15" i="60"/>
  <c r="AP27" i="60"/>
  <c r="AP39" i="60"/>
  <c r="BB39" i="60"/>
  <c r="F286" i="62"/>
  <c r="AA20" i="26"/>
  <c r="F292" i="62" s="1"/>
  <c r="J50" i="60"/>
  <c r="L50" i="60" s="1"/>
  <c r="U13" i="26"/>
  <c r="C145" i="62" s="1"/>
  <c r="T37" i="26"/>
  <c r="C645" i="62" s="1"/>
  <c r="AA37" i="26"/>
  <c r="F649" i="62" s="1"/>
  <c r="T15" i="26"/>
  <c r="C183" i="62" s="1"/>
  <c r="N26" i="60"/>
  <c r="Z26" i="26" s="1"/>
  <c r="F412" i="62" s="1"/>
  <c r="C813" i="62"/>
  <c r="C288" i="62"/>
  <c r="J9" i="60"/>
  <c r="L9" i="60" s="1"/>
  <c r="T9" i="26" s="1"/>
  <c r="U9" i="26" s="1"/>
  <c r="C61" i="62" s="1"/>
  <c r="N13" i="60"/>
  <c r="Z13" i="26" s="1"/>
  <c r="F139" i="62" s="1"/>
  <c r="T10" i="26"/>
  <c r="U10" i="26" s="1"/>
  <c r="J35" i="60"/>
  <c r="L35" i="60" s="1"/>
  <c r="N35" i="60" s="1"/>
  <c r="Z35" i="26" s="1"/>
  <c r="F601" i="62" s="1"/>
  <c r="N45" i="60"/>
  <c r="Z45" i="26" s="1"/>
  <c r="F811" i="62" s="1"/>
  <c r="T12" i="26"/>
  <c r="C120" i="62" s="1"/>
  <c r="C414" i="62"/>
  <c r="N30" i="60"/>
  <c r="Z30" i="26" s="1"/>
  <c r="F496" i="62" s="1"/>
  <c r="BK27" i="60"/>
  <c r="AE27" i="26" s="1"/>
  <c r="AG27" i="26" s="1"/>
  <c r="U30" i="26"/>
  <c r="C502" i="62" s="1"/>
  <c r="L27" i="60"/>
  <c r="T27" i="26" s="1"/>
  <c r="U27" i="26" s="1"/>
  <c r="T41" i="26"/>
  <c r="C729" i="62" s="1"/>
  <c r="AP45" i="60"/>
  <c r="BB38" i="60"/>
  <c r="BB18" i="60"/>
  <c r="AP38" i="60"/>
  <c r="T38" i="26"/>
  <c r="U38" i="26" s="1"/>
  <c r="J44" i="60"/>
  <c r="L44" i="60" s="1"/>
  <c r="AP18" i="60"/>
  <c r="BB34" i="60"/>
  <c r="BB44" i="60"/>
  <c r="N49" i="60"/>
  <c r="Z49" i="26" s="1"/>
  <c r="F895" i="62" s="1"/>
  <c r="J33" i="60"/>
  <c r="L33" i="60" s="1"/>
  <c r="T33" i="26" s="1"/>
  <c r="U33" i="26" s="1"/>
  <c r="AP8" i="60"/>
  <c r="J17" i="60"/>
  <c r="L17" i="60" s="1"/>
  <c r="J46" i="60"/>
  <c r="L46" i="60" s="1"/>
  <c r="N46" i="60" s="1"/>
  <c r="Z46" i="26" s="1"/>
  <c r="F832" i="62" s="1"/>
  <c r="BB33" i="60"/>
  <c r="T39" i="26"/>
  <c r="C687" i="62" s="1"/>
  <c r="T36" i="26"/>
  <c r="C624" i="62" s="1"/>
  <c r="J24" i="60"/>
  <c r="L24" i="60" s="1"/>
  <c r="T24" i="26" s="1"/>
  <c r="C372" i="62" s="1"/>
  <c r="T43" i="26"/>
  <c r="U43" i="26" s="1"/>
  <c r="J51" i="60"/>
  <c r="L51" i="60" s="1"/>
  <c r="J40" i="60"/>
  <c r="L40" i="60" s="1"/>
  <c r="N40" i="60" s="1"/>
  <c r="Z40" i="26" s="1"/>
  <c r="F706" i="62" s="1"/>
  <c r="BK17" i="60"/>
  <c r="AE17" i="26" s="1"/>
  <c r="AG17" i="26" s="1"/>
  <c r="AA36" i="26"/>
  <c r="F628" i="62" s="1"/>
  <c r="BB37" i="60"/>
  <c r="BH23" i="60"/>
  <c r="BB25" i="60"/>
  <c r="BB45" i="60"/>
  <c r="BB24" i="60"/>
  <c r="BB11" i="60"/>
  <c r="BE27" i="60"/>
  <c r="AP32" i="60"/>
  <c r="AP24" i="60"/>
  <c r="BB46" i="60"/>
  <c r="AP11" i="60"/>
  <c r="BD45" i="60"/>
  <c r="BK45" i="60" s="1"/>
  <c r="AE45" i="26" s="1"/>
  <c r="AG45" i="26" s="1"/>
  <c r="AP33" i="60"/>
  <c r="AP16" i="60"/>
  <c r="BB26" i="60"/>
  <c r="BB32" i="60"/>
  <c r="AP31" i="60"/>
  <c r="BB21" i="60"/>
  <c r="AP49" i="60"/>
  <c r="AP44" i="60"/>
  <c r="BD49" i="60"/>
  <c r="BK49" i="60" s="1"/>
  <c r="AE49" i="26" s="1"/>
  <c r="AG49" i="26" s="1"/>
  <c r="AP21" i="60"/>
  <c r="AP30" i="60"/>
  <c r="BK31" i="60"/>
  <c r="AE31" i="26" s="1"/>
  <c r="AG31" i="26" s="1"/>
  <c r="BD33" i="60"/>
  <c r="BK33" i="60" s="1"/>
  <c r="AE33" i="26" s="1"/>
  <c r="AG33" i="26" s="1"/>
  <c r="AP36" i="60"/>
  <c r="BD8" i="60"/>
  <c r="BJ8" i="60" s="1"/>
  <c r="BK8" i="60" s="1"/>
  <c r="AE8" i="26" s="1"/>
  <c r="AG8" i="26" s="1"/>
  <c r="AP25" i="60"/>
  <c r="AP46" i="60"/>
  <c r="BB36" i="60"/>
  <c r="BB17" i="60"/>
  <c r="AP20" i="60"/>
  <c r="BB30" i="60"/>
  <c r="BB20" i="60"/>
  <c r="BD30" i="60"/>
  <c r="BK30" i="60" s="1"/>
  <c r="AE30" i="26" s="1"/>
  <c r="AG30" i="26" s="1"/>
  <c r="BB16" i="60"/>
  <c r="AP26" i="60"/>
  <c r="BB31" i="60"/>
  <c r="AP37" i="60"/>
  <c r="AP34" i="60"/>
  <c r="BB49" i="60"/>
  <c r="BB8" i="60"/>
  <c r="AP17" i="60"/>
  <c r="AP23" i="60"/>
  <c r="BH27" i="60"/>
  <c r="BK16" i="60"/>
  <c r="AE16" i="26" s="1"/>
  <c r="AG16" i="26" s="1"/>
  <c r="J8" i="60"/>
  <c r="L8" i="60" s="1"/>
  <c r="J16" i="60"/>
  <c r="L16" i="60" s="1"/>
  <c r="AA18" i="26"/>
  <c r="F250" i="62" s="1"/>
  <c r="BB51" i="60"/>
  <c r="J28" i="60"/>
  <c r="L28" i="60" s="1"/>
  <c r="AP51" i="60"/>
  <c r="BK34" i="60"/>
  <c r="AE34" i="26" s="1"/>
  <c r="AG34" i="26" s="1"/>
  <c r="J34" i="60"/>
  <c r="L34" i="60" s="1"/>
  <c r="BK23" i="60"/>
  <c r="AE23" i="26" s="1"/>
  <c r="AG23" i="26" s="1"/>
  <c r="AA42" i="26"/>
  <c r="F754" i="62" s="1"/>
  <c r="C755" i="62" s="1"/>
  <c r="N48" i="60"/>
  <c r="Z48" i="26" s="1"/>
  <c r="F874" i="62" s="1"/>
  <c r="T11" i="26"/>
  <c r="U11" i="26" s="1"/>
  <c r="N41" i="60"/>
  <c r="Z41" i="26" s="1"/>
  <c r="F727" i="62" s="1"/>
  <c r="AA14" i="26"/>
  <c r="F166" i="62" s="1"/>
  <c r="C167" i="62" s="1"/>
  <c r="AA22" i="26"/>
  <c r="F334" i="62" s="1"/>
  <c r="C335" i="62" s="1"/>
  <c r="T19" i="26"/>
  <c r="C267" i="62" s="1"/>
  <c r="N19" i="60"/>
  <c r="Z19" i="26" s="1"/>
  <c r="F265" i="62" s="1"/>
  <c r="AA43" i="26"/>
  <c r="F775" i="62" s="1"/>
  <c r="BK26" i="60"/>
  <c r="AE26" i="26" s="1"/>
  <c r="AG26" i="26" s="1"/>
  <c r="BK39" i="60"/>
  <c r="AE39" i="26" s="1"/>
  <c r="AG39" i="26" s="1"/>
  <c r="BK47" i="60"/>
  <c r="AE47" i="26" s="1"/>
  <c r="AG47" i="26" s="1"/>
  <c r="BK51" i="60"/>
  <c r="AE51" i="26" s="1"/>
  <c r="AG51" i="26" s="1"/>
  <c r="BK37" i="60"/>
  <c r="AE37" i="26" s="1"/>
  <c r="AG37" i="26" s="1"/>
  <c r="BK43" i="60"/>
  <c r="AE43" i="26" s="1"/>
  <c r="AG43" i="26" s="1"/>
  <c r="AA47" i="26"/>
  <c r="F859" i="62" s="1"/>
  <c r="BK22" i="60"/>
  <c r="AE22" i="26" s="1"/>
  <c r="AG22" i="26" s="1"/>
  <c r="T47" i="26"/>
  <c r="U47" i="26" s="1"/>
  <c r="BK13" i="60"/>
  <c r="AE13" i="26" s="1"/>
  <c r="AG13" i="26" s="1"/>
  <c r="J7" i="60"/>
  <c r="L7" i="60" s="1"/>
  <c r="BK41" i="60"/>
  <c r="AE41" i="26" s="1"/>
  <c r="AG41" i="26" s="1"/>
  <c r="AA10" i="26"/>
  <c r="F82" i="62" s="1"/>
  <c r="AA38" i="26"/>
  <c r="F670" i="62" s="1"/>
  <c r="C477" i="62"/>
  <c r="U29" i="26"/>
  <c r="C313" i="62"/>
  <c r="C897" i="62"/>
  <c r="U49" i="26"/>
  <c r="AA39" i="26"/>
  <c r="F691" i="62" s="1"/>
  <c r="AA11" i="26"/>
  <c r="F103" i="62" s="1"/>
  <c r="C292" i="62"/>
  <c r="AA15" i="26"/>
  <c r="F187" i="62" s="1"/>
  <c r="AA29" i="26"/>
  <c r="F481" i="62" s="1"/>
  <c r="AA25" i="26"/>
  <c r="F397" i="62" s="1"/>
  <c r="AA31" i="26"/>
  <c r="F523" i="62" s="1"/>
  <c r="AA12" i="26"/>
  <c r="F124" i="62" s="1"/>
  <c r="C876" i="62"/>
  <c r="U48" i="26"/>
  <c r="BK11" i="60"/>
  <c r="AE11" i="26" s="1"/>
  <c r="AG11" i="26" s="1"/>
  <c r="BK36" i="60"/>
  <c r="AE36" i="26" s="1"/>
  <c r="AG36" i="26" s="1"/>
  <c r="BK35" i="60"/>
  <c r="AE35" i="26" s="1"/>
  <c r="AG35" i="26" s="1"/>
  <c r="BK42" i="60"/>
  <c r="AE42" i="26" s="1"/>
  <c r="AG42" i="26" s="1"/>
  <c r="BK46" i="60"/>
  <c r="AE46" i="26" s="1"/>
  <c r="AG46" i="26" s="1"/>
  <c r="BK50" i="60"/>
  <c r="AE50" i="26" s="1"/>
  <c r="AG50" i="26" s="1"/>
  <c r="BK24" i="60"/>
  <c r="AE24" i="26" s="1"/>
  <c r="AG24" i="26" s="1"/>
  <c r="BK40" i="60"/>
  <c r="AE40" i="26" s="1"/>
  <c r="AG40" i="26" s="1"/>
  <c r="BK44" i="60"/>
  <c r="AE44" i="26" s="1"/>
  <c r="AG44" i="26" s="1"/>
  <c r="BK48" i="60"/>
  <c r="AE48" i="26" s="1"/>
  <c r="AG48" i="26" s="1"/>
  <c r="BK19" i="60"/>
  <c r="AE19" i="26" s="1"/>
  <c r="AG19" i="26" s="1"/>
  <c r="BK38" i="60"/>
  <c r="AE38" i="26" s="1"/>
  <c r="AG38" i="26" s="1"/>
  <c r="BK28" i="60"/>
  <c r="AE28" i="26" s="1"/>
  <c r="AG28" i="26" s="1"/>
  <c r="BK25" i="60"/>
  <c r="AE25" i="26" s="1"/>
  <c r="AG25" i="26" s="1"/>
  <c r="BK29" i="60"/>
  <c r="AE29" i="26" s="1"/>
  <c r="AG29" i="26" s="1"/>
  <c r="BK32" i="60"/>
  <c r="AE32" i="26" s="1"/>
  <c r="AG32" i="26" s="1"/>
  <c r="BK15" i="60"/>
  <c r="AE15" i="26" s="1"/>
  <c r="AG15" i="26" s="1"/>
  <c r="AQ7" i="60" l="1"/>
  <c r="AB7" i="60"/>
  <c r="AK7" i="60"/>
  <c r="AM7" i="60" s="1"/>
  <c r="AW7" i="60"/>
  <c r="AY7" i="60" s="1"/>
  <c r="AU7" i="60"/>
  <c r="BA7" i="60" s="1"/>
  <c r="BG7" i="60" s="1"/>
  <c r="Y7" i="60"/>
  <c r="AF7" i="60"/>
  <c r="Z7" i="60"/>
  <c r="AH7" i="60"/>
  <c r="AJ7" i="60" s="1"/>
  <c r="W7" i="60"/>
  <c r="AT7" i="60"/>
  <c r="AV7" i="60" s="1"/>
  <c r="V7" i="60"/>
  <c r="AC7" i="60"/>
  <c r="AE7" i="60"/>
  <c r="H7" i="26"/>
  <c r="U32" i="26"/>
  <c r="C544" i="62" s="1"/>
  <c r="AA26" i="26"/>
  <c r="F418" i="62" s="1"/>
  <c r="C419" i="62" s="1"/>
  <c r="N32" i="60"/>
  <c r="Z32" i="26" s="1"/>
  <c r="F538" i="62" s="1"/>
  <c r="U31" i="26"/>
  <c r="C523" i="62" s="1"/>
  <c r="C524" i="62" s="1"/>
  <c r="BK9" i="60"/>
  <c r="AE9" i="26" s="1"/>
  <c r="AG9" i="26" s="1"/>
  <c r="AA45" i="26"/>
  <c r="F817" i="62" s="1"/>
  <c r="C818" i="62" s="1"/>
  <c r="U12" i="26"/>
  <c r="C124" i="62" s="1"/>
  <c r="C125" i="62" s="1"/>
  <c r="AC20" i="26"/>
  <c r="F307" i="62"/>
  <c r="C293" i="62"/>
  <c r="C393" i="62"/>
  <c r="U15" i="26"/>
  <c r="AC15" i="26" s="1"/>
  <c r="U18" i="26"/>
  <c r="C250" i="62" s="1"/>
  <c r="C251" i="62" s="1"/>
  <c r="U36" i="26"/>
  <c r="C628" i="62" s="1"/>
  <c r="C629" i="62" s="1"/>
  <c r="AA13" i="26"/>
  <c r="F145" i="62" s="1"/>
  <c r="C146" i="62" s="1"/>
  <c r="U37" i="26"/>
  <c r="C649" i="62" s="1"/>
  <c r="C650" i="62" s="1"/>
  <c r="C435" i="62"/>
  <c r="N9" i="60"/>
  <c r="Z9" i="26" s="1"/>
  <c r="F55" i="62" s="1"/>
  <c r="AA35" i="26"/>
  <c r="F607" i="62" s="1"/>
  <c r="AA30" i="26"/>
  <c r="F502" i="62" s="1"/>
  <c r="C503" i="62" s="1"/>
  <c r="C771" i="62"/>
  <c r="AA49" i="26"/>
  <c r="F901" i="62" s="1"/>
  <c r="C78" i="62"/>
  <c r="C57" i="62"/>
  <c r="T35" i="26"/>
  <c r="U35" i="26" s="1"/>
  <c r="AC26" i="26"/>
  <c r="C666" i="62"/>
  <c r="N23" i="60"/>
  <c r="Z23" i="26" s="1"/>
  <c r="F349" i="62" s="1"/>
  <c r="U39" i="26"/>
  <c r="AC39" i="26" s="1"/>
  <c r="U41" i="26"/>
  <c r="C733" i="62" s="1"/>
  <c r="C314" i="62"/>
  <c r="AC21" i="26"/>
  <c r="N27" i="60"/>
  <c r="Z27" i="26" s="1"/>
  <c r="F433" i="62" s="1"/>
  <c r="C561" i="62"/>
  <c r="AC42" i="26"/>
  <c r="N33" i="60"/>
  <c r="Z33" i="26" s="1"/>
  <c r="F559" i="62" s="1"/>
  <c r="AA48" i="26"/>
  <c r="F880" i="62" s="1"/>
  <c r="U23" i="26"/>
  <c r="C355" i="62" s="1"/>
  <c r="N24" i="60"/>
  <c r="Z24" i="26" s="1"/>
  <c r="F370" i="62" s="1"/>
  <c r="U24" i="26"/>
  <c r="C376" i="62" s="1"/>
  <c r="Y8" i="26"/>
  <c r="F33" i="62" s="1"/>
  <c r="C99" i="62"/>
  <c r="AA40" i="26"/>
  <c r="F712" i="62" s="1"/>
  <c r="N7" i="60"/>
  <c r="Z7" i="26" s="1"/>
  <c r="F13" i="62" s="1"/>
  <c r="AA46" i="26"/>
  <c r="F838" i="62" s="1"/>
  <c r="T50" i="26"/>
  <c r="N50" i="60"/>
  <c r="Z50" i="26" s="1"/>
  <c r="F916" i="62" s="1"/>
  <c r="N8" i="60"/>
  <c r="Z8" i="26" s="1"/>
  <c r="F34" i="62" s="1"/>
  <c r="T8" i="26"/>
  <c r="N17" i="60"/>
  <c r="Z17" i="26" s="1"/>
  <c r="F223" i="62" s="1"/>
  <c r="T17" i="26"/>
  <c r="N28" i="60"/>
  <c r="Z28" i="26" s="1"/>
  <c r="F454" i="62" s="1"/>
  <c r="T28" i="26"/>
  <c r="T51" i="26"/>
  <c r="N51" i="60"/>
  <c r="Z51" i="26" s="1"/>
  <c r="F937" i="62" s="1"/>
  <c r="T34" i="26"/>
  <c r="N34" i="60"/>
  <c r="Z34" i="26" s="1"/>
  <c r="F580" i="62" s="1"/>
  <c r="T44" i="26"/>
  <c r="N44" i="60"/>
  <c r="Z44" i="26" s="1"/>
  <c r="F790" i="62" s="1"/>
  <c r="AC22" i="26"/>
  <c r="T46" i="26"/>
  <c r="T16" i="26"/>
  <c r="N16" i="60"/>
  <c r="Z16" i="26" s="1"/>
  <c r="F202" i="62" s="1"/>
  <c r="T40" i="26"/>
  <c r="U19" i="26"/>
  <c r="C271" i="62" s="1"/>
  <c r="AA41" i="26"/>
  <c r="F733" i="62" s="1"/>
  <c r="AA19" i="26"/>
  <c r="F271" i="62" s="1"/>
  <c r="C855" i="62"/>
  <c r="AC14" i="26"/>
  <c r="T7" i="26"/>
  <c r="C880" i="62"/>
  <c r="AC43" i="26"/>
  <c r="C775" i="62"/>
  <c r="C776" i="62" s="1"/>
  <c r="C103" i="62"/>
  <c r="C104" i="62" s="1"/>
  <c r="AC11" i="26"/>
  <c r="AC38" i="26"/>
  <c r="C670" i="62"/>
  <c r="C671" i="62" s="1"/>
  <c r="C565" i="62"/>
  <c r="C82" i="62"/>
  <c r="C83" i="62" s="1"/>
  <c r="AC10" i="26"/>
  <c r="C439" i="62"/>
  <c r="AC29" i="26"/>
  <c r="C481" i="62"/>
  <c r="C482" i="62" s="1"/>
  <c r="C859" i="62"/>
  <c r="C860" i="62" s="1"/>
  <c r="AC47" i="26"/>
  <c r="C397" i="62"/>
  <c r="C398" i="62" s="1"/>
  <c r="AC25" i="26"/>
  <c r="C901" i="62"/>
  <c r="AD7" i="60" l="1"/>
  <c r="AS7" i="60"/>
  <c r="AZ7" i="60"/>
  <c r="AG7" i="60"/>
  <c r="X7" i="60"/>
  <c r="AN7" i="60"/>
  <c r="AO7" i="60"/>
  <c r="BD7" i="60" s="1"/>
  <c r="BJ7" i="60" s="1"/>
  <c r="Y7" i="26" s="1"/>
  <c r="F12" i="62" s="1"/>
  <c r="AA7" i="60"/>
  <c r="AC31" i="26"/>
  <c r="AA32" i="26"/>
  <c r="AC36" i="26"/>
  <c r="AC45" i="26"/>
  <c r="AC12" i="26"/>
  <c r="C603" i="62"/>
  <c r="C187" i="62"/>
  <c r="C188" i="62" s="1"/>
  <c r="AC49" i="26"/>
  <c r="AA27" i="26"/>
  <c r="F439" i="62" s="1"/>
  <c r="C440" i="62" s="1"/>
  <c r="AC37" i="26"/>
  <c r="AC18" i="26"/>
  <c r="AC13" i="26"/>
  <c r="AC35" i="26"/>
  <c r="AA9" i="26"/>
  <c r="F61" i="62" s="1"/>
  <c r="C62" i="62" s="1"/>
  <c r="C902" i="62"/>
  <c r="AC30" i="26"/>
  <c r="C607" i="62"/>
  <c r="C608" i="62" s="1"/>
  <c r="AA23" i="26"/>
  <c r="AC23" i="26" s="1"/>
  <c r="C691" i="62"/>
  <c r="C692" i="62" s="1"/>
  <c r="AC48" i="26"/>
  <c r="AC41" i="26"/>
  <c r="C734" i="62"/>
  <c r="C881" i="62"/>
  <c r="AA24" i="26"/>
  <c r="F376" i="62" s="1"/>
  <c r="C377" i="62" s="1"/>
  <c r="AA33" i="26"/>
  <c r="AA8" i="26"/>
  <c r="F40" i="62" s="1"/>
  <c r="Z52" i="26"/>
  <c r="U40" i="26"/>
  <c r="C708" i="62"/>
  <c r="U44" i="26"/>
  <c r="C792" i="62"/>
  <c r="C939" i="62"/>
  <c r="U51" i="26"/>
  <c r="AA17" i="26"/>
  <c r="F229" i="62" s="1"/>
  <c r="AA50" i="26"/>
  <c r="F922" i="62" s="1"/>
  <c r="AA16" i="26"/>
  <c r="F208" i="62" s="1"/>
  <c r="AA34" i="26"/>
  <c r="F586" i="62" s="1"/>
  <c r="U28" i="26"/>
  <c r="C456" i="62"/>
  <c r="U50" i="26"/>
  <c r="C918" i="62"/>
  <c r="C15" i="62"/>
  <c r="U7" i="26"/>
  <c r="C19" i="62" s="1"/>
  <c r="U16" i="26"/>
  <c r="C204" i="62"/>
  <c r="C834" i="62"/>
  <c r="U46" i="26"/>
  <c r="U34" i="26"/>
  <c r="C582" i="62"/>
  <c r="AA28" i="26"/>
  <c r="F460" i="62" s="1"/>
  <c r="C36" i="62"/>
  <c r="U8" i="26"/>
  <c r="C40" i="62" s="1"/>
  <c r="AA44" i="26"/>
  <c r="F796" i="62" s="1"/>
  <c r="AA51" i="26"/>
  <c r="F943" i="62" s="1"/>
  <c r="U17" i="26"/>
  <c r="C225" i="62"/>
  <c r="C272" i="62"/>
  <c r="AC19" i="26"/>
  <c r="T52" i="26"/>
  <c r="BH7" i="60" l="1"/>
  <c r="BB7" i="60"/>
  <c r="AA7" i="26"/>
  <c r="F19" i="62" s="1"/>
  <c r="C20" i="62" s="1"/>
  <c r="Y52" i="26"/>
  <c r="BE7" i="60"/>
  <c r="BK7" i="60" s="1"/>
  <c r="AE7" i="26" s="1"/>
  <c r="AP7" i="60"/>
  <c r="F544" i="62"/>
  <c r="C545" i="62" s="1"/>
  <c r="AC32" i="26"/>
  <c r="AC27" i="26"/>
  <c r="F355" i="62"/>
  <c r="C356" i="62" s="1"/>
  <c r="AC9" i="26"/>
  <c r="AC24" i="26"/>
  <c r="F565" i="62"/>
  <c r="C566" i="62" s="1"/>
  <c r="AC33" i="26"/>
  <c r="C41" i="62"/>
  <c r="C943" i="62"/>
  <c r="C944" i="62" s="1"/>
  <c r="AC51" i="26"/>
  <c r="AC8" i="26"/>
  <c r="C229" i="62"/>
  <c r="C230" i="62" s="1"/>
  <c r="AC17" i="26"/>
  <c r="C586" i="62"/>
  <c r="C587" i="62" s="1"/>
  <c r="AC34" i="26"/>
  <c r="C208" i="62"/>
  <c r="C209" i="62" s="1"/>
  <c r="AC16" i="26"/>
  <c r="C922" i="62"/>
  <c r="C923" i="62" s="1"/>
  <c r="AC50" i="26"/>
  <c r="C838" i="62"/>
  <c r="C839" i="62" s="1"/>
  <c r="AC46" i="26"/>
  <c r="C460" i="62"/>
  <c r="C461" i="62" s="1"/>
  <c r="AC28" i="26"/>
  <c r="C796" i="62"/>
  <c r="C797" i="62" s="1"/>
  <c r="AC44" i="26"/>
  <c r="C712" i="62"/>
  <c r="C713" i="62" s="1"/>
  <c r="AC40" i="26"/>
  <c r="AC7" i="26"/>
  <c r="U52" i="26"/>
  <c r="AA52" i="26" l="1"/>
  <c r="AG7" i="26"/>
  <c r="AG52" i="26" s="1"/>
  <c r="AH6" i="26" s="1"/>
  <c r="AE52" i="26"/>
  <c r="AC52" i="26"/>
  <c r="AP7" i="26"/>
  <c r="AQ7" i="26" s="1"/>
</calcChain>
</file>

<file path=xl/sharedStrings.xml><?xml version="1.0" encoding="utf-8"?>
<sst xmlns="http://schemas.openxmlformats.org/spreadsheetml/2006/main" count="966" uniqueCount="196">
  <si>
    <t>SI</t>
  </si>
  <si>
    <t>NO</t>
  </si>
  <si>
    <t>ISN</t>
  </si>
  <si>
    <t>IMSS</t>
  </si>
  <si>
    <t>CALCULO MENSUAL</t>
  </si>
  <si>
    <t>CALCULO BIMESTRE</t>
  </si>
  <si>
    <t>ENFERMEDADES Y MATERNIDAD</t>
  </si>
  <si>
    <t>RIESGO DE TRABAJO</t>
  </si>
  <si>
    <t>GUARDERIAS Y PRESTACIONES SOCIALES</t>
  </si>
  <si>
    <t>TOTAL PATRONAL</t>
  </si>
  <si>
    <t>TOTAL TRABAJADOR</t>
  </si>
  <si>
    <t>TOTAL GENERAL</t>
  </si>
  <si>
    <t>RETIRO</t>
  </si>
  <si>
    <t>INFONAVIT</t>
  </si>
  <si>
    <t>TOTAL</t>
  </si>
  <si>
    <t>Enero</t>
  </si>
  <si>
    <t>CUOTA FIJA</t>
  </si>
  <si>
    <t>CUOTA ADICIONAL</t>
  </si>
  <si>
    <t>PRESTACIONES EN DINERO</t>
  </si>
  <si>
    <t>PATRONAL</t>
  </si>
  <si>
    <t>TRABAJADOR</t>
  </si>
  <si>
    <t>N/A</t>
  </si>
  <si>
    <t>0.70% DEL SDI</t>
  </si>
  <si>
    <t>0.250% DEL SDI</t>
  </si>
  <si>
    <t>1.75% DEL SDI</t>
  </si>
  <si>
    <t>0.625% DEL SDI</t>
  </si>
  <si>
    <t>PORCENTAJE DE LA PRIMA</t>
  </si>
  <si>
    <t>NA</t>
  </si>
  <si>
    <t>1% DEL SDI</t>
  </si>
  <si>
    <t>2% DEL SDI</t>
  </si>
  <si>
    <t>3.150% DEL SDI</t>
  </si>
  <si>
    <t>1.125% DEL SDI</t>
  </si>
  <si>
    <t>NOMBRE</t>
  </si>
  <si>
    <t>Total Percepciones</t>
  </si>
  <si>
    <t>Base para Impuestos</t>
  </si>
  <si>
    <t>Limite Inferior</t>
  </si>
  <si>
    <t>% a Aplicar</t>
  </si>
  <si>
    <t>Impuesto Marginal</t>
  </si>
  <si>
    <t>Cuota Fija</t>
  </si>
  <si>
    <t>ISR Antes de Subsidio</t>
  </si>
  <si>
    <t>Subsidio</t>
  </si>
  <si>
    <t>FACTOR DE INTEGRACION</t>
  </si>
  <si>
    <t>SALARIO DIARIO INTEGRADO</t>
  </si>
  <si>
    <t>Límite Inferior</t>
  </si>
  <si>
    <t>Límite Superior</t>
  </si>
  <si>
    <t>% sobre excente de límite inferior</t>
  </si>
  <si>
    <t>Año</t>
  </si>
  <si>
    <t>Dias Antigüedad</t>
  </si>
  <si>
    <t>Dias Vacaciones</t>
  </si>
  <si>
    <t>Factor de Integracion</t>
  </si>
  <si>
    <t>Febrero</t>
  </si>
  <si>
    <t>Marzo</t>
  </si>
  <si>
    <t>Abril</t>
  </si>
  <si>
    <t>Mayo</t>
  </si>
  <si>
    <t>Junio</t>
  </si>
  <si>
    <t>Julio</t>
  </si>
  <si>
    <t>proporcion</t>
  </si>
  <si>
    <t>Agosto</t>
  </si>
  <si>
    <t>Sueldo</t>
  </si>
  <si>
    <t>Septiembre</t>
  </si>
  <si>
    <t>Vacaciones</t>
  </si>
  <si>
    <t>Octubre</t>
  </si>
  <si>
    <t>Prima Vacacional</t>
  </si>
  <si>
    <t>Noviembre</t>
  </si>
  <si>
    <t>Aguinaldo</t>
  </si>
  <si>
    <t>Diciembre</t>
  </si>
  <si>
    <t>Límite inferior</t>
  </si>
  <si>
    <t>Límite superior</t>
  </si>
  <si>
    <t>GASTOS MEDICOS PENSIONADOS</t>
  </si>
  <si>
    <t>1.05% DEL SDI</t>
  </si>
  <si>
    <t>0.375% DEL SDI</t>
  </si>
  <si>
    <t>ISR</t>
  </si>
  <si>
    <t>Total Deducciones</t>
  </si>
  <si>
    <t>Clase</t>
  </si>
  <si>
    <t>20.40% DEL SMGVDF</t>
  </si>
  <si>
    <t>Excedente</t>
  </si>
  <si>
    <t>0.40% DEL EXCEDENTE DE 3 SMGVDF</t>
  </si>
  <si>
    <t>1.10% DEL EXCEDENTE DE 3 SMGVDF</t>
  </si>
  <si>
    <t>INVALIDEZ Y VIDA</t>
  </si>
  <si>
    <t>CESANTIA Y VEJEZ</t>
  </si>
  <si>
    <t>I</t>
  </si>
  <si>
    <t>II</t>
  </si>
  <si>
    <t>III</t>
  </si>
  <si>
    <t>Prima</t>
  </si>
  <si>
    <t>Percepciones</t>
  </si>
  <si>
    <t>Deducciones</t>
  </si>
  <si>
    <t>Sueldo Diario</t>
  </si>
  <si>
    <t>Dias a Pagar</t>
  </si>
  <si>
    <t>Dias Mes</t>
  </si>
  <si>
    <t>Dias Bimestre</t>
  </si>
  <si>
    <t>NETO A PAGAR</t>
  </si>
  <si>
    <t>IMSS EMPRESA</t>
  </si>
  <si>
    <t>Diario Mensual Trabajador</t>
  </si>
  <si>
    <t>Diario Mensual Empresa</t>
  </si>
  <si>
    <t>Diario Bimestral Trabajador</t>
  </si>
  <si>
    <t>Diario Bimestral Empresa</t>
  </si>
  <si>
    <t>Total Diario Trabajador</t>
  </si>
  <si>
    <t>Total Diario Empresa</t>
  </si>
  <si>
    <t>SUB</t>
  </si>
  <si>
    <t>Sueldo Mensual</t>
  </si>
  <si>
    <t>UMA</t>
  </si>
  <si>
    <t>Registro</t>
  </si>
  <si>
    <t>Carga Social</t>
  </si>
  <si>
    <t>Carga Social Promedio</t>
  </si>
  <si>
    <t>Fecha de Ingreso</t>
  </si>
  <si>
    <t>SDI</t>
  </si>
  <si>
    <t>Neto a Llegar</t>
  </si>
  <si>
    <t>Diferencia</t>
  </si>
  <si>
    <t>Valor de E</t>
  </si>
  <si>
    <t>IV</t>
  </si>
  <si>
    <t>V</t>
  </si>
  <si>
    <t>101 I</t>
  </si>
  <si>
    <t>108 I</t>
  </si>
  <si>
    <t>107 II</t>
  </si>
  <si>
    <t>105 III</t>
  </si>
  <si>
    <t>101 IV</t>
  </si>
  <si>
    <t>101 V</t>
  </si>
  <si>
    <t xml:space="preserve">Paso 1 </t>
  </si>
  <si>
    <t>NOMINA:</t>
  </si>
  <si>
    <t>TIPO:</t>
  </si>
  <si>
    <t>PERIODO:</t>
  </si>
  <si>
    <t>Quincenal</t>
  </si>
  <si>
    <t>Apellido (s)</t>
  </si>
  <si>
    <t>Nombre (s)</t>
  </si>
  <si>
    <t>No. Colab</t>
  </si>
  <si>
    <t xml:space="preserve">Luis Manuel </t>
  </si>
  <si>
    <t>Mínimo</t>
  </si>
  <si>
    <t>Bajo</t>
  </si>
  <si>
    <t>Medio</t>
  </si>
  <si>
    <t>Alto</t>
  </si>
  <si>
    <t>Máximo</t>
  </si>
  <si>
    <t xml:space="preserve">Resto del Pais </t>
  </si>
  <si>
    <t>Zona Norte</t>
  </si>
  <si>
    <t xml:space="preserve">Calculo de Impuestos </t>
  </si>
  <si>
    <t>Paso 2</t>
  </si>
  <si>
    <t xml:space="preserve">Ingresos los datos de los colaboradores, en la celda correspondiente </t>
  </si>
  <si>
    <t xml:space="preserve"> - Consecutivo o No. De colaborador asignado</t>
  </si>
  <si>
    <t xml:space="preserve"> - Nombre(s) de colaborador </t>
  </si>
  <si>
    <t xml:space="preserve"> - Apellido(s) de colaborador </t>
  </si>
  <si>
    <t xml:space="preserve"> - Fecha de ingreso a la empresa</t>
  </si>
  <si>
    <t xml:space="preserve"> - Cuanto percibe  (Bruto) el colaborador al Mes</t>
  </si>
  <si>
    <t>Instrucciones</t>
  </si>
  <si>
    <t xml:space="preserve">Verifica que tu Prima de riesgo ante el IMSS  sea correcta </t>
  </si>
  <si>
    <t>Puesto</t>
  </si>
  <si>
    <t xml:space="preserve">Jorge </t>
  </si>
  <si>
    <t xml:space="preserve">Guadalupe </t>
  </si>
  <si>
    <t>Administracion</t>
  </si>
  <si>
    <t>Auxiliar de Almacen</t>
  </si>
  <si>
    <t>Recepcionista</t>
  </si>
  <si>
    <t xml:space="preserve">Sueldo diario </t>
  </si>
  <si>
    <t xml:space="preserve">Nombre del Colaborador </t>
  </si>
  <si>
    <t>No. Colaborador</t>
  </si>
  <si>
    <t>Recibo de Nómina</t>
  </si>
  <si>
    <t>Periodo del:</t>
  </si>
  <si>
    <t>al:</t>
  </si>
  <si>
    <t>Nombre de la Empresa:</t>
  </si>
  <si>
    <t xml:space="preserve"> - Puesto que ocupa dentro de la empresa</t>
  </si>
  <si>
    <t>Paso 3</t>
  </si>
  <si>
    <t xml:space="preserve">Los recibos de Nómina estan vinculados a la hoja de Nomina y estan de acuerdo al numero de colaborador </t>
  </si>
  <si>
    <t xml:space="preserve">Esta plantilla de Nomina, tiene datos "ejemplo" en la hoja de Nomina y estan marcados en rojo para identificar, borrar o sobreescribir </t>
  </si>
  <si>
    <t>No sobreescribir, ni borrar para no mover las formulas de la Hoja de "Nomina"</t>
  </si>
  <si>
    <t>Horas Extras</t>
  </si>
  <si>
    <t>Comisiones</t>
  </si>
  <si>
    <t>Bono x Puntualidad</t>
  </si>
  <si>
    <t xml:space="preserve">Bono x Asistencia </t>
  </si>
  <si>
    <t>Total Percepciones Gravadas</t>
  </si>
  <si>
    <t>Total Percepciones No Gravadas</t>
  </si>
  <si>
    <r>
      <t xml:space="preserve">En la hoja de </t>
    </r>
    <r>
      <rPr>
        <b/>
        <sz val="11"/>
        <color theme="1"/>
        <rFont val="Franklin Gothic Book"/>
        <family val="2"/>
      </rPr>
      <t>Tablas</t>
    </r>
    <r>
      <rPr>
        <sz val="11"/>
        <color theme="1"/>
        <rFont val="Franklin Gothic Book"/>
        <family val="2"/>
      </rPr>
      <t xml:space="preserve"> esta el desglose de la clasificaciòn, y en la hoja de </t>
    </r>
    <r>
      <rPr>
        <b/>
        <sz val="11"/>
        <color theme="1"/>
        <rFont val="Franklin Gothic Book"/>
        <family val="2"/>
      </rPr>
      <t>Nomina</t>
    </r>
    <r>
      <rPr>
        <sz val="11"/>
        <color theme="1"/>
        <rFont val="Franklin Gothic Book"/>
        <family val="2"/>
      </rPr>
      <t xml:space="preserve"> en la celda AG6, se cambia</t>
    </r>
  </si>
  <si>
    <t>En adelante</t>
  </si>
  <si>
    <t>Despensa</t>
  </si>
  <si>
    <t>Cambiar las columnas que estan en amarillo, las que estan en blanco contiene formulas (cuidado al sobre-escribir)</t>
  </si>
  <si>
    <t>Sueldo Quincenal</t>
  </si>
  <si>
    <t>Faltas</t>
  </si>
  <si>
    <t xml:space="preserve">Dias del Mes trabajados </t>
  </si>
  <si>
    <t>Cálculo de Nómina Quincenal</t>
  </si>
  <si>
    <t>Dias de proporcion</t>
  </si>
  <si>
    <t>Dias</t>
  </si>
  <si>
    <t>Años laborados</t>
  </si>
  <si>
    <t>Días de vacaciones 2022</t>
  </si>
  <si>
    <t>Año 1</t>
  </si>
  <si>
    <t>6 días</t>
  </si>
  <si>
    <t>Año 2</t>
  </si>
  <si>
    <t>8 días</t>
  </si>
  <si>
    <t>Año 3</t>
  </si>
  <si>
    <t>10 días</t>
  </si>
  <si>
    <t>Año 4</t>
  </si>
  <si>
    <t>12 días</t>
  </si>
  <si>
    <t>De 5 a 9 años</t>
  </si>
  <si>
    <t>14 días</t>
  </si>
  <si>
    <t>De 10 a 14 años</t>
  </si>
  <si>
    <t>16 días</t>
  </si>
  <si>
    <t>De 15 a 19 años</t>
  </si>
  <si>
    <t>18 días</t>
  </si>
  <si>
    <t>De 20 a 24 años</t>
  </si>
  <si>
    <t>20 días</t>
  </si>
  <si>
    <t>Paterno y Materno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</si>
</sst>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(&quot;$&quot;* #,##0.00_);_(&quot;$&quot;* \(#,##0.00\);_(&quot;$&quot;* &quot;-&quot;??_);_(@_)"/>
    <numFmt numFmtId="166" formatCode="_-[$€-2]* #,##0.00_-;\-[$€-2]* #,##0.00_-;_-[$€-2]* &quot;-&quot;??_-"/>
    <numFmt numFmtId="167" formatCode="_(* #,##0.00_);_(* \(#,##0.00\);_(* &quot;-&quot;??_);_(@_)"/>
    <numFmt numFmtId="168" formatCode="_-* #,##0.00\ &quot;DM&quot;_-;\-* #,##0.00\ &quot;DM&quot;_-;_-* &quot;-&quot;??\ &quot;DM&quot;_-;_-@_-"/>
    <numFmt numFmtId="169" formatCode="General_)"/>
    <numFmt numFmtId="170" formatCode="0.000%"/>
    <numFmt numFmtId="171" formatCode="0.0000"/>
    <numFmt numFmtId="172" formatCode="0.00000"/>
    <numFmt numFmtId="173" formatCode="0.00000%"/>
    <numFmt numFmtId="174" formatCode="_-* #,##0.0000_-;\-* #,##0.0000_-;_-* &quot;-&quot;??_-;_-@_-"/>
    <numFmt numFmtId="175" formatCode="_(* #,##0_);_(* \(#,##0\);_(* &quot;-&quot;??_);_(@_)"/>
    <numFmt numFmtId="176" formatCode="#,##0.00_ ;\-#,##0.00\ 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6"/>
      <color rgb="FF00800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8000"/>
      <name val="Arial"/>
      <family val="2"/>
    </font>
    <font>
      <sz val="10"/>
      <color theme="1"/>
      <name val="Arial"/>
      <family val="2"/>
    </font>
    <font>
      <sz val="11"/>
      <color theme="1"/>
      <name val="Franklin Gothic Book"/>
      <family val="2"/>
    </font>
    <font>
      <b/>
      <sz val="14"/>
      <color theme="0"/>
      <name val="Franklin Gothic Book"/>
      <family val="2"/>
    </font>
    <font>
      <b/>
      <sz val="28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36"/>
      <color theme="0"/>
      <name val="Franklin Gothic Demi"/>
      <family val="2"/>
    </font>
    <font>
      <sz val="11"/>
      <color theme="0"/>
      <name val="Franklin Gothic Demi"/>
      <family val="2"/>
    </font>
    <font>
      <sz val="11"/>
      <color theme="0"/>
      <name val="Franklin Gothic Book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8"/>
      <color rgb="FFFFFF00"/>
      <name val="Arial"/>
      <family val="2"/>
    </font>
    <font>
      <sz val="10"/>
      <color rgb="FFFFFF00"/>
      <name val="Franklin Gothic Book"/>
      <family val="2"/>
    </font>
    <font>
      <b/>
      <sz val="12"/>
      <name val="Cambria"/>
      <family val="2"/>
      <scheme val="major"/>
    </font>
    <font>
      <sz val="14"/>
      <color theme="1"/>
      <name val="Franklin Gothic Book"/>
      <family val="2"/>
    </font>
    <font>
      <b/>
      <sz val="16"/>
      <color theme="1"/>
      <name val="Franklin Gothic Book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39933"/>
        <bgColor indexed="64"/>
      </patternFill>
    </fill>
    <fill>
      <patternFill patternType="solid">
        <fgColor rgb="FF339966"/>
        <bgColor rgb="FFFFFFFF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rgb="FF0099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2" applyNumberFormat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>
      <alignment vertical="center"/>
    </xf>
    <xf numFmtId="0" fontId="1" fillId="0" borderId="0"/>
    <xf numFmtId="0" fontId="10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169" fontId="16" fillId="0" borderId="0"/>
    <xf numFmtId="169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2" fontId="13" fillId="0" borderId="0">
      <alignment horizontal="center"/>
    </xf>
    <xf numFmtId="0" fontId="10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23" borderId="5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8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5" fillId="0" borderId="0"/>
    <xf numFmtId="0" fontId="2" fillId="0" borderId="0"/>
    <xf numFmtId="0" fontId="4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6" fillId="0" borderId="0"/>
    <xf numFmtId="0" fontId="50" fillId="0" borderId="0"/>
  </cellStyleXfs>
  <cellXfs count="203">
    <xf numFmtId="0" fontId="0" fillId="0" borderId="0" xfId="0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43" fontId="27" fillId="0" borderId="0" xfId="1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43" fontId="27" fillId="0" borderId="0" xfId="1" applyFont="1" applyAlignment="1" applyProtection="1">
      <alignment vertical="center"/>
    </xf>
    <xf numFmtId="43" fontId="27" fillId="0" borderId="0" xfId="1" applyFont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9" fillId="0" borderId="0" xfId="201" applyFont="1" applyAlignment="1">
      <alignment vertical="center"/>
    </xf>
    <xf numFmtId="0" fontId="30" fillId="0" borderId="0" xfId="201" applyFont="1" applyAlignment="1">
      <alignment horizontal="right" vertical="center"/>
    </xf>
    <xf numFmtId="0" fontId="31" fillId="0" borderId="0" xfId="201" applyFont="1" applyAlignment="1">
      <alignment vertical="center"/>
    </xf>
    <xf numFmtId="0" fontId="29" fillId="0" borderId="0" xfId="49" applyNumberFormat="1" applyFont="1" applyFill="1" applyBorder="1" applyAlignment="1" applyProtection="1">
      <alignment vertical="center"/>
    </xf>
    <xf numFmtId="0" fontId="29" fillId="0" borderId="0" xfId="49" applyNumberFormat="1" applyFont="1" applyFill="1" applyBorder="1" applyAlignment="1" applyProtection="1">
      <alignment horizontal="center" vertical="center"/>
    </xf>
    <xf numFmtId="43" fontId="29" fillId="0" borderId="0" xfId="49" applyFont="1" applyFill="1" applyBorder="1" applyAlignment="1" applyProtection="1">
      <alignment vertical="center"/>
    </xf>
    <xf numFmtId="43" fontId="29" fillId="0" borderId="0" xfId="1" applyFont="1" applyFill="1" applyBorder="1" applyAlignment="1" applyProtection="1">
      <alignment vertical="center"/>
    </xf>
    <xf numFmtId="0" fontId="13" fillId="0" borderId="0" xfId="201" applyFont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0" fontId="33" fillId="25" borderId="19" xfId="201" applyFont="1" applyFill="1" applyBorder="1" applyAlignment="1">
      <alignment horizontal="center" vertical="center" wrapText="1"/>
    </xf>
    <xf numFmtId="43" fontId="13" fillId="0" borderId="0" xfId="1" applyFont="1" applyFill="1" applyBorder="1" applyAlignment="1" applyProtection="1">
      <alignment horizontal="center" vertical="center"/>
    </xf>
    <xf numFmtId="0" fontId="33" fillId="25" borderId="1" xfId="201" applyFont="1" applyFill="1" applyBorder="1" applyAlignment="1">
      <alignment horizontal="center" vertical="center" wrapText="1"/>
    </xf>
    <xf numFmtId="0" fontId="33" fillId="25" borderId="1" xfId="49" applyNumberFormat="1" applyFont="1" applyFill="1" applyBorder="1" applyAlignment="1" applyProtection="1">
      <alignment horizontal="center" vertical="center" wrapText="1"/>
    </xf>
    <xf numFmtId="43" fontId="33" fillId="25" borderId="1" xfId="49" applyFont="1" applyFill="1" applyBorder="1" applyAlignment="1" applyProtection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33" fillId="25" borderId="1" xfId="201" applyFont="1" applyFill="1" applyBorder="1" applyAlignment="1">
      <alignment horizontal="center" vertical="center"/>
    </xf>
    <xf numFmtId="0" fontId="33" fillId="25" borderId="11" xfId="201" applyFont="1" applyFill="1" applyBorder="1" applyAlignment="1">
      <alignment horizontal="center" vertical="center"/>
    </xf>
    <xf numFmtId="10" fontId="33" fillId="25" borderId="14" xfId="233" applyNumberFormat="1" applyFont="1" applyFill="1" applyBorder="1" applyAlignment="1" applyProtection="1">
      <alignment horizontal="center" vertical="center"/>
    </xf>
    <xf numFmtId="0" fontId="33" fillId="25" borderId="15" xfId="201" applyFont="1" applyFill="1" applyBorder="1" applyAlignment="1">
      <alignment horizontal="center" vertical="center"/>
    </xf>
    <xf numFmtId="0" fontId="13" fillId="0" borderId="16" xfId="201" applyFont="1" applyBorder="1" applyAlignment="1">
      <alignment horizontal="center" vertical="center"/>
    </xf>
    <xf numFmtId="0" fontId="33" fillId="25" borderId="17" xfId="201" applyFont="1" applyFill="1" applyBorder="1" applyAlignment="1">
      <alignment horizontal="center" vertical="center"/>
    </xf>
    <xf numFmtId="173" fontId="13" fillId="0" borderId="18" xfId="233" applyNumberFormat="1" applyFont="1" applyFill="1" applyBorder="1" applyAlignment="1" applyProtection="1">
      <alignment horizontal="center" vertical="center"/>
    </xf>
    <xf numFmtId="0" fontId="10" fillId="0" borderId="1" xfId="237" applyFont="1" applyBorder="1" applyAlignment="1">
      <alignment horizontal="center" vertical="center"/>
    </xf>
    <xf numFmtId="43" fontId="10" fillId="0" borderId="1" xfId="1" applyFont="1" applyFill="1" applyBorder="1" applyAlignment="1" applyProtection="1">
      <alignment vertical="center"/>
    </xf>
    <xf numFmtId="14" fontId="10" fillId="0" borderId="1" xfId="1" applyNumberFormat="1" applyFont="1" applyFill="1" applyBorder="1" applyAlignment="1" applyProtection="1">
      <alignment vertical="center"/>
    </xf>
    <xf numFmtId="43" fontId="35" fillId="0" borderId="1" xfId="1" applyFont="1" applyFill="1" applyBorder="1" applyAlignment="1" applyProtection="1">
      <alignment vertical="center"/>
    </xf>
    <xf numFmtId="43" fontId="35" fillId="0" borderId="1" xfId="0" applyNumberFormat="1" applyFont="1" applyBorder="1" applyAlignment="1">
      <alignment horizontal="center" vertical="center"/>
    </xf>
    <xf numFmtId="43" fontId="35" fillId="0" borderId="1" xfId="49" applyFont="1" applyFill="1" applyBorder="1" applyAlignment="1" applyProtection="1">
      <alignment vertical="center"/>
    </xf>
    <xf numFmtId="0" fontId="35" fillId="0" borderId="0" xfId="0" applyFont="1" applyAlignment="1">
      <alignment vertical="center"/>
    </xf>
    <xf numFmtId="43" fontId="10" fillId="0" borderId="1" xfId="201" applyNumberFormat="1" applyFont="1" applyBorder="1" applyAlignment="1">
      <alignment vertical="center"/>
    </xf>
    <xf numFmtId="10" fontId="10" fillId="0" borderId="1" xfId="233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0" fillId="0" borderId="0" xfId="201" applyNumberFormat="1" applyFont="1" applyAlignment="1">
      <alignment vertical="center"/>
    </xf>
    <xf numFmtId="0" fontId="10" fillId="0" borderId="0" xfId="201" applyFont="1" applyAlignment="1">
      <alignment vertical="center"/>
    </xf>
    <xf numFmtId="10" fontId="10" fillId="0" borderId="0" xfId="233" applyNumberFormat="1" applyFont="1" applyFill="1" applyBorder="1" applyAlignment="1" applyProtection="1">
      <alignment vertical="center"/>
    </xf>
    <xf numFmtId="43" fontId="10" fillId="0" borderId="0" xfId="233" applyNumberFormat="1" applyFont="1" applyFill="1" applyBorder="1" applyAlignment="1" applyProtection="1">
      <alignment vertical="center"/>
    </xf>
    <xf numFmtId="174" fontId="10" fillId="0" borderId="0" xfId="1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43" fontId="10" fillId="26" borderId="1" xfId="1" applyFont="1" applyFill="1" applyBorder="1" applyAlignment="1" applyProtection="1">
      <alignment horizontal="center" vertical="center" wrapText="1"/>
    </xf>
    <xf numFmtId="10" fontId="10" fillId="26" borderId="1" xfId="233" applyNumberFormat="1" applyFont="1" applyFill="1" applyBorder="1" applyAlignment="1" applyProtection="1">
      <alignment horizontal="center" vertical="center" wrapText="1"/>
    </xf>
    <xf numFmtId="0" fontId="13" fillId="0" borderId="0" xfId="201" applyFont="1" applyAlignment="1">
      <alignment vertical="center"/>
    </xf>
    <xf numFmtId="0" fontId="13" fillId="0" borderId="0" xfId="49" applyNumberFormat="1" applyFont="1" applyFill="1" applyBorder="1" applyAlignment="1" applyProtection="1">
      <alignment vertical="center"/>
    </xf>
    <xf numFmtId="43" fontId="13" fillId="0" borderId="0" xfId="49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/>
    </xf>
    <xf numFmtId="0" fontId="36" fillId="0" borderId="20" xfId="0" applyFont="1" applyBorder="1"/>
    <xf numFmtId="0" fontId="36" fillId="0" borderId="22" xfId="0" applyFont="1" applyBorder="1"/>
    <xf numFmtId="0" fontId="36" fillId="0" borderId="23" xfId="0" applyFont="1" applyBorder="1"/>
    <xf numFmtId="0" fontId="36" fillId="0" borderId="24" xfId="0" applyFont="1" applyBorder="1"/>
    <xf numFmtId="43" fontId="36" fillId="0" borderId="20" xfId="0" applyNumberFormat="1" applyFont="1" applyBorder="1"/>
    <xf numFmtId="0" fontId="36" fillId="0" borderId="20" xfId="0" applyFont="1" applyBorder="1" applyAlignment="1">
      <alignment vertical="center"/>
    </xf>
    <xf numFmtId="0" fontId="36" fillId="0" borderId="25" xfId="0" applyFont="1" applyBorder="1"/>
    <xf numFmtId="0" fontId="39" fillId="0" borderId="23" xfId="0" applyFont="1" applyBorder="1"/>
    <xf numFmtId="43" fontId="36" fillId="0" borderId="23" xfId="0" applyNumberFormat="1" applyFont="1" applyBorder="1"/>
    <xf numFmtId="0" fontId="38" fillId="0" borderId="26" xfId="0" applyFont="1" applyBorder="1"/>
    <xf numFmtId="0" fontId="36" fillId="0" borderId="26" xfId="0" applyFont="1" applyBorder="1"/>
    <xf numFmtId="0" fontId="42" fillId="25" borderId="0" xfId="0" applyFont="1" applyFill="1" applyAlignment="1">
      <alignment vertical="center"/>
    </xf>
    <xf numFmtId="0" fontId="41" fillId="25" borderId="0" xfId="0" applyFont="1" applyFill="1"/>
    <xf numFmtId="0" fontId="26" fillId="25" borderId="0" xfId="0" applyFont="1" applyFill="1" applyAlignment="1">
      <alignment vertical="center"/>
    </xf>
    <xf numFmtId="0" fontId="28" fillId="25" borderId="0" xfId="0" applyFont="1" applyFill="1" applyAlignment="1">
      <alignment vertical="center"/>
    </xf>
    <xf numFmtId="43" fontId="28" fillId="25" borderId="0" xfId="1" applyFont="1" applyFill="1" applyAlignment="1" applyProtection="1">
      <alignment vertical="center"/>
    </xf>
    <xf numFmtId="0" fontId="45" fillId="25" borderId="0" xfId="238" applyFill="1" applyBorder="1" applyAlignment="1"/>
    <xf numFmtId="0" fontId="47" fillId="28" borderId="0" xfId="240" applyFont="1" applyFill="1"/>
    <xf numFmtId="0" fontId="29" fillId="0" borderId="0" xfId="201" applyFont="1" applyAlignment="1">
      <alignment horizontal="left" vertical="center"/>
    </xf>
    <xf numFmtId="15" fontId="32" fillId="0" borderId="0" xfId="201" applyNumberFormat="1" applyFont="1" applyAlignment="1">
      <alignment horizontal="center" vertical="center"/>
    </xf>
    <xf numFmtId="0" fontId="48" fillId="25" borderId="1" xfId="201" applyFont="1" applyFill="1" applyBorder="1" applyAlignment="1">
      <alignment horizontal="center" vertical="center" wrapText="1"/>
    </xf>
    <xf numFmtId="0" fontId="48" fillId="25" borderId="1" xfId="49" applyNumberFormat="1" applyFont="1" applyFill="1" applyBorder="1" applyAlignment="1" applyProtection="1">
      <alignment horizontal="center" vertical="center" wrapText="1"/>
    </xf>
    <xf numFmtId="43" fontId="48" fillId="25" borderId="1" xfId="49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9" fillId="25" borderId="1" xfId="201" applyFont="1" applyFill="1" applyBorder="1" applyAlignment="1">
      <alignment horizontal="center" vertical="center" wrapText="1"/>
    </xf>
    <xf numFmtId="0" fontId="49" fillId="25" borderId="1" xfId="49" applyNumberFormat="1" applyFont="1" applyFill="1" applyBorder="1" applyAlignment="1" applyProtection="1">
      <alignment horizontal="center" vertical="center" wrapText="1"/>
    </xf>
    <xf numFmtId="0" fontId="35" fillId="0" borderId="1" xfId="1" applyNumberFormat="1" applyFont="1" applyFill="1" applyBorder="1" applyAlignment="1" applyProtection="1">
      <alignment horizontal="center" vertical="center"/>
    </xf>
    <xf numFmtId="0" fontId="27" fillId="0" borderId="34" xfId="0" applyFont="1" applyBorder="1" applyAlignment="1">
      <alignment vertical="center"/>
    </xf>
    <xf numFmtId="43" fontId="27" fillId="0" borderId="34" xfId="0" applyNumberFormat="1" applyFont="1" applyBorder="1" applyAlignment="1">
      <alignment vertical="center"/>
    </xf>
    <xf numFmtId="0" fontId="27" fillId="0" borderId="34" xfId="0" applyFont="1" applyBorder="1" applyAlignment="1">
      <alignment horizontal="center" vertical="center"/>
    </xf>
    <xf numFmtId="43" fontId="27" fillId="0" borderId="34" xfId="1" applyFont="1" applyFill="1" applyBorder="1" applyAlignment="1" applyProtection="1">
      <alignment vertical="center"/>
    </xf>
    <xf numFmtId="10" fontId="27" fillId="0" borderId="34" xfId="233" applyNumberFormat="1" applyFont="1" applyFill="1" applyBorder="1" applyAlignment="1" applyProtection="1">
      <alignment vertical="center"/>
    </xf>
    <xf numFmtId="174" fontId="27" fillId="0" borderId="34" xfId="1" applyNumberFormat="1" applyFont="1" applyBorder="1" applyAlignment="1" applyProtection="1">
      <alignment vertical="center"/>
    </xf>
    <xf numFmtId="171" fontId="27" fillId="0" borderId="34" xfId="0" applyNumberFormat="1" applyFont="1" applyBorder="1" applyAlignment="1">
      <alignment vertical="center"/>
    </xf>
    <xf numFmtId="43" fontId="25" fillId="0" borderId="34" xfId="1" applyFont="1" applyFill="1" applyBorder="1" applyAlignment="1" applyProtection="1">
      <alignment horizontal="right" vertical="center"/>
    </xf>
    <xf numFmtId="43" fontId="27" fillId="0" borderId="34" xfId="1" applyFont="1" applyBorder="1" applyAlignment="1" applyProtection="1">
      <alignment vertical="center"/>
    </xf>
    <xf numFmtId="43" fontId="25" fillId="0" borderId="34" xfId="1" applyFont="1" applyFill="1" applyBorder="1" applyAlignment="1">
      <alignment vertical="center"/>
    </xf>
    <xf numFmtId="0" fontId="25" fillId="0" borderId="34" xfId="0" applyFont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27" borderId="34" xfId="0" applyFont="1" applyFill="1" applyBorder="1" applyAlignment="1">
      <alignment horizontal="center" vertical="center" wrapText="1"/>
    </xf>
    <xf numFmtId="43" fontId="25" fillId="0" borderId="34" xfId="1" applyFont="1" applyFill="1" applyBorder="1" applyAlignment="1">
      <alignment horizontal="center" vertical="center" wrapText="1"/>
    </xf>
    <xf numFmtId="43" fontId="43" fillId="25" borderId="34" xfId="1" applyFont="1" applyFill="1" applyBorder="1" applyAlignment="1">
      <alignment horizontal="center" vertical="center" wrapText="1"/>
    </xf>
    <xf numFmtId="10" fontId="25" fillId="0" borderId="34" xfId="0" applyNumberFormat="1" applyFont="1" applyBorder="1" applyAlignment="1">
      <alignment horizontal="center" vertical="center" wrapText="1"/>
    </xf>
    <xf numFmtId="170" fontId="25" fillId="0" borderId="34" xfId="0" applyNumberFormat="1" applyFont="1" applyBorder="1" applyAlignment="1">
      <alignment horizontal="center" vertical="center" wrapText="1"/>
    </xf>
    <xf numFmtId="173" fontId="44" fillId="25" borderId="34" xfId="0" applyNumberFormat="1" applyFont="1" applyFill="1" applyBorder="1" applyAlignment="1">
      <alignment horizontal="center" vertical="center" wrapText="1"/>
    </xf>
    <xf numFmtId="9" fontId="25" fillId="0" borderId="34" xfId="0" applyNumberFormat="1" applyFont="1" applyBorder="1" applyAlignment="1">
      <alignment horizontal="center" vertical="center" wrapText="1"/>
    </xf>
    <xf numFmtId="9" fontId="25" fillId="27" borderId="34" xfId="0" applyNumberFormat="1" applyFont="1" applyFill="1" applyBorder="1" applyAlignment="1">
      <alignment horizontal="center" vertical="center" wrapText="1"/>
    </xf>
    <xf numFmtId="170" fontId="25" fillId="27" borderId="34" xfId="0" applyNumberFormat="1" applyFont="1" applyFill="1" applyBorder="1" applyAlignment="1">
      <alignment horizontal="center" vertical="center" wrapText="1"/>
    </xf>
    <xf numFmtId="9" fontId="25" fillId="27" borderId="34" xfId="233" applyFont="1" applyFill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3" fillId="31" borderId="34" xfId="0" applyFont="1" applyFill="1" applyBorder="1" applyAlignment="1">
      <alignment horizontal="center" vertical="center" wrapText="1"/>
    </xf>
    <xf numFmtId="0" fontId="53" fillId="31" borderId="34" xfId="0" applyFont="1" applyFill="1" applyBorder="1" applyAlignment="1">
      <alignment horizontal="center" vertical="center"/>
    </xf>
    <xf numFmtId="43" fontId="53" fillId="0" borderId="34" xfId="1" applyFont="1" applyBorder="1" applyAlignment="1">
      <alignment vertical="center" wrapText="1"/>
    </xf>
    <xf numFmtId="10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171" fontId="53" fillId="0" borderId="34" xfId="0" applyNumberFormat="1" applyFont="1" applyBorder="1" applyAlignment="1">
      <alignment vertical="center"/>
    </xf>
    <xf numFmtId="172" fontId="53" fillId="0" borderId="34" xfId="0" applyNumberFormat="1" applyFont="1" applyBorder="1" applyAlignment="1">
      <alignment vertical="center"/>
    </xf>
    <xf numFmtId="171" fontId="53" fillId="0" borderId="0" xfId="0" applyNumberFormat="1" applyFont="1" applyAlignment="1">
      <alignment vertical="center"/>
    </xf>
    <xf numFmtId="0" fontId="53" fillId="0" borderId="34" xfId="0" applyFont="1" applyBorder="1" applyAlignment="1">
      <alignment horizontal="center" vertical="center"/>
    </xf>
    <xf numFmtId="173" fontId="53" fillId="0" borderId="34" xfId="233" applyNumberFormat="1" applyFont="1" applyBorder="1" applyAlignment="1">
      <alignment horizontal="center" vertical="center"/>
    </xf>
    <xf numFmtId="4" fontId="57" fillId="0" borderId="0" xfId="158" applyNumberFormat="1" applyFont="1" applyAlignment="1">
      <alignment horizontal="right" vertical="center" wrapText="1"/>
    </xf>
    <xf numFmtId="0" fontId="57" fillId="0" borderId="0" xfId="158" applyFont="1" applyAlignment="1">
      <alignment horizontal="right" vertical="center" wrapText="1"/>
    </xf>
    <xf numFmtId="10" fontId="57" fillId="0" borderId="0" xfId="158" applyNumberFormat="1" applyFont="1" applyAlignment="1">
      <alignment horizontal="right" vertical="center" wrapText="1"/>
    </xf>
    <xf numFmtId="0" fontId="58" fillId="0" borderId="0" xfId="158" applyFont="1" applyAlignment="1">
      <alignment vertical="center"/>
    </xf>
    <xf numFmtId="173" fontId="53" fillId="0" borderId="34" xfId="0" applyNumberFormat="1" applyFont="1" applyBorder="1" applyAlignment="1">
      <alignment horizontal="center" vertical="center"/>
    </xf>
    <xf numFmtId="0" fontId="57" fillId="31" borderId="34" xfId="158" applyFont="1" applyFill="1" applyBorder="1" applyAlignment="1">
      <alignment horizontal="center" vertical="center"/>
    </xf>
    <xf numFmtId="0" fontId="57" fillId="31" borderId="34" xfId="158" applyFont="1" applyFill="1" applyBorder="1" applyAlignment="1">
      <alignment horizontal="center" vertical="center" wrapText="1"/>
    </xf>
    <xf numFmtId="0" fontId="58" fillId="31" borderId="34" xfId="158" applyFont="1" applyFill="1" applyBorder="1" applyAlignment="1">
      <alignment horizontal="center" vertical="center"/>
    </xf>
    <xf numFmtId="43" fontId="57" fillId="0" borderId="34" xfId="1" applyFont="1" applyBorder="1" applyAlignment="1">
      <alignment horizontal="center" vertical="center" wrapText="1"/>
    </xf>
    <xf numFmtId="43" fontId="58" fillId="0" borderId="34" xfId="158" applyNumberFormat="1" applyFont="1" applyBorder="1" applyAlignment="1">
      <alignment vertical="center"/>
    </xf>
    <xf numFmtId="43" fontId="58" fillId="0" borderId="0" xfId="158" applyNumberFormat="1" applyFont="1" applyAlignment="1">
      <alignment vertical="center"/>
    </xf>
    <xf numFmtId="43" fontId="58" fillId="0" borderId="34" xfId="1" applyFont="1" applyBorder="1" applyAlignment="1">
      <alignment horizontal="right" vertical="center" wrapText="1"/>
    </xf>
    <xf numFmtId="43" fontId="53" fillId="0" borderId="0" xfId="1" applyFont="1" applyAlignment="1">
      <alignment vertical="center"/>
    </xf>
    <xf numFmtId="43" fontId="53" fillId="0" borderId="0" xfId="0" applyNumberFormat="1" applyFont="1" applyAlignment="1">
      <alignment vertical="center"/>
    </xf>
    <xf numFmtId="14" fontId="53" fillId="0" borderId="0" xfId="0" applyNumberFormat="1" applyFont="1" applyAlignment="1">
      <alignment vertical="center"/>
    </xf>
    <xf numFmtId="14" fontId="53" fillId="0" borderId="34" xfId="0" applyNumberFormat="1" applyFont="1" applyBorder="1" applyAlignment="1">
      <alignment vertical="center"/>
    </xf>
    <xf numFmtId="4" fontId="53" fillId="0" borderId="0" xfId="0" applyNumberFormat="1" applyFont="1" applyAlignment="1">
      <alignment vertical="center"/>
    </xf>
    <xf numFmtId="0" fontId="55" fillId="0" borderId="0" xfId="240" applyFont="1"/>
    <xf numFmtId="0" fontId="60" fillId="28" borderId="1" xfId="240" applyFont="1" applyFill="1" applyBorder="1" applyAlignment="1">
      <alignment horizontal="right"/>
    </xf>
    <xf numFmtId="0" fontId="61" fillId="0" borderId="0" xfId="201" applyFont="1" applyAlignment="1">
      <alignment horizontal="center" vertical="center" wrapText="1"/>
    </xf>
    <xf numFmtId="0" fontId="59" fillId="29" borderId="1" xfId="240" applyFont="1" applyFill="1" applyBorder="1" applyAlignment="1">
      <alignment horizontal="right"/>
    </xf>
    <xf numFmtId="0" fontId="59" fillId="29" borderId="1" xfId="240" applyFont="1" applyFill="1" applyBorder="1" applyAlignment="1">
      <alignment horizontal="center"/>
    </xf>
    <xf numFmtId="0" fontId="10" fillId="0" borderId="0" xfId="240" applyFont="1"/>
    <xf numFmtId="0" fontId="60" fillId="0" borderId="1" xfId="240" applyFont="1" applyBorder="1" applyAlignment="1">
      <alignment horizontal="right"/>
    </xf>
    <xf numFmtId="15" fontId="55" fillId="0" borderId="1" xfId="240" applyNumberFormat="1" applyFont="1" applyBorder="1" applyAlignment="1">
      <alignment horizontal="center"/>
    </xf>
    <xf numFmtId="0" fontId="60" fillId="0" borderId="1" xfId="240" applyFont="1" applyBorder="1" applyAlignment="1">
      <alignment horizontal="center"/>
    </xf>
    <xf numFmtId="0" fontId="55" fillId="0" borderId="1" xfId="240" applyFont="1" applyBorder="1" applyAlignment="1">
      <alignment horizontal="center"/>
    </xf>
    <xf numFmtId="176" fontId="55" fillId="0" borderId="1" xfId="239" applyNumberFormat="1" applyFont="1" applyFill="1" applyBorder="1" applyAlignment="1">
      <alignment horizontal="center"/>
    </xf>
    <xf numFmtId="0" fontId="55" fillId="28" borderId="0" xfId="240" applyFont="1" applyFill="1"/>
    <xf numFmtId="0" fontId="55" fillId="28" borderId="1" xfId="240" applyFont="1" applyFill="1" applyBorder="1"/>
    <xf numFmtId="3" fontId="55" fillId="0" borderId="1" xfId="240" applyNumberFormat="1" applyFont="1" applyBorder="1" applyAlignment="1">
      <alignment horizontal="center"/>
    </xf>
    <xf numFmtId="0" fontId="55" fillId="28" borderId="1" xfId="240" applyFont="1" applyFill="1" applyBorder="1" applyAlignment="1">
      <alignment horizontal="left"/>
    </xf>
    <xf numFmtId="4" fontId="55" fillId="0" borderId="1" xfId="240" applyNumberFormat="1" applyFont="1" applyBorder="1" applyAlignment="1">
      <alignment horizontal="right"/>
    </xf>
    <xf numFmtId="4" fontId="55" fillId="28" borderId="1" xfId="240" applyNumberFormat="1" applyFont="1" applyFill="1" applyBorder="1" applyAlignment="1">
      <alignment horizontal="right"/>
    </xf>
    <xf numFmtId="4" fontId="55" fillId="28" borderId="0" xfId="240" applyNumberFormat="1" applyFont="1" applyFill="1" applyAlignment="1">
      <alignment horizontal="right"/>
    </xf>
    <xf numFmtId="0" fontId="60" fillId="28" borderId="19" xfId="240" applyFont="1" applyFill="1" applyBorder="1" applyAlignment="1">
      <alignment horizontal="right"/>
    </xf>
    <xf numFmtId="4" fontId="55" fillId="0" borderId="19" xfId="240" applyNumberFormat="1" applyFont="1" applyBorder="1" applyAlignment="1">
      <alignment horizontal="right"/>
    </xf>
    <xf numFmtId="0" fontId="60" fillId="28" borderId="15" xfId="240" applyFont="1" applyFill="1" applyBorder="1" applyAlignment="1">
      <alignment horizontal="right"/>
    </xf>
    <xf numFmtId="167" fontId="60" fillId="28" borderId="32" xfId="240" applyNumberFormat="1" applyFont="1" applyFill="1" applyBorder="1"/>
    <xf numFmtId="175" fontId="60" fillId="28" borderId="0" xfId="240" applyNumberFormat="1" applyFont="1" applyFill="1"/>
    <xf numFmtId="0" fontId="60" fillId="28" borderId="33" xfId="240" applyFont="1" applyFill="1" applyBorder="1" applyAlignment="1">
      <alignment horizontal="right"/>
    </xf>
    <xf numFmtId="167" fontId="60" fillId="28" borderId="33" xfId="240" applyNumberFormat="1" applyFont="1" applyFill="1" applyBorder="1"/>
    <xf numFmtId="0" fontId="10" fillId="0" borderId="33" xfId="240" applyFont="1" applyBorder="1"/>
    <xf numFmtId="175" fontId="60" fillId="28" borderId="33" xfId="240" applyNumberFormat="1" applyFont="1" applyFill="1" applyBorder="1"/>
    <xf numFmtId="0" fontId="60" fillId="28" borderId="0" xfId="240" applyFont="1" applyFill="1"/>
    <xf numFmtId="0" fontId="56" fillId="31" borderId="34" xfId="0" applyFont="1" applyFill="1" applyBorder="1" applyAlignment="1">
      <alignment horizontal="center" vertical="center"/>
    </xf>
    <xf numFmtId="0" fontId="36" fillId="24" borderId="20" xfId="0" applyFont="1" applyFill="1" applyBorder="1"/>
    <xf numFmtId="0" fontId="36" fillId="24" borderId="23" xfId="0" applyFont="1" applyFill="1" applyBorder="1"/>
    <xf numFmtId="0" fontId="36" fillId="24" borderId="21" xfId="0" applyFont="1" applyFill="1" applyBorder="1"/>
    <xf numFmtId="0" fontId="36" fillId="24" borderId="0" xfId="0" applyFont="1" applyFill="1"/>
    <xf numFmtId="0" fontId="36" fillId="24" borderId="22" xfId="0" applyFont="1" applyFill="1" applyBorder="1"/>
    <xf numFmtId="0" fontId="51" fillId="24" borderId="0" xfId="0" applyFont="1" applyFill="1"/>
    <xf numFmtId="0" fontId="36" fillId="24" borderId="24" xfId="0" applyFont="1" applyFill="1" applyBorder="1"/>
    <xf numFmtId="14" fontId="35" fillId="0" borderId="1" xfId="1" applyNumberFormat="1" applyFont="1" applyFill="1" applyBorder="1" applyAlignment="1" applyProtection="1">
      <alignment vertical="center"/>
    </xf>
    <xf numFmtId="0" fontId="35" fillId="0" borderId="1" xfId="0" applyFont="1" applyBorder="1" applyAlignment="1">
      <alignment horizontal="center" vertical="center"/>
    </xf>
    <xf numFmtId="43" fontId="35" fillId="0" borderId="1" xfId="201" applyNumberFormat="1" applyFont="1" applyBorder="1" applyAlignment="1">
      <alignment vertical="center"/>
    </xf>
    <xf numFmtId="10" fontId="35" fillId="0" borderId="1" xfId="233" applyNumberFormat="1" applyFont="1" applyFill="1" applyBorder="1" applyAlignment="1" applyProtection="1">
      <alignment vertical="center"/>
    </xf>
    <xf numFmtId="0" fontId="52" fillId="24" borderId="0" xfId="0" applyFont="1" applyFill="1" applyAlignment="1">
      <alignment horizontal="center"/>
    </xf>
    <xf numFmtId="0" fontId="40" fillId="25" borderId="27" xfId="0" applyFont="1" applyFill="1" applyBorder="1" applyAlignment="1">
      <alignment horizontal="center"/>
    </xf>
    <xf numFmtId="0" fontId="40" fillId="25" borderId="28" xfId="0" applyFont="1" applyFill="1" applyBorder="1" applyAlignment="1">
      <alignment horizontal="center"/>
    </xf>
    <xf numFmtId="0" fontId="40" fillId="25" borderId="29" xfId="0" applyFont="1" applyFill="1" applyBorder="1" applyAlignment="1">
      <alignment horizontal="center"/>
    </xf>
    <xf numFmtId="0" fontId="37" fillId="25" borderId="21" xfId="0" applyFont="1" applyFill="1" applyBorder="1" applyAlignment="1">
      <alignment horizontal="center"/>
    </xf>
    <xf numFmtId="0" fontId="37" fillId="25" borderId="22" xfId="0" applyFont="1" applyFill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29" fillId="0" borderId="0" xfId="201" applyFont="1" applyAlignment="1">
      <alignment horizontal="left" vertical="center"/>
    </xf>
    <xf numFmtId="0" fontId="33" fillId="25" borderId="11" xfId="49" applyNumberFormat="1" applyFont="1" applyFill="1" applyBorder="1" applyAlignment="1" applyProtection="1">
      <alignment horizontal="center" vertical="center"/>
    </xf>
    <xf numFmtId="0" fontId="33" fillId="25" borderId="12" xfId="49" applyNumberFormat="1" applyFont="1" applyFill="1" applyBorder="1" applyAlignment="1" applyProtection="1">
      <alignment horizontal="center" vertical="center"/>
    </xf>
    <xf numFmtId="0" fontId="33" fillId="25" borderId="13" xfId="49" applyNumberFormat="1" applyFont="1" applyFill="1" applyBorder="1" applyAlignment="1" applyProtection="1">
      <alignment horizontal="center" vertical="center"/>
    </xf>
    <xf numFmtId="43" fontId="34" fillId="24" borderId="1" xfId="49" applyFont="1" applyFill="1" applyBorder="1" applyAlignment="1" applyProtection="1">
      <alignment horizontal="center" vertical="center" wrapText="1"/>
    </xf>
    <xf numFmtId="15" fontId="32" fillId="0" borderId="0" xfId="201" applyNumberFormat="1" applyFont="1" applyAlignment="1">
      <alignment horizontal="center" vertical="center"/>
    </xf>
    <xf numFmtId="0" fontId="10" fillId="0" borderId="11" xfId="201" applyFont="1" applyBorder="1" applyAlignment="1">
      <alignment horizontal="center" vertical="center" wrapText="1"/>
    </xf>
    <xf numFmtId="0" fontId="10" fillId="0" borderId="12" xfId="201" applyFont="1" applyBorder="1" applyAlignment="1">
      <alignment horizontal="center" vertical="center" wrapText="1"/>
    </xf>
    <xf numFmtId="0" fontId="10" fillId="0" borderId="13" xfId="201" applyFont="1" applyBorder="1" applyAlignment="1">
      <alignment horizontal="center" vertical="center" wrapText="1"/>
    </xf>
    <xf numFmtId="0" fontId="59" fillId="30" borderId="1" xfId="240" applyFont="1" applyFill="1" applyBorder="1" applyAlignment="1">
      <alignment horizontal="center" vertical="center"/>
    </xf>
    <xf numFmtId="0" fontId="59" fillId="30" borderId="30" xfId="240" applyFont="1" applyFill="1" applyBorder="1" applyAlignment="1">
      <alignment horizontal="center" vertical="center"/>
    </xf>
    <xf numFmtId="0" fontId="62" fillId="25" borderId="31" xfId="201" applyFont="1" applyFill="1" applyBorder="1" applyAlignment="1">
      <alignment horizontal="center" vertical="center" wrapText="1"/>
    </xf>
    <xf numFmtId="0" fontId="62" fillId="25" borderId="0" xfId="201" applyFont="1" applyFill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27" borderId="34" xfId="0" applyFont="1" applyFill="1" applyBorder="1" applyAlignment="1">
      <alignment horizontal="center" vertical="center" wrapText="1"/>
    </xf>
    <xf numFmtId="0" fontId="25" fillId="27" borderId="34" xfId="0" applyFont="1" applyFill="1" applyBorder="1" applyAlignment="1">
      <alignment horizontal="center" vertical="center"/>
    </xf>
    <xf numFmtId="0" fontId="25" fillId="27" borderId="0" xfId="0" applyFont="1" applyFill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</cellXfs>
  <cellStyles count="242">
    <cellStyle name="20% - Énfasis1 2" xfId="3"/>
    <cellStyle name="20% - Énfasis1 2 2" xfId="4"/>
    <cellStyle name="20% - Énfasis2 2" xfId="5"/>
    <cellStyle name="20% - Énfasis2 2 2" xfId="6"/>
    <cellStyle name="20% - Énfasis3 2" xfId="7"/>
    <cellStyle name="20% - Énfasis3 2 2" xfId="8"/>
    <cellStyle name="20% - Énfasis4 2" xfId="9"/>
    <cellStyle name="20% - Énfasis4 2 2" xfId="10"/>
    <cellStyle name="20% - Énfasis5 2" xfId="11"/>
    <cellStyle name="20% - Énfasis5 2 2" xfId="12"/>
    <cellStyle name="20% - Énfasis6 2" xfId="13"/>
    <cellStyle name="20% - Énfasis6 2 2" xfId="14"/>
    <cellStyle name="40% - Énfasis1 2" xfId="15"/>
    <cellStyle name="40% - Énfasis1 2 2" xfId="16"/>
    <cellStyle name="40% - Énfasis2 2" xfId="17"/>
    <cellStyle name="40% - Énfasis2 2 2" xfId="18"/>
    <cellStyle name="40% - Énfasis3 2" xfId="19"/>
    <cellStyle name="40% - Énfasis3 2 2" xfId="20"/>
    <cellStyle name="40% - Énfasis4 2" xfId="21"/>
    <cellStyle name="40% - Énfasis4 2 2" xfId="22"/>
    <cellStyle name="40% - Énfasis5 2" xfId="23"/>
    <cellStyle name="40% - Énfasis5 2 2" xfId="24"/>
    <cellStyle name="40% - Énfasis6 2" xfId="25"/>
    <cellStyle name="40% - Énfasis6 2 2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ColHeading" xfId="241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Hipervínculo" xfId="238" builtinId="8"/>
    <cellStyle name="Incorrecto 2" xfId="46"/>
    <cellStyle name="Millares" xfId="1" builtinId="3"/>
    <cellStyle name="Millares 10" xfId="47"/>
    <cellStyle name="Millares 10 2" xfId="48"/>
    <cellStyle name="Millares 10 2 2" xfId="49"/>
    <cellStyle name="Millares 10 3" xfId="50"/>
    <cellStyle name="Millares 11" xfId="51"/>
    <cellStyle name="Millares 11 2" xfId="52"/>
    <cellStyle name="Millares 12" xfId="53"/>
    <cellStyle name="Millares 12 2" xfId="54"/>
    <cellStyle name="Millares 13" xfId="55"/>
    <cellStyle name="Millares 13 2" xfId="56"/>
    <cellStyle name="Millares 14" xfId="57"/>
    <cellStyle name="Millares 14 2" xfId="58"/>
    <cellStyle name="Millares 15" xfId="59"/>
    <cellStyle name="Millares 15 2" xfId="60"/>
    <cellStyle name="Millares 16" xfId="61"/>
    <cellStyle name="Millares 16 2" xfId="62"/>
    <cellStyle name="Millares 17" xfId="63"/>
    <cellStyle name="Millares 17 2" xfId="64"/>
    <cellStyle name="Millares 18" xfId="65"/>
    <cellStyle name="Millares 18 2" xfId="66"/>
    <cellStyle name="Millares 19" xfId="67"/>
    <cellStyle name="Millares 2" xfId="68"/>
    <cellStyle name="Millares 2 10" xfId="69"/>
    <cellStyle name="Millares 2 10 2" xfId="70"/>
    <cellStyle name="Millares 2 11" xfId="71"/>
    <cellStyle name="Millares 2 11 2" xfId="72"/>
    <cellStyle name="Millares 2 12" xfId="73"/>
    <cellStyle name="Millares 2 12 2" xfId="74"/>
    <cellStyle name="Millares 2 13" xfId="75"/>
    <cellStyle name="Millares 2 13 2" xfId="76"/>
    <cellStyle name="Millares 2 14" xfId="77"/>
    <cellStyle name="Millares 2 14 2" xfId="78"/>
    <cellStyle name="Millares 2 15" xfId="79"/>
    <cellStyle name="Millares 2 16" xfId="80"/>
    <cellStyle name="Millares 2 17" xfId="81"/>
    <cellStyle name="Millares 2 2" xfId="82"/>
    <cellStyle name="Millares 2 2 10" xfId="83"/>
    <cellStyle name="Millares 2 2 2" xfId="84"/>
    <cellStyle name="Millares 2 2 2 2" xfId="85"/>
    <cellStyle name="Millares 2 2 3" xfId="86"/>
    <cellStyle name="Millares 2 2 3 2" xfId="87"/>
    <cellStyle name="Millares 2 2 4" xfId="88"/>
    <cellStyle name="Millares 2 2 4 2" xfId="89"/>
    <cellStyle name="Millares 2 2 5" xfId="90"/>
    <cellStyle name="Millares 2 2 5 2" xfId="91"/>
    <cellStyle name="Millares 2 2 6" xfId="92"/>
    <cellStyle name="Millares 2 2 6 2" xfId="93"/>
    <cellStyle name="Millares 2 2 7" xfId="94"/>
    <cellStyle name="Millares 2 2 7 2" xfId="95"/>
    <cellStyle name="Millares 2 2 8" xfId="96"/>
    <cellStyle name="Millares 2 2 8 2" xfId="97"/>
    <cellStyle name="Millares 2 2 9" xfId="98"/>
    <cellStyle name="Millares 2 3" xfId="99"/>
    <cellStyle name="Millares 2 3 2" xfId="100"/>
    <cellStyle name="Millares 2 4" xfId="101"/>
    <cellStyle name="Millares 2 4 2" xfId="102"/>
    <cellStyle name="Millares 2 5" xfId="103"/>
    <cellStyle name="Millares 2 5 2" xfId="104"/>
    <cellStyle name="Millares 2 6" xfId="105"/>
    <cellStyle name="Millares 2 6 2" xfId="106"/>
    <cellStyle name="Millares 2 7" xfId="107"/>
    <cellStyle name="Millares 2 7 2" xfId="108"/>
    <cellStyle name="Millares 2 8" xfId="109"/>
    <cellStyle name="Millares 2 8 2" xfId="110"/>
    <cellStyle name="Millares 2 9" xfId="111"/>
    <cellStyle name="Millares 2 9 2" xfId="112"/>
    <cellStyle name="Millares 2_SOLIC. DE EFVO. 2a. Qna. JUN-08 (Blue Line e IVI)" xfId="113"/>
    <cellStyle name="Millares 20" xfId="114"/>
    <cellStyle name="Millares 21" xfId="115"/>
    <cellStyle name="Millares 22" xfId="116"/>
    <cellStyle name="Millares 23" xfId="117"/>
    <cellStyle name="Millares 24" xfId="118"/>
    <cellStyle name="Millares 25" xfId="119"/>
    <cellStyle name="Millares 3" xfId="120"/>
    <cellStyle name="Millares 3 2" xfId="121"/>
    <cellStyle name="Millares 3 3" xfId="235"/>
    <cellStyle name="Millares 4" xfId="122"/>
    <cellStyle name="Millares 4 2" xfId="123"/>
    <cellStyle name="Millares 5" xfId="124"/>
    <cellStyle name="Millares 5 2" xfId="125"/>
    <cellStyle name="Millares 6" xfId="126"/>
    <cellStyle name="Millares 6 2" xfId="127"/>
    <cellStyle name="Millares 7" xfId="128"/>
    <cellStyle name="Millares 7 2" xfId="129"/>
    <cellStyle name="Millares 8" xfId="130"/>
    <cellStyle name="Millares 8 2" xfId="131"/>
    <cellStyle name="Millares 9" xfId="132"/>
    <cellStyle name="Millares 9 2" xfId="133"/>
    <cellStyle name="Moneda" xfId="239" builtinId="4"/>
    <cellStyle name="Moneda 10" xfId="234"/>
    <cellStyle name="Moneda 2" xfId="134"/>
    <cellStyle name="Moneda 2 2" xfId="135"/>
    <cellStyle name="Moneda 2 3" xfId="136"/>
    <cellStyle name="Moneda 3" xfId="137"/>
    <cellStyle name="Moneda 3 2" xfId="138"/>
    <cellStyle name="Moneda 4" xfId="139"/>
    <cellStyle name="Moneda 4 2" xfId="140"/>
    <cellStyle name="Moneda 5" xfId="141"/>
    <cellStyle name="Moneda 5 2" xfId="142"/>
    <cellStyle name="Moneda 6" xfId="143"/>
    <cellStyle name="Moneda 7" xfId="144"/>
    <cellStyle name="Moneda 8" xfId="145"/>
    <cellStyle name="Moneda 9" xfId="2"/>
    <cellStyle name="Neutral 2" xfId="146"/>
    <cellStyle name="Normal" xfId="0" builtinId="0"/>
    <cellStyle name="Normal 10" xfId="147"/>
    <cellStyle name="Normal 11" xfId="148"/>
    <cellStyle name="Normal 12" xfId="149"/>
    <cellStyle name="Normal 13" xfId="150"/>
    <cellStyle name="Normal 14" xfId="151"/>
    <cellStyle name="Normal 15" xfId="152"/>
    <cellStyle name="Normal 16" xfId="153"/>
    <cellStyle name="Normal 17" xfId="154"/>
    <cellStyle name="Normal 18" xfId="155"/>
    <cellStyle name="Normal 19" xfId="156"/>
    <cellStyle name="Normal 19 2" xfId="157"/>
    <cellStyle name="Normal 2" xfId="158"/>
    <cellStyle name="Normal 2 10" xfId="159"/>
    <cellStyle name="Normal 2 11" xfId="160"/>
    <cellStyle name="Normal 2 12" xfId="161"/>
    <cellStyle name="Normal 2 13" xfId="162"/>
    <cellStyle name="Normal 2 14" xfId="163"/>
    <cellStyle name="Normal 2 15" xfId="164"/>
    <cellStyle name="Normal 2 16" xfId="165"/>
    <cellStyle name="Normal 2 17" xfId="166"/>
    <cellStyle name="Normal 2 18" xfId="167"/>
    <cellStyle name="Normal 2 19" xfId="168"/>
    <cellStyle name="Normal 2 2" xfId="169"/>
    <cellStyle name="Normal 2 2 2" xfId="170"/>
    <cellStyle name="Normal 2 2 3" xfId="171"/>
    <cellStyle name="Normal 2 2 4" xfId="172"/>
    <cellStyle name="Normal 2 2 5" xfId="173"/>
    <cellStyle name="Normal 2 2 6" xfId="174"/>
    <cellStyle name="Normal 2 2 7" xfId="175"/>
    <cellStyle name="Normal 2 2 8" xfId="176"/>
    <cellStyle name="Normal 2 2_NUEVO ESQUEMAAG" xfId="177"/>
    <cellStyle name="Normal 2 20" xfId="178"/>
    <cellStyle name="Normal 2 21" xfId="179"/>
    <cellStyle name="Normal 2 22" xfId="180"/>
    <cellStyle name="Normal 2 23" xfId="181"/>
    <cellStyle name="Normal 2 24" xfId="182"/>
    <cellStyle name="Normal 2 25" xfId="183"/>
    <cellStyle name="Normal 2 26" xfId="184"/>
    <cellStyle name="Normal 2 27" xfId="185"/>
    <cellStyle name="Normal 2 3" xfId="186"/>
    <cellStyle name="Normal 2 4" xfId="187"/>
    <cellStyle name="Normal 2 5" xfId="188"/>
    <cellStyle name="Normal 2 6" xfId="189"/>
    <cellStyle name="Normal 2 7" xfId="190"/>
    <cellStyle name="Normal 2 8" xfId="191"/>
    <cellStyle name="Normal 2 9" xfId="192"/>
    <cellStyle name="Normal 20" xfId="193"/>
    <cellStyle name="Normal 21" xfId="194"/>
    <cellStyle name="Normal 22" xfId="195"/>
    <cellStyle name="Normal 23" xfId="196"/>
    <cellStyle name="Normal 24" xfId="197"/>
    <cellStyle name="Normal 25" xfId="198"/>
    <cellStyle name="Normal 26" xfId="199"/>
    <cellStyle name="Normal 27" xfId="200"/>
    <cellStyle name="Normal 28" xfId="240"/>
    <cellStyle name="Normal 3" xfId="201"/>
    <cellStyle name="Normal 3 2" xfId="202"/>
    <cellStyle name="Normal 3 2 2" xfId="237"/>
    <cellStyle name="Normal 3 3" xfId="203"/>
    <cellStyle name="Normal 3 4" xfId="204"/>
    <cellStyle name="Normal 3 5" xfId="205"/>
    <cellStyle name="Normal 3 6" xfId="206"/>
    <cellStyle name="Normal 3_NUEVO ESQUEMAAG" xfId="207"/>
    <cellStyle name="Normal 39" xfId="236"/>
    <cellStyle name="Normal 4" xfId="208"/>
    <cellStyle name="Normal 4 2" xfId="209"/>
    <cellStyle name="Normal 4 3" xfId="210"/>
    <cellStyle name="Normal 4 4" xfId="211"/>
    <cellStyle name="Normal 4 5" xfId="212"/>
    <cellStyle name="Normal 4 6" xfId="213"/>
    <cellStyle name="Normal 5" xfId="214"/>
    <cellStyle name="Normal 58" xfId="215"/>
    <cellStyle name="Normal 6" xfId="216"/>
    <cellStyle name="Normal 7" xfId="217"/>
    <cellStyle name="Normal 8" xfId="218"/>
    <cellStyle name="Normal 9" xfId="219"/>
    <cellStyle name="Notas 2" xfId="220"/>
    <cellStyle name="Porcentaje" xfId="233" builtinId="5"/>
    <cellStyle name="Porcentaje 2" xfId="221"/>
    <cellStyle name="Porcentual 2" xfId="222"/>
    <cellStyle name="Porcentual 2 2" xfId="223"/>
    <cellStyle name="Porcentual 3" xfId="224"/>
    <cellStyle name="Salida 2" xfId="225"/>
    <cellStyle name="Texto de advertencia 2" xfId="226"/>
    <cellStyle name="Texto explicativo 2" xfId="227"/>
    <cellStyle name="Título 1 2" xfId="228"/>
    <cellStyle name="Título 2 2" xfId="229"/>
    <cellStyle name="Título 3 2" xfId="230"/>
    <cellStyle name="Título 4" xfId="231"/>
    <cellStyle name="Total 2" xfId="232"/>
  </cellStyles>
  <dxfs count="0"/>
  <tableStyles count="0" defaultTableStyle="TableStyleMedium2" defaultPivotStyle="PivotStyleLight16"/>
  <colors>
    <mruColors>
      <color rgb="FF1169B3"/>
      <color rgb="FF009900"/>
      <color rgb="FF339966"/>
      <color rgb="FF339933"/>
      <color rgb="FF008000"/>
      <color rgb="FF660033"/>
      <color rgb="FFE23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20</xdr:row>
      <xdr:rowOff>276225</xdr:rowOff>
    </xdr:from>
    <xdr:to>
      <xdr:col>5</xdr:col>
      <xdr:colOff>371952</xdr:colOff>
      <xdr:row>22</xdr:row>
      <xdr:rowOff>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14CA508-9C55-4660-9A41-C0AD738BB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743450"/>
          <a:ext cx="3419952" cy="266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1169B3"/>
  </sheetPr>
  <dimension ref="A1:Q56"/>
  <sheetViews>
    <sheetView zoomScale="85" zoomScaleNormal="85" workbookViewId="0">
      <selection activeCell="J14" sqref="J14"/>
    </sheetView>
  </sheetViews>
  <sheetFormatPr baseColWidth="10" defaultColWidth="11.5703125" defaultRowHeight="15.75" x14ac:dyDescent="0.3"/>
  <cols>
    <col min="1" max="1" width="4.42578125" style="54" customWidth="1"/>
    <col min="2" max="2" width="7.28515625" style="54" customWidth="1"/>
    <col min="3" max="3" width="16" style="54" customWidth="1"/>
    <col min="4" max="4" width="11.5703125" style="54" customWidth="1"/>
    <col min="5" max="5" width="17.140625" style="54" customWidth="1"/>
    <col min="6" max="8" width="11.5703125" style="54"/>
    <col min="9" max="9" width="11.5703125" style="54" customWidth="1"/>
    <col min="10" max="17" width="11.5703125" style="54"/>
    <col min="18" max="18" width="6.5703125" style="54" customWidth="1"/>
    <col min="19" max="16384" width="11.5703125" style="54"/>
  </cols>
  <sheetData>
    <row r="1" spans="1:17" x14ac:dyDescent="0.3">
      <c r="D1" s="55"/>
    </row>
    <row r="2" spans="1:17" ht="48" x14ac:dyDescent="0.8">
      <c r="A2" s="56"/>
      <c r="B2" s="178" t="s">
        <v>174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1:17" x14ac:dyDescent="0.3">
      <c r="A3" s="56"/>
      <c r="B3" s="65"/>
      <c r="C3" s="66"/>
      <c r="D3" s="66"/>
      <c r="E3" s="66"/>
      <c r="F3" s="66"/>
      <c r="G3" s="70"/>
      <c r="H3" s="66"/>
      <c r="I3" s="66"/>
      <c r="J3" s="66"/>
      <c r="K3" s="66"/>
      <c r="L3" s="66"/>
      <c r="M3" s="66"/>
      <c r="N3" s="66"/>
      <c r="O3" s="56"/>
      <c r="P3" s="56"/>
      <c r="Q3" s="56"/>
    </row>
    <row r="4" spans="1:17" x14ac:dyDescent="0.3">
      <c r="A4" s="56"/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56"/>
      <c r="P4" s="56"/>
      <c r="Q4" s="56"/>
    </row>
    <row r="5" spans="1:17" ht="34.5" x14ac:dyDescent="0.45">
      <c r="A5" s="56"/>
      <c r="B5" s="63" t="s">
        <v>141</v>
      </c>
      <c r="C5" s="64"/>
      <c r="D5" s="64"/>
      <c r="E5" s="64"/>
      <c r="F5" s="64"/>
      <c r="G5" s="64"/>
      <c r="H5" s="64"/>
      <c r="I5" s="64"/>
      <c r="J5" s="56"/>
      <c r="K5" s="56"/>
      <c r="L5" s="56"/>
      <c r="M5" s="56"/>
      <c r="N5" s="56"/>
      <c r="O5" s="56"/>
      <c r="P5" s="56"/>
      <c r="Q5" s="56"/>
    </row>
    <row r="6" spans="1:17" ht="15.75" customHeight="1" x14ac:dyDescent="0.3">
      <c r="A6" s="56"/>
      <c r="B6" s="61"/>
      <c r="C6" s="56" t="s">
        <v>159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8" spans="1:17" ht="19.5" x14ac:dyDescent="0.35">
      <c r="B8" s="181" t="s">
        <v>117</v>
      </c>
      <c r="C8" s="182"/>
    </row>
    <row r="9" spans="1:17" s="59" customFormat="1" ht="23.25" customHeight="1" x14ac:dyDescent="0.25">
      <c r="B9" s="59" t="s">
        <v>135</v>
      </c>
    </row>
    <row r="10" spans="1:17" s="59" customFormat="1" ht="23.25" customHeight="1" x14ac:dyDescent="0.25">
      <c r="B10" s="59" t="s">
        <v>170</v>
      </c>
      <c r="C10" s="78"/>
    </row>
    <row r="11" spans="1:17" ht="23.25" customHeight="1" x14ac:dyDescent="0.3">
      <c r="C11" s="79" t="s">
        <v>124</v>
      </c>
      <c r="D11" s="54" t="s">
        <v>136</v>
      </c>
    </row>
    <row r="12" spans="1:17" ht="23.25" customHeight="1" x14ac:dyDescent="0.3">
      <c r="C12" s="79" t="s">
        <v>123</v>
      </c>
      <c r="D12" s="54" t="s">
        <v>137</v>
      </c>
    </row>
    <row r="13" spans="1:17" ht="23.25" customHeight="1" x14ac:dyDescent="0.3">
      <c r="C13" s="79" t="s">
        <v>122</v>
      </c>
      <c r="D13" s="54" t="s">
        <v>138</v>
      </c>
    </row>
    <row r="14" spans="1:17" ht="23.25" customHeight="1" x14ac:dyDescent="0.3">
      <c r="C14" s="79" t="s">
        <v>143</v>
      </c>
      <c r="D14" s="54" t="s">
        <v>156</v>
      </c>
    </row>
    <row r="15" spans="1:17" ht="23.25" customHeight="1" x14ac:dyDescent="0.3">
      <c r="C15" s="79" t="s">
        <v>104</v>
      </c>
      <c r="D15" s="54" t="s">
        <v>139</v>
      </c>
    </row>
    <row r="16" spans="1:17" ht="23.25" customHeight="1" x14ac:dyDescent="0.3">
      <c r="C16" s="80" t="s">
        <v>99</v>
      </c>
      <c r="D16" s="54" t="s">
        <v>140</v>
      </c>
    </row>
    <row r="17" spans="2:9" x14ac:dyDescent="0.3">
      <c r="B17" s="56"/>
      <c r="C17" s="56"/>
      <c r="D17" s="56"/>
      <c r="E17" s="56"/>
      <c r="F17" s="56"/>
      <c r="G17" s="56"/>
      <c r="H17" s="56"/>
      <c r="I17" s="56"/>
    </row>
    <row r="18" spans="2:9" ht="16.5" thickBot="1" x14ac:dyDescent="0.35">
      <c r="B18" s="60"/>
      <c r="C18" s="60"/>
      <c r="D18" s="60"/>
      <c r="E18" s="60"/>
      <c r="F18" s="60"/>
      <c r="G18" s="60"/>
      <c r="H18" s="60"/>
      <c r="I18" s="60"/>
    </row>
    <row r="19" spans="2:9" ht="16.5" thickTop="1" x14ac:dyDescent="0.3">
      <c r="B19" s="57"/>
      <c r="C19" s="57"/>
      <c r="D19" s="57"/>
      <c r="E19" s="57"/>
      <c r="F19" s="57"/>
      <c r="G19" s="57"/>
      <c r="H19" s="57"/>
      <c r="I19" s="57"/>
    </row>
    <row r="20" spans="2:9" ht="19.5" x14ac:dyDescent="0.35">
      <c r="B20" s="181" t="s">
        <v>134</v>
      </c>
      <c r="C20" s="182"/>
    </row>
    <row r="21" spans="2:9" s="59" customFormat="1" ht="23.25" customHeight="1" x14ac:dyDescent="0.25">
      <c r="B21" s="59" t="s">
        <v>142</v>
      </c>
    </row>
    <row r="22" spans="2:9" ht="19.5" customHeight="1" x14ac:dyDescent="0.3">
      <c r="B22" s="58"/>
    </row>
    <row r="23" spans="2:9" ht="19.5" customHeight="1" x14ac:dyDescent="0.3">
      <c r="B23" s="62" t="s">
        <v>167</v>
      </c>
      <c r="C23" s="56"/>
      <c r="D23" s="56"/>
      <c r="E23" s="56"/>
      <c r="F23" s="56"/>
      <c r="G23" s="56"/>
      <c r="H23" s="56"/>
      <c r="I23" s="56"/>
    </row>
    <row r="24" spans="2:9" ht="16.5" thickBot="1" x14ac:dyDescent="0.35">
      <c r="B24" s="60"/>
      <c r="C24" s="60"/>
      <c r="D24" s="60"/>
      <c r="E24" s="60"/>
      <c r="F24" s="60"/>
      <c r="G24" s="60"/>
      <c r="H24" s="60"/>
      <c r="I24" s="60"/>
    </row>
    <row r="25" spans="2:9" ht="16.5" thickTop="1" x14ac:dyDescent="0.3">
      <c r="B25" s="57"/>
      <c r="C25" s="57"/>
      <c r="D25" s="57"/>
      <c r="E25" s="57"/>
      <c r="F25" s="57"/>
      <c r="G25" s="57"/>
      <c r="H25" s="57"/>
      <c r="I25" s="57"/>
    </row>
    <row r="26" spans="2:9" ht="19.5" x14ac:dyDescent="0.35">
      <c r="B26" s="181" t="s">
        <v>157</v>
      </c>
      <c r="C26" s="182"/>
    </row>
    <row r="27" spans="2:9" ht="19.5" customHeight="1" x14ac:dyDescent="0.3">
      <c r="B27" s="58"/>
      <c r="C27" s="54" t="s">
        <v>158</v>
      </c>
    </row>
    <row r="28" spans="2:9" ht="19.5" customHeight="1" x14ac:dyDescent="0.3">
      <c r="B28" s="62"/>
      <c r="C28" s="56" t="s">
        <v>160</v>
      </c>
      <c r="D28" s="56"/>
      <c r="E28" s="56"/>
      <c r="F28" s="56"/>
      <c r="G28" s="56"/>
      <c r="H28" s="56"/>
      <c r="I28" s="56"/>
    </row>
    <row r="29" spans="2:9" ht="16.5" thickBot="1" x14ac:dyDescent="0.35">
      <c r="B29" s="60"/>
      <c r="C29" s="60"/>
      <c r="D29" s="60"/>
      <c r="E29" s="60"/>
      <c r="F29" s="60"/>
      <c r="G29" s="60"/>
      <c r="H29" s="60"/>
      <c r="I29" s="60"/>
    </row>
    <row r="30" spans="2:9" ht="16.5" thickTop="1" x14ac:dyDescent="0.3">
      <c r="B30" s="57"/>
      <c r="C30" s="57"/>
      <c r="D30" s="57"/>
      <c r="E30" s="57"/>
      <c r="F30" s="57"/>
      <c r="G30" s="57"/>
      <c r="H30" s="57"/>
      <c r="I30" s="57"/>
    </row>
    <row r="31" spans="2:9" ht="19.5" x14ac:dyDescent="0.35">
      <c r="B31" s="183"/>
      <c r="C31" s="184"/>
    </row>
    <row r="32" spans="2:9" s="59" customFormat="1" ht="23.25" customHeight="1" x14ac:dyDescent="0.25"/>
    <row r="33" spans="3:11" x14ac:dyDescent="0.3">
      <c r="C33" s="166"/>
      <c r="D33" s="166"/>
      <c r="E33" s="166"/>
      <c r="F33" s="166"/>
      <c r="G33" s="166"/>
      <c r="H33" s="166"/>
      <c r="I33" s="166"/>
      <c r="J33" s="166"/>
      <c r="K33" s="166"/>
    </row>
    <row r="34" spans="3:11" x14ac:dyDescent="0.3">
      <c r="C34" s="166"/>
      <c r="D34" s="166"/>
      <c r="E34" s="166"/>
      <c r="F34" s="166"/>
      <c r="G34" s="166"/>
      <c r="H34" s="166"/>
      <c r="I34" s="166"/>
      <c r="J34" s="166"/>
      <c r="K34" s="166"/>
    </row>
    <row r="35" spans="3:11" x14ac:dyDescent="0.3">
      <c r="C35" s="166"/>
      <c r="D35" s="166"/>
      <c r="E35" s="166"/>
      <c r="F35" s="166"/>
      <c r="G35" s="166"/>
      <c r="H35" s="166"/>
      <c r="I35" s="166"/>
      <c r="J35" s="166"/>
      <c r="K35" s="166"/>
    </row>
    <row r="36" spans="3:11" x14ac:dyDescent="0.3">
      <c r="C36" s="166"/>
      <c r="D36" s="166"/>
      <c r="E36" s="166"/>
      <c r="F36" s="166"/>
      <c r="G36" s="166"/>
      <c r="H36" s="166"/>
      <c r="I36" s="166"/>
      <c r="J36" s="166"/>
      <c r="K36" s="166"/>
    </row>
    <row r="37" spans="3:11" x14ac:dyDescent="0.3">
      <c r="C37" s="166"/>
      <c r="D37" s="166"/>
      <c r="E37" s="167"/>
      <c r="F37" s="167"/>
      <c r="G37" s="167"/>
      <c r="H37" s="167"/>
      <c r="I37" s="167"/>
      <c r="J37" s="166"/>
      <c r="K37" s="166"/>
    </row>
    <row r="38" spans="3:11" x14ac:dyDescent="0.3">
      <c r="C38" s="166"/>
      <c r="D38" s="168"/>
      <c r="E38" s="169"/>
      <c r="F38" s="169"/>
      <c r="G38" s="169"/>
      <c r="H38" s="169"/>
      <c r="I38" s="169"/>
      <c r="J38" s="170"/>
      <c r="K38" s="166"/>
    </row>
    <row r="39" spans="3:11" x14ac:dyDescent="0.3">
      <c r="C39" s="166"/>
      <c r="D39" s="168"/>
      <c r="E39" s="169"/>
      <c r="F39" s="169"/>
      <c r="G39" s="169"/>
      <c r="H39" s="169"/>
      <c r="I39" s="169"/>
      <c r="J39" s="170"/>
      <c r="K39" s="166"/>
    </row>
    <row r="40" spans="3:11" x14ac:dyDescent="0.3">
      <c r="C40" s="166"/>
      <c r="D40" s="168"/>
      <c r="E40" s="169"/>
      <c r="F40" s="169"/>
      <c r="G40" s="169"/>
      <c r="H40" s="169"/>
      <c r="I40" s="169"/>
      <c r="J40" s="170"/>
      <c r="K40" s="166"/>
    </row>
    <row r="41" spans="3:11" ht="19.5" x14ac:dyDescent="0.35">
      <c r="C41" s="166"/>
      <c r="D41" s="168"/>
      <c r="E41" s="169"/>
      <c r="F41" s="171"/>
      <c r="G41" s="169"/>
      <c r="H41" s="169"/>
      <c r="I41" s="169"/>
      <c r="J41" s="170"/>
      <c r="K41" s="166"/>
    </row>
    <row r="42" spans="3:11" x14ac:dyDescent="0.3">
      <c r="C42" s="166"/>
      <c r="D42" s="168"/>
      <c r="E42" s="169"/>
      <c r="F42" s="169"/>
      <c r="G42" s="169"/>
      <c r="H42" s="169"/>
      <c r="I42" s="169"/>
      <c r="J42" s="170"/>
      <c r="K42" s="166"/>
    </row>
    <row r="43" spans="3:11" ht="21" x14ac:dyDescent="0.35">
      <c r="C43" s="166"/>
      <c r="D43" s="168"/>
      <c r="E43" s="169"/>
      <c r="F43" s="177"/>
      <c r="G43" s="177"/>
      <c r="H43" s="169"/>
      <c r="I43" s="169"/>
      <c r="J43" s="170"/>
      <c r="K43" s="166"/>
    </row>
    <row r="44" spans="3:11" x14ac:dyDescent="0.3">
      <c r="C44" s="166"/>
      <c r="D44" s="168"/>
      <c r="E44" s="169"/>
      <c r="F44" s="169"/>
      <c r="G44" s="169"/>
      <c r="H44" s="169"/>
      <c r="I44" s="169"/>
      <c r="J44" s="170"/>
      <c r="K44" s="166"/>
    </row>
    <row r="45" spans="3:11" x14ac:dyDescent="0.3">
      <c r="C45" s="166"/>
      <c r="D45" s="168"/>
      <c r="E45" s="169"/>
      <c r="F45" s="169"/>
      <c r="G45" s="169"/>
      <c r="H45" s="169"/>
      <c r="I45" s="169"/>
      <c r="J45" s="170"/>
      <c r="K45" s="166"/>
    </row>
    <row r="46" spans="3:11" x14ac:dyDescent="0.3">
      <c r="C46" s="166"/>
      <c r="D46" s="168"/>
      <c r="E46" s="169"/>
      <c r="F46" s="169"/>
      <c r="G46" s="169"/>
      <c r="H46" s="169"/>
      <c r="I46" s="169"/>
      <c r="J46" s="170"/>
      <c r="K46" s="166"/>
    </row>
    <row r="47" spans="3:11" x14ac:dyDescent="0.3">
      <c r="C47" s="166"/>
      <c r="D47" s="168"/>
      <c r="E47" s="169"/>
      <c r="F47" s="169"/>
      <c r="G47" s="169"/>
      <c r="H47" s="169"/>
      <c r="I47" s="169"/>
      <c r="J47" s="170"/>
      <c r="K47" s="166"/>
    </row>
    <row r="48" spans="3:11" x14ac:dyDescent="0.3">
      <c r="C48" s="166"/>
      <c r="D48" s="168"/>
      <c r="E48" s="169"/>
      <c r="F48" s="169"/>
      <c r="G48" s="169"/>
      <c r="H48" s="169"/>
      <c r="I48" s="169"/>
      <c r="J48" s="170"/>
      <c r="K48" s="166"/>
    </row>
    <row r="49" spans="3:11" x14ac:dyDescent="0.3">
      <c r="C49" s="166"/>
      <c r="D49" s="168"/>
      <c r="E49" s="169"/>
      <c r="F49" s="169"/>
      <c r="G49" s="169"/>
      <c r="H49" s="169"/>
      <c r="I49" s="169"/>
      <c r="J49" s="170"/>
      <c r="K49" s="166"/>
    </row>
    <row r="50" spans="3:11" x14ac:dyDescent="0.3">
      <c r="C50" s="166"/>
      <c r="D50" s="168"/>
      <c r="E50" s="169"/>
      <c r="F50" s="169"/>
      <c r="G50" s="169"/>
      <c r="H50" s="169"/>
      <c r="I50" s="169"/>
      <c r="J50" s="170"/>
      <c r="K50" s="166"/>
    </row>
    <row r="51" spans="3:11" x14ac:dyDescent="0.3">
      <c r="C51" s="166"/>
      <c r="D51" s="168"/>
      <c r="E51" s="169"/>
      <c r="F51" s="169"/>
      <c r="G51" s="169"/>
      <c r="H51" s="169"/>
      <c r="I51" s="169"/>
      <c r="J51" s="170"/>
      <c r="K51" s="166"/>
    </row>
    <row r="52" spans="3:11" x14ac:dyDescent="0.3">
      <c r="C52" s="166"/>
      <c r="D52" s="168"/>
      <c r="E52" s="169"/>
      <c r="F52" s="169"/>
      <c r="G52" s="169"/>
      <c r="H52" s="169"/>
      <c r="I52" s="169"/>
      <c r="J52" s="170"/>
      <c r="K52" s="166"/>
    </row>
    <row r="53" spans="3:11" x14ac:dyDescent="0.3">
      <c r="C53" s="166"/>
      <c r="D53" s="168"/>
      <c r="E53" s="169"/>
      <c r="F53" s="169"/>
      <c r="G53" s="169"/>
      <c r="H53" s="169"/>
      <c r="I53" s="169"/>
      <c r="J53" s="170"/>
      <c r="K53" s="166"/>
    </row>
    <row r="54" spans="3:11" x14ac:dyDescent="0.3">
      <c r="C54" s="166"/>
      <c r="D54" s="166"/>
      <c r="E54" s="172"/>
      <c r="F54" s="172"/>
      <c r="G54" s="172"/>
      <c r="H54" s="172"/>
      <c r="I54" s="172"/>
      <c r="J54" s="166"/>
      <c r="K54" s="166"/>
    </row>
    <row r="55" spans="3:11" x14ac:dyDescent="0.3">
      <c r="C55" s="166"/>
      <c r="D55" s="166"/>
      <c r="E55" s="166"/>
      <c r="F55" s="166"/>
      <c r="G55" s="166"/>
      <c r="H55" s="166"/>
      <c r="I55" s="166"/>
      <c r="J55" s="166"/>
      <c r="K55" s="166"/>
    </row>
    <row r="56" spans="3:11" x14ac:dyDescent="0.3">
      <c r="C56" s="166"/>
      <c r="D56" s="166"/>
      <c r="E56" s="166"/>
      <c r="F56" s="166"/>
      <c r="G56" s="166"/>
      <c r="H56" s="166"/>
      <c r="I56" s="166"/>
      <c r="J56" s="166"/>
      <c r="K56" s="166"/>
    </row>
  </sheetData>
  <mergeCells count="6">
    <mergeCell ref="F43:G43"/>
    <mergeCell ref="B2:N2"/>
    <mergeCell ref="B8:C8"/>
    <mergeCell ref="B20:C20"/>
    <mergeCell ref="B31:C31"/>
    <mergeCell ref="B26:C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1169B3"/>
    <pageSetUpPr fitToPage="1"/>
  </sheetPr>
  <dimension ref="B1:AQ52"/>
  <sheetViews>
    <sheetView showGridLines="0" tabSelected="1" topLeftCell="H1" zoomScale="90" zoomScaleNormal="90" workbookViewId="0">
      <selection activeCell="P7" sqref="P7"/>
    </sheetView>
  </sheetViews>
  <sheetFormatPr baseColWidth="10" defaultColWidth="18" defaultRowHeight="11.25" x14ac:dyDescent="0.25"/>
  <cols>
    <col min="1" max="1" width="2.5703125" style="50" customWidth="1"/>
    <col min="2" max="2" width="5.140625" style="50" customWidth="1"/>
    <col min="3" max="3" width="19.28515625" style="50" customWidth="1"/>
    <col min="4" max="5" width="18.28515625" style="50" customWidth="1"/>
    <col min="6" max="6" width="12.28515625" style="50" customWidth="1"/>
    <col min="7" max="7" width="12.140625" style="50" bestFit="1" customWidth="1"/>
    <col min="8" max="8" width="8.28515625" style="50" customWidth="1"/>
    <col min="9" max="9" width="8.42578125" style="51" bestFit="1" customWidth="1"/>
    <col min="10" max="10" width="9.7109375" style="51" customWidth="1"/>
    <col min="11" max="11" width="8.42578125" style="51" customWidth="1"/>
    <col min="12" max="12" width="5.5703125" style="17" bestFit="1" customWidth="1"/>
    <col min="13" max="13" width="11.140625" style="17" bestFit="1" customWidth="1"/>
    <col min="14" max="17" width="11.140625" style="17" customWidth="1"/>
    <col min="18" max="19" width="10.85546875" style="17" customWidth="1"/>
    <col min="20" max="20" width="8.42578125" style="52" bestFit="1" customWidth="1"/>
    <col min="21" max="21" width="11.140625" style="52" bestFit="1" customWidth="1"/>
    <col min="22" max="22" width="1" style="51" customWidth="1"/>
    <col min="23" max="24" width="10.42578125" style="52" customWidth="1"/>
    <col min="25" max="25" width="9" style="52" customWidth="1"/>
    <col min="26" max="26" width="9.85546875" style="52" bestFit="1" customWidth="1"/>
    <col min="27" max="27" width="10.28515625" style="52" bestFit="1" customWidth="1"/>
    <col min="28" max="28" width="1.42578125" style="51" customWidth="1"/>
    <col min="29" max="29" width="12.85546875" style="52" bestFit="1" customWidth="1"/>
    <col min="30" max="30" width="1.28515625" style="51" customWidth="1"/>
    <col min="31" max="32" width="9.85546875" style="50" bestFit="1" customWidth="1"/>
    <col min="33" max="33" width="10" style="50" bestFit="1" customWidth="1"/>
    <col min="34" max="34" width="9.7109375" style="50" customWidth="1"/>
    <col min="35" max="35" width="3" style="53" customWidth="1"/>
    <col min="36" max="38" width="9" style="50" bestFit="1" customWidth="1"/>
    <col min="39" max="39" width="9.140625" style="50" bestFit="1" customWidth="1"/>
    <col min="40" max="40" width="5.42578125" style="50" customWidth="1"/>
    <col min="41" max="43" width="11.140625" style="50" hidden="1" customWidth="1"/>
    <col min="44" max="16384" width="18" style="50"/>
  </cols>
  <sheetData>
    <row r="1" spans="2:43" s="9" customFormat="1" ht="20.25" x14ac:dyDescent="0.25">
      <c r="I1" s="10" t="s">
        <v>118</v>
      </c>
      <c r="J1" s="10"/>
      <c r="K1" s="10"/>
      <c r="L1" s="11"/>
      <c r="U1" s="12"/>
      <c r="V1" s="13"/>
      <c r="W1" s="13"/>
      <c r="X1" s="13"/>
      <c r="Y1" s="13"/>
      <c r="Z1" s="13"/>
      <c r="AA1" s="14"/>
      <c r="AB1" s="14"/>
      <c r="AC1" s="12"/>
      <c r="AD1" s="14"/>
      <c r="AE1" s="14"/>
      <c r="AF1" s="14"/>
      <c r="AG1" s="12"/>
      <c r="AH1" s="14"/>
      <c r="AI1" s="12"/>
      <c r="AN1" s="15"/>
    </row>
    <row r="2" spans="2:43" s="9" customFormat="1" ht="15.75" x14ac:dyDescent="0.25">
      <c r="I2" s="10" t="s">
        <v>119</v>
      </c>
      <c r="J2" s="10"/>
      <c r="K2" s="10"/>
      <c r="L2" s="185" t="s">
        <v>121</v>
      </c>
      <c r="M2" s="185"/>
      <c r="P2" s="72"/>
      <c r="Q2" s="72"/>
      <c r="U2" s="12"/>
      <c r="V2" s="13"/>
      <c r="W2" s="13"/>
      <c r="X2" s="13"/>
      <c r="Y2" s="13"/>
      <c r="Z2" s="13"/>
      <c r="AA2" s="14"/>
      <c r="AB2" s="14"/>
      <c r="AC2" s="12"/>
      <c r="AD2" s="14"/>
      <c r="AE2" s="14"/>
      <c r="AF2" s="14"/>
      <c r="AG2" s="12"/>
      <c r="AH2" s="14"/>
      <c r="AI2" s="12"/>
      <c r="AN2" s="15"/>
    </row>
    <row r="3" spans="2:43" s="9" customFormat="1" ht="15.75" x14ac:dyDescent="0.25">
      <c r="I3" s="10" t="s">
        <v>120</v>
      </c>
      <c r="J3" s="10"/>
      <c r="K3" s="10"/>
      <c r="L3" s="190">
        <v>45292</v>
      </c>
      <c r="M3" s="190"/>
      <c r="N3" s="190">
        <f>+L3+14</f>
        <v>45306</v>
      </c>
      <c r="O3" s="190"/>
      <c r="Q3" s="73"/>
      <c r="U3" s="12"/>
      <c r="V3" s="13"/>
      <c r="W3" s="13"/>
      <c r="X3" s="13"/>
      <c r="Y3" s="13"/>
      <c r="Z3" s="13"/>
      <c r="AA3" s="14"/>
      <c r="AB3" s="14"/>
      <c r="AC3" s="12"/>
      <c r="AD3" s="14"/>
      <c r="AE3" s="14"/>
      <c r="AF3" s="14"/>
      <c r="AG3" s="12"/>
      <c r="AH3" s="14"/>
      <c r="AI3" s="12"/>
      <c r="AN3" s="15"/>
    </row>
    <row r="4" spans="2:43" s="9" customFormat="1" ht="15.75" x14ac:dyDescent="0.25">
      <c r="C4" s="10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4"/>
      <c r="U4" s="14"/>
      <c r="V4" s="12"/>
      <c r="W4" s="14"/>
      <c r="X4" s="14"/>
      <c r="Y4" s="14"/>
      <c r="Z4" s="14"/>
      <c r="AA4" s="14"/>
      <c r="AB4" s="12"/>
      <c r="AC4" s="14"/>
      <c r="AD4" s="12"/>
      <c r="AI4" s="15"/>
    </row>
    <row r="5" spans="2:43" s="16" customFormat="1" ht="23.25" thickBot="1" x14ac:dyDescent="0.3">
      <c r="I5" s="186" t="s">
        <v>84</v>
      </c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8"/>
      <c r="V5" s="17"/>
      <c r="W5" s="187" t="s">
        <v>85</v>
      </c>
      <c r="X5" s="187"/>
      <c r="Y5" s="187"/>
      <c r="Z5" s="187"/>
      <c r="AA5" s="188"/>
      <c r="AB5" s="17"/>
      <c r="AC5" s="189" t="s">
        <v>90</v>
      </c>
      <c r="AD5" s="17"/>
      <c r="AH5" s="18" t="s">
        <v>103</v>
      </c>
      <c r="AI5" s="19"/>
    </row>
    <row r="6" spans="2:43" s="16" customFormat="1" ht="48" customHeight="1" thickBot="1" x14ac:dyDescent="0.3">
      <c r="B6" s="20" t="s">
        <v>124</v>
      </c>
      <c r="C6" s="74" t="s">
        <v>123</v>
      </c>
      <c r="D6" s="74" t="s">
        <v>122</v>
      </c>
      <c r="E6" s="74" t="s">
        <v>143</v>
      </c>
      <c r="F6" s="74" t="s">
        <v>104</v>
      </c>
      <c r="G6" s="75" t="s">
        <v>171</v>
      </c>
      <c r="H6" s="21" t="s">
        <v>105</v>
      </c>
      <c r="I6" s="21" t="s">
        <v>86</v>
      </c>
      <c r="J6" s="21" t="s">
        <v>173</v>
      </c>
      <c r="K6" s="75" t="s">
        <v>172</v>
      </c>
      <c r="L6" s="21" t="s">
        <v>87</v>
      </c>
      <c r="M6" s="21" t="s">
        <v>58</v>
      </c>
      <c r="N6" s="75" t="s">
        <v>161</v>
      </c>
      <c r="O6" s="75" t="s">
        <v>162</v>
      </c>
      <c r="P6" s="22" t="s">
        <v>165</v>
      </c>
      <c r="Q6" s="75" t="s">
        <v>164</v>
      </c>
      <c r="R6" s="75" t="s">
        <v>163</v>
      </c>
      <c r="S6" s="75" t="s">
        <v>169</v>
      </c>
      <c r="T6" s="22" t="s">
        <v>40</v>
      </c>
      <c r="U6" s="22" t="s">
        <v>166</v>
      </c>
      <c r="V6" s="23"/>
      <c r="W6" s="22" t="s">
        <v>172</v>
      </c>
      <c r="X6" s="76" t="s">
        <v>13</v>
      </c>
      <c r="Y6" s="22" t="s">
        <v>3</v>
      </c>
      <c r="Z6" s="22" t="s">
        <v>71</v>
      </c>
      <c r="AA6" s="22" t="s">
        <v>72</v>
      </c>
      <c r="AB6" s="23"/>
      <c r="AC6" s="189"/>
      <c r="AD6" s="23"/>
      <c r="AE6" s="20" t="s">
        <v>91</v>
      </c>
      <c r="AF6" s="24" t="s">
        <v>2</v>
      </c>
      <c r="AG6" s="25" t="s">
        <v>102</v>
      </c>
      <c r="AH6" s="26">
        <f ca="1">AG52/COUNT(G7:G51)</f>
        <v>0.26027977123267315</v>
      </c>
      <c r="AI6" s="19"/>
      <c r="AJ6" s="27" t="s">
        <v>101</v>
      </c>
      <c r="AK6" s="28" t="s">
        <v>114</v>
      </c>
      <c r="AL6" s="29" t="s">
        <v>83</v>
      </c>
      <c r="AM6" s="30">
        <f>VLOOKUP(AK6,Tablas!K13:M18,3,)</f>
        <v>1.5984000000000002E-2</v>
      </c>
      <c r="AO6" s="26" t="s">
        <v>106</v>
      </c>
      <c r="AP6" s="26" t="s">
        <v>107</v>
      </c>
      <c r="AQ6" s="26" t="s">
        <v>108</v>
      </c>
    </row>
    <row r="7" spans="2:43" s="42" customFormat="1" ht="15" customHeight="1" x14ac:dyDescent="0.25">
      <c r="B7" s="31">
        <v>1</v>
      </c>
      <c r="C7" s="34" t="s">
        <v>125</v>
      </c>
      <c r="D7" s="34" t="s">
        <v>195</v>
      </c>
      <c r="E7" s="34" t="s">
        <v>146</v>
      </c>
      <c r="F7" s="173">
        <v>45658</v>
      </c>
      <c r="G7" s="34">
        <v>4182</v>
      </c>
      <c r="H7" s="34">
        <f ca="1">+Impuestos!R7</f>
        <v>292.5490410958904</v>
      </c>
      <c r="I7" s="34">
        <f>+G7/15</f>
        <v>278.8</v>
      </c>
      <c r="J7" s="174">
        <v>15</v>
      </c>
      <c r="K7" s="81"/>
      <c r="L7" s="174">
        <f>+J7-K7</f>
        <v>15</v>
      </c>
      <c r="M7" s="35">
        <f>ROUND(L7*I7,0)</f>
        <v>4182</v>
      </c>
      <c r="N7" s="35"/>
      <c r="O7" s="35"/>
      <c r="P7" s="35">
        <f>SUM(M7:O7)</f>
        <v>4182</v>
      </c>
      <c r="Q7" s="35">
        <v>125</v>
      </c>
      <c r="R7" s="35">
        <v>150</v>
      </c>
      <c r="S7" s="35">
        <v>250</v>
      </c>
      <c r="T7" s="36">
        <f>ROUND(Impuestos!O7,0)</f>
        <v>237</v>
      </c>
      <c r="U7" s="36">
        <f>SUM(Q7:T7)</f>
        <v>762</v>
      </c>
      <c r="V7" s="37"/>
      <c r="W7" s="36">
        <f>+K7*I7</f>
        <v>0</v>
      </c>
      <c r="X7" s="36">
        <v>975</v>
      </c>
      <c r="Y7" s="36">
        <f ca="1">ROUND(Impuestos!BJ7*L7,0)</f>
        <v>104</v>
      </c>
      <c r="Z7" s="36">
        <f>ROUND(Impuestos!N7/(30.4/30),0)</f>
        <v>66</v>
      </c>
      <c r="AA7" s="36">
        <f ca="1">SUM(W7:Z7)</f>
        <v>1145</v>
      </c>
      <c r="AB7" s="37"/>
      <c r="AC7" s="36">
        <f ca="1">+P7+U7-AA7</f>
        <v>3799</v>
      </c>
      <c r="AD7" s="37"/>
      <c r="AE7" s="175">
        <f ca="1">L7*Impuestos!BK7</f>
        <v>1045.24227590137</v>
      </c>
      <c r="AF7" s="175">
        <f t="shared" ref="AF7:AF51" si="0">M7*0.03</f>
        <v>125.46</v>
      </c>
      <c r="AG7" s="176">
        <f ca="1">IF(AE7=0,0,(AE7+AF7)/(L7*Impuestos!R7))</f>
        <v>0.2667820003820926</v>
      </c>
      <c r="AH7" s="40"/>
      <c r="AI7" s="40"/>
      <c r="AJ7" s="41"/>
      <c r="AK7" s="40"/>
      <c r="AL7" s="40"/>
      <c r="AO7" s="40"/>
      <c r="AP7" s="41">
        <f ca="1">+AO7-AC7</f>
        <v>-3799</v>
      </c>
      <c r="AQ7" s="41">
        <f ca="1">+AP7+G7</f>
        <v>383</v>
      </c>
    </row>
    <row r="8" spans="2:43" s="42" customFormat="1" ht="15" customHeight="1" x14ac:dyDescent="0.25">
      <c r="B8" s="31">
        <v>2</v>
      </c>
      <c r="C8" s="34" t="s">
        <v>144</v>
      </c>
      <c r="D8" s="34" t="s">
        <v>195</v>
      </c>
      <c r="E8" s="34" t="s">
        <v>147</v>
      </c>
      <c r="F8" s="173">
        <v>45658</v>
      </c>
      <c r="G8" s="34">
        <v>4500</v>
      </c>
      <c r="H8" s="34">
        <f ca="1">+Impuestos!R8</f>
        <v>314.79452054794524</v>
      </c>
      <c r="I8" s="34">
        <f>+G8/15</f>
        <v>300</v>
      </c>
      <c r="J8" s="174">
        <v>15</v>
      </c>
      <c r="K8" s="81">
        <v>3</v>
      </c>
      <c r="L8" s="174">
        <f t="shared" ref="L8:L51" si="1">+J8-K8</f>
        <v>12</v>
      </c>
      <c r="M8" s="35">
        <f t="shared" ref="M8:M51" si="2">ROUND(L8*I8,0)</f>
        <v>3600</v>
      </c>
      <c r="N8" s="35">
        <v>345</v>
      </c>
      <c r="O8" s="35">
        <v>700</v>
      </c>
      <c r="P8" s="35">
        <f>SUM(M8:O8)</f>
        <v>4645</v>
      </c>
      <c r="Q8" s="35">
        <v>100</v>
      </c>
      <c r="R8" s="35">
        <v>200</v>
      </c>
      <c r="S8" s="35">
        <v>250</v>
      </c>
      <c r="T8" s="36">
        <f>ROUND(Impuestos!O8,0)</f>
        <v>237</v>
      </c>
      <c r="U8" s="36">
        <f t="shared" ref="U8:U51" si="3">SUM(Q8:T8)</f>
        <v>787</v>
      </c>
      <c r="V8" s="37"/>
      <c r="W8" s="36">
        <f t="shared" ref="W8:W51" si="4">+K8*I8</f>
        <v>900</v>
      </c>
      <c r="X8" s="36">
        <v>0</v>
      </c>
      <c r="Y8" s="36">
        <f ca="1">ROUND(Impuestos!BJ8*L8,0)</f>
        <v>90</v>
      </c>
      <c r="Z8" s="36">
        <f>ROUND(Impuestos!N8/(30.4/30),0)</f>
        <v>117</v>
      </c>
      <c r="AA8" s="36">
        <f ca="1">SUM(W8:Z8)</f>
        <v>1107</v>
      </c>
      <c r="AB8" s="37"/>
      <c r="AC8" s="36">
        <f ca="1">+P8+U8-AA8</f>
        <v>4325</v>
      </c>
      <c r="AD8" s="37"/>
      <c r="AE8" s="175">
        <f ca="1">L8*Impuestos!BK8</f>
        <v>879.56823452054789</v>
      </c>
      <c r="AF8" s="175">
        <f t="shared" si="0"/>
        <v>108</v>
      </c>
      <c r="AG8" s="176">
        <f ca="1">IF(AE8=0,0,(AE8+AF8)/(L8*Impuestos!R8))</f>
        <v>0.2614319738903394</v>
      </c>
      <c r="AH8" s="40"/>
      <c r="AI8" s="40"/>
      <c r="AJ8" s="41"/>
      <c r="AK8" s="40"/>
      <c r="AL8" s="40"/>
      <c r="AM8" s="41"/>
    </row>
    <row r="9" spans="2:43" s="42" customFormat="1" ht="15" customHeight="1" x14ac:dyDescent="0.25">
      <c r="B9" s="31">
        <v>3</v>
      </c>
      <c r="C9" s="34" t="s">
        <v>145</v>
      </c>
      <c r="D9" s="34" t="s">
        <v>195</v>
      </c>
      <c r="E9" s="34" t="s">
        <v>148</v>
      </c>
      <c r="F9" s="173">
        <v>45658</v>
      </c>
      <c r="G9" s="34">
        <v>5250</v>
      </c>
      <c r="H9" s="34">
        <f ca="1">+Impuestos!R9</f>
        <v>367.26027397260276</v>
      </c>
      <c r="I9" s="34">
        <f t="shared" ref="I9:I51" si="5">+G9/15</f>
        <v>350</v>
      </c>
      <c r="J9" s="174">
        <v>15</v>
      </c>
      <c r="K9" s="81">
        <v>1</v>
      </c>
      <c r="L9" s="174">
        <f t="shared" si="1"/>
        <v>14</v>
      </c>
      <c r="M9" s="35">
        <f t="shared" si="2"/>
        <v>4900</v>
      </c>
      <c r="N9" s="35"/>
      <c r="O9" s="35"/>
      <c r="P9" s="35">
        <f t="shared" ref="P9:P51" si="6">SUM(M9:O9)</f>
        <v>4900</v>
      </c>
      <c r="Q9" s="35"/>
      <c r="R9" s="35"/>
      <c r="S9" s="35">
        <v>500</v>
      </c>
      <c r="T9" s="36">
        <f>ROUND(Impuestos!O9,0)</f>
        <v>237</v>
      </c>
      <c r="U9" s="36">
        <f t="shared" si="3"/>
        <v>737</v>
      </c>
      <c r="V9" s="37"/>
      <c r="W9" s="36">
        <f t="shared" si="4"/>
        <v>350</v>
      </c>
      <c r="X9" s="36">
        <v>0</v>
      </c>
      <c r="Y9" s="36">
        <f ca="1">ROUND(Impuestos!BJ9*L9,0)</f>
        <v>124</v>
      </c>
      <c r="Z9" s="36">
        <f>ROUND(Impuestos!N9/(30.4/30),0)</f>
        <v>144</v>
      </c>
      <c r="AA9" s="36">
        <f ca="1">SUM(W9:Z9)</f>
        <v>618</v>
      </c>
      <c r="AB9" s="37"/>
      <c r="AC9" s="36">
        <f t="shared" ref="AC9:AC51" ca="1" si="7">+P9+U9-AA9</f>
        <v>5019</v>
      </c>
      <c r="AD9" s="37"/>
      <c r="AE9" s="175">
        <f ca="1">L9*Impuestos!BK9</f>
        <v>1151.9095191780821</v>
      </c>
      <c r="AF9" s="175">
        <f t="shared" si="0"/>
        <v>147</v>
      </c>
      <c r="AG9" s="176">
        <f ca="1">IF(AE9=0,0,(AE9+AF9)/(L9*Impuestos!R9))</f>
        <v>0.2526253394255874</v>
      </c>
      <c r="AH9" s="40"/>
      <c r="AI9" s="40"/>
      <c r="AJ9" s="41"/>
      <c r="AK9" s="40"/>
      <c r="AL9" s="40"/>
    </row>
    <row r="10" spans="2:43" s="42" customFormat="1" ht="15" customHeight="1" x14ac:dyDescent="0.25">
      <c r="B10" s="31">
        <v>4</v>
      </c>
      <c r="C10" s="32"/>
      <c r="D10" s="32"/>
      <c r="E10" s="32"/>
      <c r="F10" s="33"/>
      <c r="G10" s="32"/>
      <c r="H10" s="32">
        <f ca="1">+Impuestos!R10</f>
        <v>0</v>
      </c>
      <c r="I10" s="34">
        <f t="shared" si="5"/>
        <v>0</v>
      </c>
      <c r="J10" s="77">
        <v>15</v>
      </c>
      <c r="K10" s="81"/>
      <c r="L10" s="77">
        <f t="shared" si="1"/>
        <v>15</v>
      </c>
      <c r="M10" s="35">
        <f t="shared" si="2"/>
        <v>0</v>
      </c>
      <c r="N10" s="35"/>
      <c r="O10" s="35"/>
      <c r="P10" s="35">
        <f t="shared" si="6"/>
        <v>0</v>
      </c>
      <c r="Q10" s="35"/>
      <c r="R10" s="35"/>
      <c r="S10" s="35"/>
      <c r="T10" s="36">
        <f>ROUND(Impuestos!O10,0)</f>
        <v>0</v>
      </c>
      <c r="U10" s="36">
        <f t="shared" si="3"/>
        <v>0</v>
      </c>
      <c r="V10" s="37"/>
      <c r="W10" s="36">
        <f t="shared" si="4"/>
        <v>0</v>
      </c>
      <c r="X10" s="36"/>
      <c r="Y10" s="36">
        <f>ROUND(Impuestos!BJ10*L10,0)</f>
        <v>0</v>
      </c>
      <c r="Z10" s="36">
        <f>ROUND(Impuestos!N10/(30.4/30),0)</f>
        <v>0</v>
      </c>
      <c r="AA10" s="36">
        <f t="shared" ref="AA10:AA51" si="8">SUM(W10:Z10)</f>
        <v>0</v>
      </c>
      <c r="AB10" s="37"/>
      <c r="AC10" s="36">
        <f t="shared" si="7"/>
        <v>0</v>
      </c>
      <c r="AD10" s="37"/>
      <c r="AE10" s="38">
        <f ca="1">L10*Impuestos!BK10</f>
        <v>0</v>
      </c>
      <c r="AF10" s="38">
        <f t="shared" si="0"/>
        <v>0</v>
      </c>
      <c r="AG10" s="39">
        <f ca="1">IF(AE10=0,0,(AE10+AF10)/(L10*Impuestos!R10))</f>
        <v>0</v>
      </c>
      <c r="AH10" s="43"/>
      <c r="AI10" s="40"/>
      <c r="AJ10" s="41"/>
      <c r="AK10" s="40"/>
      <c r="AL10" s="40"/>
    </row>
    <row r="11" spans="2:43" s="42" customFormat="1" ht="15" customHeight="1" x14ac:dyDescent="0.25">
      <c r="B11" s="31">
        <v>5</v>
      </c>
      <c r="C11" s="32"/>
      <c r="D11" s="32"/>
      <c r="E11" s="32"/>
      <c r="F11" s="33"/>
      <c r="G11" s="32"/>
      <c r="H11" s="32">
        <f ca="1">+Impuestos!R11</f>
        <v>0</v>
      </c>
      <c r="I11" s="34">
        <f t="shared" si="5"/>
        <v>0</v>
      </c>
      <c r="J11" s="77">
        <v>15</v>
      </c>
      <c r="K11" s="81"/>
      <c r="L11" s="77">
        <f t="shared" si="1"/>
        <v>15</v>
      </c>
      <c r="M11" s="35">
        <f t="shared" si="2"/>
        <v>0</v>
      </c>
      <c r="N11" s="35"/>
      <c r="O11" s="35"/>
      <c r="P11" s="35">
        <f t="shared" si="6"/>
        <v>0</v>
      </c>
      <c r="Q11" s="35"/>
      <c r="R11" s="35"/>
      <c r="S11" s="35"/>
      <c r="T11" s="36">
        <f>ROUND(Impuestos!O11,0)</f>
        <v>0</v>
      </c>
      <c r="U11" s="36">
        <f t="shared" si="3"/>
        <v>0</v>
      </c>
      <c r="V11" s="37"/>
      <c r="W11" s="36">
        <f t="shared" si="4"/>
        <v>0</v>
      </c>
      <c r="X11" s="36"/>
      <c r="Y11" s="36">
        <f>ROUND(Impuestos!BJ11*L11,0)</f>
        <v>0</v>
      </c>
      <c r="Z11" s="36">
        <f>ROUND(Impuestos!N11/(30.4/30),0)</f>
        <v>0</v>
      </c>
      <c r="AA11" s="36">
        <f t="shared" si="8"/>
        <v>0</v>
      </c>
      <c r="AB11" s="37"/>
      <c r="AC11" s="36">
        <f t="shared" si="7"/>
        <v>0</v>
      </c>
      <c r="AD11" s="37"/>
      <c r="AE11" s="38">
        <f ca="1">L11*Impuestos!BK11</f>
        <v>0</v>
      </c>
      <c r="AF11" s="38">
        <f t="shared" si="0"/>
        <v>0</v>
      </c>
      <c r="AG11" s="39">
        <f ca="1">IF(AE11=0,0,(AE11+AF11)/(L11*Impuestos!R11))</f>
        <v>0</v>
      </c>
      <c r="AH11" s="44"/>
      <c r="AI11" s="40"/>
      <c r="AJ11" s="41"/>
      <c r="AK11" s="40"/>
      <c r="AL11" s="40"/>
    </row>
    <row r="12" spans="2:43" s="42" customFormat="1" ht="15" customHeight="1" x14ac:dyDescent="0.25">
      <c r="B12" s="31">
        <v>6</v>
      </c>
      <c r="C12" s="32"/>
      <c r="D12" s="32"/>
      <c r="E12" s="32"/>
      <c r="F12" s="33"/>
      <c r="G12" s="32"/>
      <c r="H12" s="32">
        <f ca="1">+Impuestos!R12</f>
        <v>0</v>
      </c>
      <c r="I12" s="34">
        <f t="shared" si="5"/>
        <v>0</v>
      </c>
      <c r="J12" s="77">
        <v>15</v>
      </c>
      <c r="K12" s="81"/>
      <c r="L12" s="77">
        <f t="shared" si="1"/>
        <v>15</v>
      </c>
      <c r="M12" s="35">
        <f t="shared" si="2"/>
        <v>0</v>
      </c>
      <c r="N12" s="35"/>
      <c r="O12" s="35"/>
      <c r="P12" s="35">
        <f t="shared" si="6"/>
        <v>0</v>
      </c>
      <c r="Q12" s="35"/>
      <c r="R12" s="35"/>
      <c r="S12" s="35"/>
      <c r="T12" s="36">
        <f>ROUND(Impuestos!O12,0)</f>
        <v>0</v>
      </c>
      <c r="U12" s="36">
        <f t="shared" si="3"/>
        <v>0</v>
      </c>
      <c r="V12" s="37"/>
      <c r="W12" s="36">
        <f t="shared" si="4"/>
        <v>0</v>
      </c>
      <c r="X12" s="36"/>
      <c r="Y12" s="36">
        <f>ROUND(Impuestos!BJ12*L12,0)</f>
        <v>0</v>
      </c>
      <c r="Z12" s="36">
        <f>ROUND(Impuestos!N12/(30.4/30),0)</f>
        <v>0</v>
      </c>
      <c r="AA12" s="36">
        <f t="shared" si="8"/>
        <v>0</v>
      </c>
      <c r="AB12" s="37"/>
      <c r="AC12" s="36">
        <f t="shared" si="7"/>
        <v>0</v>
      </c>
      <c r="AD12" s="37"/>
      <c r="AE12" s="38">
        <f ca="1">L12*Impuestos!BK12</f>
        <v>0</v>
      </c>
      <c r="AF12" s="38">
        <f t="shared" si="0"/>
        <v>0</v>
      </c>
      <c r="AG12" s="39">
        <f ca="1">IF(AE12=0,0,(AE12+AF12)/(L12*Impuestos!R12))</f>
        <v>0</v>
      </c>
      <c r="AH12" s="44"/>
      <c r="AI12" s="40"/>
      <c r="AJ12" s="41"/>
      <c r="AK12" s="40"/>
      <c r="AL12" s="40"/>
    </row>
    <row r="13" spans="2:43" s="42" customFormat="1" ht="15" customHeight="1" x14ac:dyDescent="0.25">
      <c r="B13" s="31">
        <v>7</v>
      </c>
      <c r="C13" s="32"/>
      <c r="D13" s="32"/>
      <c r="E13" s="32"/>
      <c r="F13" s="33"/>
      <c r="G13" s="32"/>
      <c r="H13" s="32">
        <f ca="1">+Impuestos!R13</f>
        <v>0</v>
      </c>
      <c r="I13" s="34">
        <f t="shared" si="5"/>
        <v>0</v>
      </c>
      <c r="J13" s="77">
        <v>15</v>
      </c>
      <c r="K13" s="81"/>
      <c r="L13" s="77">
        <f t="shared" si="1"/>
        <v>15</v>
      </c>
      <c r="M13" s="35">
        <f t="shared" si="2"/>
        <v>0</v>
      </c>
      <c r="N13" s="35"/>
      <c r="O13" s="35"/>
      <c r="P13" s="35">
        <f t="shared" si="6"/>
        <v>0</v>
      </c>
      <c r="Q13" s="35"/>
      <c r="R13" s="35"/>
      <c r="S13" s="35"/>
      <c r="T13" s="36">
        <f>ROUND(Impuestos!O13,0)</f>
        <v>0</v>
      </c>
      <c r="U13" s="36">
        <f t="shared" si="3"/>
        <v>0</v>
      </c>
      <c r="V13" s="37"/>
      <c r="W13" s="36">
        <f t="shared" si="4"/>
        <v>0</v>
      </c>
      <c r="X13" s="36"/>
      <c r="Y13" s="36">
        <f>ROUND(Impuestos!BJ13*L13,0)</f>
        <v>0</v>
      </c>
      <c r="Z13" s="36">
        <f>ROUND(Impuestos!N13/(30.4/30),0)</f>
        <v>0</v>
      </c>
      <c r="AA13" s="36">
        <f t="shared" si="8"/>
        <v>0</v>
      </c>
      <c r="AB13" s="37"/>
      <c r="AC13" s="36">
        <f t="shared" si="7"/>
        <v>0</v>
      </c>
      <c r="AD13" s="37"/>
      <c r="AE13" s="38">
        <f ca="1">L13*Impuestos!BK13</f>
        <v>0</v>
      </c>
      <c r="AF13" s="38">
        <f t="shared" si="0"/>
        <v>0</v>
      </c>
      <c r="AG13" s="39">
        <f ca="1">IF(AE13=0,0,(AE13+AF13)/(L13*Impuestos!R13))</f>
        <v>0</v>
      </c>
      <c r="AH13" s="43"/>
      <c r="AI13" s="40"/>
      <c r="AJ13" s="41"/>
      <c r="AK13" s="40"/>
      <c r="AL13" s="40"/>
    </row>
    <row r="14" spans="2:43" s="42" customFormat="1" ht="15" customHeight="1" x14ac:dyDescent="0.25">
      <c r="B14" s="31">
        <v>8</v>
      </c>
      <c r="C14" s="32"/>
      <c r="D14" s="32"/>
      <c r="E14" s="32"/>
      <c r="F14" s="33"/>
      <c r="G14" s="32"/>
      <c r="H14" s="32">
        <f ca="1">+Impuestos!R14</f>
        <v>0</v>
      </c>
      <c r="I14" s="34">
        <f t="shared" si="5"/>
        <v>0</v>
      </c>
      <c r="J14" s="77">
        <v>15</v>
      </c>
      <c r="K14" s="81"/>
      <c r="L14" s="77">
        <f t="shared" si="1"/>
        <v>15</v>
      </c>
      <c r="M14" s="35">
        <f t="shared" si="2"/>
        <v>0</v>
      </c>
      <c r="N14" s="35"/>
      <c r="O14" s="35"/>
      <c r="P14" s="35">
        <f t="shared" si="6"/>
        <v>0</v>
      </c>
      <c r="Q14" s="35"/>
      <c r="R14" s="35"/>
      <c r="S14" s="35"/>
      <c r="T14" s="36">
        <f>ROUND(Impuestos!O14,0)</f>
        <v>0</v>
      </c>
      <c r="U14" s="36">
        <f t="shared" si="3"/>
        <v>0</v>
      </c>
      <c r="V14" s="37"/>
      <c r="W14" s="36">
        <f t="shared" si="4"/>
        <v>0</v>
      </c>
      <c r="X14" s="36"/>
      <c r="Y14" s="36">
        <f>ROUND(Impuestos!BJ14*L14,0)</f>
        <v>0</v>
      </c>
      <c r="Z14" s="36">
        <f>ROUND(Impuestos!N14/(30.4/30),0)</f>
        <v>0</v>
      </c>
      <c r="AA14" s="36">
        <f t="shared" si="8"/>
        <v>0</v>
      </c>
      <c r="AB14" s="37"/>
      <c r="AC14" s="36">
        <f t="shared" si="7"/>
        <v>0</v>
      </c>
      <c r="AD14" s="37"/>
      <c r="AE14" s="38">
        <f ca="1">L14*Impuestos!BK14</f>
        <v>0</v>
      </c>
      <c r="AF14" s="38">
        <f t="shared" si="0"/>
        <v>0</v>
      </c>
      <c r="AG14" s="39">
        <f ca="1">IF(AE14=0,0,(AE14+AF14)/(L14*Impuestos!R14))</f>
        <v>0</v>
      </c>
      <c r="AH14" s="43"/>
      <c r="AI14" s="40"/>
      <c r="AJ14" s="41"/>
    </row>
    <row r="15" spans="2:43" s="42" customFormat="1" ht="15" customHeight="1" x14ac:dyDescent="0.25">
      <c r="B15" s="31">
        <v>9</v>
      </c>
      <c r="C15" s="32"/>
      <c r="D15" s="32"/>
      <c r="E15" s="32"/>
      <c r="F15" s="33"/>
      <c r="G15" s="32"/>
      <c r="H15" s="32">
        <f ca="1">+Impuestos!R15</f>
        <v>0</v>
      </c>
      <c r="I15" s="34">
        <f t="shared" si="5"/>
        <v>0</v>
      </c>
      <c r="J15" s="77">
        <v>15</v>
      </c>
      <c r="K15" s="81"/>
      <c r="L15" s="77">
        <f t="shared" si="1"/>
        <v>15</v>
      </c>
      <c r="M15" s="35">
        <f t="shared" si="2"/>
        <v>0</v>
      </c>
      <c r="N15" s="35"/>
      <c r="O15" s="35"/>
      <c r="P15" s="35">
        <f t="shared" si="6"/>
        <v>0</v>
      </c>
      <c r="Q15" s="35"/>
      <c r="R15" s="35"/>
      <c r="S15" s="35"/>
      <c r="T15" s="36">
        <f>ROUND(Impuestos!O15,0)</f>
        <v>0</v>
      </c>
      <c r="U15" s="36">
        <f t="shared" si="3"/>
        <v>0</v>
      </c>
      <c r="V15" s="37"/>
      <c r="W15" s="36">
        <f t="shared" si="4"/>
        <v>0</v>
      </c>
      <c r="X15" s="36"/>
      <c r="Y15" s="36">
        <f>ROUND(Impuestos!BJ15*L15,0)</f>
        <v>0</v>
      </c>
      <c r="Z15" s="36">
        <f>ROUND(Impuestos!N15/(30.4/30),0)</f>
        <v>0</v>
      </c>
      <c r="AA15" s="36">
        <f t="shared" si="8"/>
        <v>0</v>
      </c>
      <c r="AB15" s="37"/>
      <c r="AC15" s="36">
        <f t="shared" si="7"/>
        <v>0</v>
      </c>
      <c r="AD15" s="37"/>
      <c r="AE15" s="38">
        <f ca="1">L15*Impuestos!BK15</f>
        <v>0</v>
      </c>
      <c r="AF15" s="38">
        <f t="shared" si="0"/>
        <v>0</v>
      </c>
      <c r="AG15" s="39">
        <f ca="1">IF(AE15=0,0,(AE15+AF15)/(L15*Impuestos!R15))</f>
        <v>0</v>
      </c>
      <c r="AH15" s="43"/>
      <c r="AI15" s="40"/>
      <c r="AJ15" s="41"/>
    </row>
    <row r="16" spans="2:43" s="42" customFormat="1" ht="15" customHeight="1" x14ac:dyDescent="0.25">
      <c r="B16" s="31">
        <v>10</v>
      </c>
      <c r="C16" s="32"/>
      <c r="D16" s="32"/>
      <c r="E16" s="32"/>
      <c r="F16" s="33"/>
      <c r="G16" s="32"/>
      <c r="H16" s="32">
        <f ca="1">+Impuestos!R16</f>
        <v>0</v>
      </c>
      <c r="I16" s="34">
        <f t="shared" si="5"/>
        <v>0</v>
      </c>
      <c r="J16" s="77">
        <v>15</v>
      </c>
      <c r="K16" s="81"/>
      <c r="L16" s="77">
        <f t="shared" si="1"/>
        <v>15</v>
      </c>
      <c r="M16" s="35">
        <f t="shared" si="2"/>
        <v>0</v>
      </c>
      <c r="N16" s="35"/>
      <c r="O16" s="35"/>
      <c r="P16" s="35">
        <f t="shared" si="6"/>
        <v>0</v>
      </c>
      <c r="Q16" s="35"/>
      <c r="R16" s="35"/>
      <c r="S16" s="35"/>
      <c r="T16" s="36">
        <f>ROUND(Impuestos!O16,0)</f>
        <v>0</v>
      </c>
      <c r="U16" s="36">
        <f t="shared" si="3"/>
        <v>0</v>
      </c>
      <c r="V16" s="37"/>
      <c r="W16" s="36">
        <f t="shared" si="4"/>
        <v>0</v>
      </c>
      <c r="X16" s="36"/>
      <c r="Y16" s="36">
        <f>ROUND(Impuestos!BJ16*L16,0)</f>
        <v>0</v>
      </c>
      <c r="Z16" s="36">
        <f>ROUND(Impuestos!N16/(30.4/30),0)</f>
        <v>0</v>
      </c>
      <c r="AA16" s="36">
        <f t="shared" si="8"/>
        <v>0</v>
      </c>
      <c r="AB16" s="37"/>
      <c r="AC16" s="36">
        <f t="shared" si="7"/>
        <v>0</v>
      </c>
      <c r="AD16" s="37"/>
      <c r="AE16" s="38">
        <f ca="1">L16*Impuestos!BK16</f>
        <v>0</v>
      </c>
      <c r="AF16" s="38">
        <f t="shared" si="0"/>
        <v>0</v>
      </c>
      <c r="AG16" s="39">
        <f ca="1">IF(AE16=0,0,(AE16+AF16)/(L16*Impuestos!R16))</f>
        <v>0</v>
      </c>
      <c r="AH16" s="43"/>
      <c r="AI16" s="40"/>
    </row>
    <row r="17" spans="2:36" s="42" customFormat="1" ht="15" customHeight="1" x14ac:dyDescent="0.25">
      <c r="B17" s="31">
        <v>11</v>
      </c>
      <c r="C17" s="32"/>
      <c r="D17" s="32"/>
      <c r="E17" s="32"/>
      <c r="F17" s="33"/>
      <c r="G17" s="32"/>
      <c r="H17" s="32">
        <f ca="1">+Impuestos!R17</f>
        <v>0</v>
      </c>
      <c r="I17" s="34">
        <f t="shared" si="5"/>
        <v>0</v>
      </c>
      <c r="J17" s="77">
        <v>15</v>
      </c>
      <c r="K17" s="81"/>
      <c r="L17" s="77">
        <f t="shared" si="1"/>
        <v>15</v>
      </c>
      <c r="M17" s="35">
        <f t="shared" si="2"/>
        <v>0</v>
      </c>
      <c r="N17" s="35"/>
      <c r="O17" s="35"/>
      <c r="P17" s="35">
        <f t="shared" si="6"/>
        <v>0</v>
      </c>
      <c r="Q17" s="35"/>
      <c r="R17" s="35"/>
      <c r="S17" s="35"/>
      <c r="T17" s="36">
        <f>ROUND(Impuestos!O17,0)</f>
        <v>0</v>
      </c>
      <c r="U17" s="36">
        <f t="shared" si="3"/>
        <v>0</v>
      </c>
      <c r="V17" s="37"/>
      <c r="W17" s="36">
        <f t="shared" si="4"/>
        <v>0</v>
      </c>
      <c r="X17" s="36"/>
      <c r="Y17" s="36">
        <f>ROUND(Impuestos!BJ17*L17,0)</f>
        <v>0</v>
      </c>
      <c r="Z17" s="36">
        <f>ROUND(Impuestos!N17/(30.4/30),0)</f>
        <v>0</v>
      </c>
      <c r="AA17" s="36">
        <f t="shared" si="8"/>
        <v>0</v>
      </c>
      <c r="AB17" s="37"/>
      <c r="AC17" s="36">
        <f t="shared" si="7"/>
        <v>0</v>
      </c>
      <c r="AD17" s="37"/>
      <c r="AE17" s="38">
        <f ca="1">L17*Impuestos!BK17</f>
        <v>0</v>
      </c>
      <c r="AF17" s="38">
        <f t="shared" si="0"/>
        <v>0</v>
      </c>
      <c r="AG17" s="39">
        <f ca="1">IF(AE17=0,0,(AE17+AF17)/(L17*Impuestos!R17))</f>
        <v>0</v>
      </c>
      <c r="AH17" s="43"/>
      <c r="AI17" s="40"/>
    </row>
    <row r="18" spans="2:36" s="42" customFormat="1" ht="15" customHeight="1" x14ac:dyDescent="0.25">
      <c r="B18" s="31">
        <v>12</v>
      </c>
      <c r="C18" s="32"/>
      <c r="D18" s="32"/>
      <c r="E18" s="32"/>
      <c r="F18" s="33"/>
      <c r="G18" s="32"/>
      <c r="H18" s="32">
        <f ca="1">+Impuestos!R18</f>
        <v>0</v>
      </c>
      <c r="I18" s="34">
        <f t="shared" si="5"/>
        <v>0</v>
      </c>
      <c r="J18" s="77">
        <v>15</v>
      </c>
      <c r="K18" s="81"/>
      <c r="L18" s="77">
        <f t="shared" si="1"/>
        <v>15</v>
      </c>
      <c r="M18" s="35">
        <f t="shared" si="2"/>
        <v>0</v>
      </c>
      <c r="N18" s="35"/>
      <c r="O18" s="35"/>
      <c r="P18" s="35">
        <f t="shared" si="6"/>
        <v>0</v>
      </c>
      <c r="Q18" s="35"/>
      <c r="R18" s="35"/>
      <c r="S18" s="35"/>
      <c r="T18" s="36">
        <f>ROUND(Impuestos!O18,0)</f>
        <v>0</v>
      </c>
      <c r="U18" s="36">
        <f t="shared" si="3"/>
        <v>0</v>
      </c>
      <c r="V18" s="37"/>
      <c r="W18" s="36">
        <f t="shared" si="4"/>
        <v>0</v>
      </c>
      <c r="X18" s="36"/>
      <c r="Y18" s="36">
        <f>ROUND(Impuestos!BJ18*L18,0)</f>
        <v>0</v>
      </c>
      <c r="Z18" s="36">
        <f>ROUND(Impuestos!N18/(30.4/30),0)</f>
        <v>0</v>
      </c>
      <c r="AA18" s="36">
        <f t="shared" si="8"/>
        <v>0</v>
      </c>
      <c r="AB18" s="37"/>
      <c r="AC18" s="36">
        <f t="shared" si="7"/>
        <v>0</v>
      </c>
      <c r="AD18" s="37"/>
      <c r="AE18" s="38">
        <f ca="1">L18*Impuestos!BK18</f>
        <v>0</v>
      </c>
      <c r="AF18" s="38">
        <f t="shared" si="0"/>
        <v>0</v>
      </c>
      <c r="AG18" s="39">
        <f ca="1">IF(AE18=0,0,(AE18+AF18)/(L18*Impuestos!R18))</f>
        <v>0</v>
      </c>
      <c r="AH18" s="43"/>
      <c r="AI18" s="40"/>
    </row>
    <row r="19" spans="2:36" s="42" customFormat="1" ht="15" customHeight="1" x14ac:dyDescent="0.25">
      <c r="B19" s="31">
        <v>13</v>
      </c>
      <c r="C19" s="32"/>
      <c r="D19" s="32"/>
      <c r="E19" s="32"/>
      <c r="F19" s="33"/>
      <c r="G19" s="32"/>
      <c r="H19" s="32">
        <f ca="1">+Impuestos!R19</f>
        <v>0</v>
      </c>
      <c r="I19" s="34">
        <f t="shared" si="5"/>
        <v>0</v>
      </c>
      <c r="J19" s="77">
        <v>15</v>
      </c>
      <c r="K19" s="81"/>
      <c r="L19" s="77">
        <f t="shared" si="1"/>
        <v>15</v>
      </c>
      <c r="M19" s="35">
        <f t="shared" si="2"/>
        <v>0</v>
      </c>
      <c r="N19" s="35"/>
      <c r="O19" s="35"/>
      <c r="P19" s="35">
        <f t="shared" si="6"/>
        <v>0</v>
      </c>
      <c r="Q19" s="35"/>
      <c r="R19" s="35"/>
      <c r="S19" s="35"/>
      <c r="T19" s="36">
        <f>ROUND(Impuestos!O19,0)</f>
        <v>0</v>
      </c>
      <c r="U19" s="36">
        <f t="shared" si="3"/>
        <v>0</v>
      </c>
      <c r="V19" s="37"/>
      <c r="W19" s="36">
        <f t="shared" si="4"/>
        <v>0</v>
      </c>
      <c r="X19" s="36"/>
      <c r="Y19" s="36">
        <f>ROUND(Impuestos!BJ19*L19,0)</f>
        <v>0</v>
      </c>
      <c r="Z19" s="36">
        <f>ROUND(Impuestos!N19/(30.4/30),0)</f>
        <v>0</v>
      </c>
      <c r="AA19" s="36">
        <f t="shared" si="8"/>
        <v>0</v>
      </c>
      <c r="AB19" s="37"/>
      <c r="AC19" s="36">
        <f t="shared" si="7"/>
        <v>0</v>
      </c>
      <c r="AD19" s="37"/>
      <c r="AE19" s="38">
        <f ca="1">L19*Impuestos!BK19</f>
        <v>0</v>
      </c>
      <c r="AF19" s="38">
        <f t="shared" si="0"/>
        <v>0</v>
      </c>
      <c r="AG19" s="39">
        <f ca="1">IF(AE19=0,0,(AE19+AF19)/(L19*Impuestos!R19))</f>
        <v>0</v>
      </c>
      <c r="AH19" s="43"/>
      <c r="AI19" s="40"/>
    </row>
    <row r="20" spans="2:36" s="42" customFormat="1" ht="15" customHeight="1" x14ac:dyDescent="0.25">
      <c r="B20" s="31">
        <v>14</v>
      </c>
      <c r="C20" s="32"/>
      <c r="D20" s="32"/>
      <c r="E20" s="32"/>
      <c r="F20" s="33"/>
      <c r="G20" s="32"/>
      <c r="H20" s="32">
        <f ca="1">+Impuestos!R20</f>
        <v>0</v>
      </c>
      <c r="I20" s="34">
        <f t="shared" si="5"/>
        <v>0</v>
      </c>
      <c r="J20" s="77">
        <v>15</v>
      </c>
      <c r="K20" s="81"/>
      <c r="L20" s="77">
        <f t="shared" si="1"/>
        <v>15</v>
      </c>
      <c r="M20" s="35">
        <f t="shared" si="2"/>
        <v>0</v>
      </c>
      <c r="N20" s="35"/>
      <c r="O20" s="35"/>
      <c r="P20" s="35">
        <f t="shared" si="6"/>
        <v>0</v>
      </c>
      <c r="Q20" s="35"/>
      <c r="R20" s="35"/>
      <c r="S20" s="35"/>
      <c r="T20" s="36">
        <f>ROUND(Impuestos!O20,0)</f>
        <v>0</v>
      </c>
      <c r="U20" s="36">
        <f t="shared" si="3"/>
        <v>0</v>
      </c>
      <c r="V20" s="37"/>
      <c r="W20" s="36">
        <f t="shared" si="4"/>
        <v>0</v>
      </c>
      <c r="X20" s="36"/>
      <c r="Y20" s="36">
        <f>ROUND(Impuestos!BJ20*L20,0)</f>
        <v>0</v>
      </c>
      <c r="Z20" s="36">
        <f>ROUND(Impuestos!N20/(30.4/30),0)</f>
        <v>0</v>
      </c>
      <c r="AA20" s="36">
        <f t="shared" si="8"/>
        <v>0</v>
      </c>
      <c r="AB20" s="37"/>
      <c r="AC20" s="36">
        <f t="shared" si="7"/>
        <v>0</v>
      </c>
      <c r="AD20" s="37"/>
      <c r="AE20" s="38">
        <f ca="1">L20*Impuestos!BK20</f>
        <v>0</v>
      </c>
      <c r="AF20" s="38">
        <f t="shared" si="0"/>
        <v>0</v>
      </c>
      <c r="AG20" s="39">
        <f ca="1">IF(AE20=0,0,(AE20+AF20)/(L20*Impuestos!R20))</f>
        <v>0</v>
      </c>
      <c r="AH20" s="43"/>
      <c r="AI20" s="45"/>
    </row>
    <row r="21" spans="2:36" s="42" customFormat="1" ht="15" customHeight="1" x14ac:dyDescent="0.25">
      <c r="B21" s="31">
        <v>15</v>
      </c>
      <c r="C21" s="32"/>
      <c r="D21" s="32"/>
      <c r="E21" s="32"/>
      <c r="F21" s="33"/>
      <c r="G21" s="32"/>
      <c r="H21" s="32">
        <f ca="1">+Impuestos!R21</f>
        <v>0</v>
      </c>
      <c r="I21" s="34">
        <f t="shared" si="5"/>
        <v>0</v>
      </c>
      <c r="J21" s="77">
        <v>15</v>
      </c>
      <c r="K21" s="81"/>
      <c r="L21" s="77">
        <f t="shared" si="1"/>
        <v>15</v>
      </c>
      <c r="M21" s="35">
        <f t="shared" si="2"/>
        <v>0</v>
      </c>
      <c r="N21" s="35"/>
      <c r="O21" s="35"/>
      <c r="P21" s="35">
        <f t="shared" si="6"/>
        <v>0</v>
      </c>
      <c r="Q21" s="35"/>
      <c r="R21" s="35"/>
      <c r="S21" s="35"/>
      <c r="T21" s="36">
        <f>ROUND(Impuestos!O21,0)</f>
        <v>0</v>
      </c>
      <c r="U21" s="36">
        <f t="shared" si="3"/>
        <v>0</v>
      </c>
      <c r="V21" s="37"/>
      <c r="W21" s="36">
        <f t="shared" si="4"/>
        <v>0</v>
      </c>
      <c r="X21" s="36"/>
      <c r="Y21" s="36">
        <f>ROUND(Impuestos!BJ21*L21,0)</f>
        <v>0</v>
      </c>
      <c r="Z21" s="36">
        <f>ROUND(Impuestos!N21/(30.4/30),0)</f>
        <v>0</v>
      </c>
      <c r="AA21" s="36">
        <f t="shared" si="8"/>
        <v>0</v>
      </c>
      <c r="AB21" s="37"/>
      <c r="AC21" s="36">
        <f t="shared" si="7"/>
        <v>0</v>
      </c>
      <c r="AD21" s="37"/>
      <c r="AE21" s="38">
        <f ca="1">L21*Impuestos!BK21</f>
        <v>0</v>
      </c>
      <c r="AF21" s="38">
        <f t="shared" si="0"/>
        <v>0</v>
      </c>
      <c r="AG21" s="39">
        <f ca="1">IF(AE21=0,0,(AE21+AF21)/(L21*Impuestos!R21))</f>
        <v>0</v>
      </c>
      <c r="AH21" s="43"/>
      <c r="AI21" s="40"/>
    </row>
    <row r="22" spans="2:36" s="42" customFormat="1" ht="15" customHeight="1" x14ac:dyDescent="0.25">
      <c r="B22" s="31">
        <v>16</v>
      </c>
      <c r="C22" s="32"/>
      <c r="D22" s="32"/>
      <c r="E22" s="32"/>
      <c r="F22" s="33"/>
      <c r="G22" s="32"/>
      <c r="H22" s="32">
        <f ca="1">+Impuestos!R22</f>
        <v>0</v>
      </c>
      <c r="I22" s="34">
        <f t="shared" si="5"/>
        <v>0</v>
      </c>
      <c r="J22" s="77">
        <v>15</v>
      </c>
      <c r="K22" s="81"/>
      <c r="L22" s="77">
        <f t="shared" si="1"/>
        <v>15</v>
      </c>
      <c r="M22" s="35">
        <f t="shared" si="2"/>
        <v>0</v>
      </c>
      <c r="N22" s="35"/>
      <c r="O22" s="35"/>
      <c r="P22" s="35">
        <f t="shared" si="6"/>
        <v>0</v>
      </c>
      <c r="Q22" s="35"/>
      <c r="R22" s="35"/>
      <c r="S22" s="35"/>
      <c r="T22" s="36">
        <f>ROUND(Impuestos!O22,0)</f>
        <v>0</v>
      </c>
      <c r="U22" s="36">
        <f t="shared" si="3"/>
        <v>0</v>
      </c>
      <c r="V22" s="37"/>
      <c r="W22" s="36">
        <f t="shared" si="4"/>
        <v>0</v>
      </c>
      <c r="X22" s="36"/>
      <c r="Y22" s="36">
        <f>ROUND(Impuestos!BJ22*L22,0)</f>
        <v>0</v>
      </c>
      <c r="Z22" s="36">
        <f>ROUND(Impuestos!N22/(30.4/30),0)</f>
        <v>0</v>
      </c>
      <c r="AA22" s="36">
        <f t="shared" si="8"/>
        <v>0</v>
      </c>
      <c r="AB22" s="37"/>
      <c r="AC22" s="36">
        <f t="shared" si="7"/>
        <v>0</v>
      </c>
      <c r="AD22" s="37"/>
      <c r="AE22" s="38">
        <f ca="1">L22*Impuestos!BK22</f>
        <v>0</v>
      </c>
      <c r="AF22" s="38">
        <f t="shared" si="0"/>
        <v>0</v>
      </c>
      <c r="AG22" s="39">
        <f ca="1">IF(AE22=0,0,(AE22+AF22)/(L22*Impuestos!R22))</f>
        <v>0</v>
      </c>
      <c r="AH22" s="43"/>
      <c r="AI22" s="40"/>
    </row>
    <row r="23" spans="2:36" s="42" customFormat="1" ht="15" customHeight="1" x14ac:dyDescent="0.25">
      <c r="B23" s="31">
        <v>17</v>
      </c>
      <c r="C23" s="32"/>
      <c r="D23" s="32"/>
      <c r="E23" s="32"/>
      <c r="F23" s="33"/>
      <c r="G23" s="32"/>
      <c r="H23" s="32">
        <f ca="1">+Impuestos!R23</f>
        <v>0</v>
      </c>
      <c r="I23" s="34">
        <f t="shared" si="5"/>
        <v>0</v>
      </c>
      <c r="J23" s="77">
        <v>15</v>
      </c>
      <c r="K23" s="81"/>
      <c r="L23" s="77">
        <f t="shared" si="1"/>
        <v>15</v>
      </c>
      <c r="M23" s="35">
        <f t="shared" si="2"/>
        <v>0</v>
      </c>
      <c r="N23" s="35"/>
      <c r="O23" s="35"/>
      <c r="P23" s="35">
        <f t="shared" si="6"/>
        <v>0</v>
      </c>
      <c r="Q23" s="35"/>
      <c r="R23" s="35"/>
      <c r="S23" s="35"/>
      <c r="T23" s="36">
        <f>ROUND(Impuestos!O23,0)</f>
        <v>0</v>
      </c>
      <c r="U23" s="36">
        <f t="shared" si="3"/>
        <v>0</v>
      </c>
      <c r="V23" s="37"/>
      <c r="W23" s="36">
        <f t="shared" si="4"/>
        <v>0</v>
      </c>
      <c r="X23" s="36"/>
      <c r="Y23" s="36">
        <f>ROUND(Impuestos!BJ23*L23,0)</f>
        <v>0</v>
      </c>
      <c r="Z23" s="36">
        <f>ROUND(Impuestos!N23/(30.4/30),0)</f>
        <v>0</v>
      </c>
      <c r="AA23" s="36">
        <f t="shared" si="8"/>
        <v>0</v>
      </c>
      <c r="AB23" s="37"/>
      <c r="AC23" s="36">
        <f t="shared" si="7"/>
        <v>0</v>
      </c>
      <c r="AD23" s="37"/>
      <c r="AE23" s="38">
        <f ca="1">L23*Impuestos!BK23</f>
        <v>0</v>
      </c>
      <c r="AF23" s="38">
        <f t="shared" si="0"/>
        <v>0</v>
      </c>
      <c r="AG23" s="39">
        <f ca="1">IF(AE23=0,0,(AE23+AF23)/(L23*Impuestos!R23))</f>
        <v>0</v>
      </c>
      <c r="AH23" s="43"/>
      <c r="AI23" s="40"/>
    </row>
    <row r="24" spans="2:36" s="42" customFormat="1" ht="15" customHeight="1" x14ac:dyDescent="0.25">
      <c r="B24" s="31">
        <v>18</v>
      </c>
      <c r="C24" s="32"/>
      <c r="D24" s="32"/>
      <c r="E24" s="32"/>
      <c r="F24" s="33"/>
      <c r="G24" s="32"/>
      <c r="H24" s="32">
        <f ca="1">+Impuestos!R24</f>
        <v>0</v>
      </c>
      <c r="I24" s="34">
        <f t="shared" si="5"/>
        <v>0</v>
      </c>
      <c r="J24" s="77">
        <v>15</v>
      </c>
      <c r="K24" s="81"/>
      <c r="L24" s="77">
        <f t="shared" si="1"/>
        <v>15</v>
      </c>
      <c r="M24" s="35">
        <f t="shared" si="2"/>
        <v>0</v>
      </c>
      <c r="N24" s="35"/>
      <c r="O24" s="35"/>
      <c r="P24" s="35">
        <f t="shared" si="6"/>
        <v>0</v>
      </c>
      <c r="Q24" s="35"/>
      <c r="R24" s="35"/>
      <c r="S24" s="35"/>
      <c r="T24" s="36">
        <f>ROUND(Impuestos!O24,0)</f>
        <v>0</v>
      </c>
      <c r="U24" s="36">
        <f t="shared" si="3"/>
        <v>0</v>
      </c>
      <c r="V24" s="37"/>
      <c r="W24" s="36">
        <f t="shared" si="4"/>
        <v>0</v>
      </c>
      <c r="X24" s="36"/>
      <c r="Y24" s="36">
        <f>ROUND(Impuestos!BJ24*L24,0)</f>
        <v>0</v>
      </c>
      <c r="Z24" s="36">
        <f>ROUND(Impuestos!N24/(30.4/30),0)</f>
        <v>0</v>
      </c>
      <c r="AA24" s="36">
        <f t="shared" si="8"/>
        <v>0</v>
      </c>
      <c r="AB24" s="37"/>
      <c r="AC24" s="36">
        <f t="shared" si="7"/>
        <v>0</v>
      </c>
      <c r="AD24" s="37"/>
      <c r="AE24" s="38">
        <f ca="1">L24*Impuestos!BK24</f>
        <v>0</v>
      </c>
      <c r="AF24" s="38">
        <f t="shared" si="0"/>
        <v>0</v>
      </c>
      <c r="AG24" s="39">
        <f ca="1">IF(AE24=0,0,(AE24+AF24)/(L24*Impuestos!R24))</f>
        <v>0</v>
      </c>
      <c r="AH24" s="43"/>
      <c r="AI24" s="40"/>
    </row>
    <row r="25" spans="2:36" s="42" customFormat="1" ht="15" customHeight="1" x14ac:dyDescent="0.25">
      <c r="B25" s="31">
        <v>19</v>
      </c>
      <c r="C25" s="32"/>
      <c r="D25" s="32"/>
      <c r="E25" s="32"/>
      <c r="F25" s="33"/>
      <c r="G25" s="32"/>
      <c r="H25" s="32">
        <f ca="1">+Impuestos!R25</f>
        <v>0</v>
      </c>
      <c r="I25" s="34">
        <f t="shared" si="5"/>
        <v>0</v>
      </c>
      <c r="J25" s="77">
        <v>15</v>
      </c>
      <c r="K25" s="81"/>
      <c r="L25" s="77">
        <f t="shared" si="1"/>
        <v>15</v>
      </c>
      <c r="M25" s="35">
        <f t="shared" si="2"/>
        <v>0</v>
      </c>
      <c r="N25" s="35"/>
      <c r="O25" s="35"/>
      <c r="P25" s="35">
        <f t="shared" si="6"/>
        <v>0</v>
      </c>
      <c r="Q25" s="35"/>
      <c r="R25" s="35"/>
      <c r="S25" s="35"/>
      <c r="T25" s="36">
        <f>ROUND(Impuestos!O25,0)</f>
        <v>0</v>
      </c>
      <c r="U25" s="36">
        <f t="shared" si="3"/>
        <v>0</v>
      </c>
      <c r="V25" s="37"/>
      <c r="W25" s="36">
        <f t="shared" si="4"/>
        <v>0</v>
      </c>
      <c r="X25" s="36"/>
      <c r="Y25" s="36">
        <f>ROUND(Impuestos!BJ25*L25,0)</f>
        <v>0</v>
      </c>
      <c r="Z25" s="36">
        <f>ROUND(Impuestos!N25/(30.4/30),0)</f>
        <v>0</v>
      </c>
      <c r="AA25" s="36">
        <f t="shared" si="8"/>
        <v>0</v>
      </c>
      <c r="AB25" s="37"/>
      <c r="AC25" s="36">
        <f t="shared" si="7"/>
        <v>0</v>
      </c>
      <c r="AD25" s="37"/>
      <c r="AE25" s="38">
        <f ca="1">L25*Impuestos!BK25</f>
        <v>0</v>
      </c>
      <c r="AF25" s="38">
        <f t="shared" si="0"/>
        <v>0</v>
      </c>
      <c r="AG25" s="39">
        <f ca="1">IF(AE25=0,0,(AE25+AF25)/(L25*Impuestos!R25))</f>
        <v>0</v>
      </c>
      <c r="AH25" s="43"/>
      <c r="AI25" s="40"/>
    </row>
    <row r="26" spans="2:36" s="42" customFormat="1" ht="15" customHeight="1" x14ac:dyDescent="0.25">
      <c r="B26" s="31">
        <v>20</v>
      </c>
      <c r="C26" s="32"/>
      <c r="D26" s="32"/>
      <c r="E26" s="32"/>
      <c r="F26" s="33"/>
      <c r="G26" s="32"/>
      <c r="H26" s="32">
        <f ca="1">+Impuestos!R26</f>
        <v>0</v>
      </c>
      <c r="I26" s="34">
        <f t="shared" si="5"/>
        <v>0</v>
      </c>
      <c r="J26" s="77">
        <v>15</v>
      </c>
      <c r="K26" s="81"/>
      <c r="L26" s="77">
        <f t="shared" si="1"/>
        <v>15</v>
      </c>
      <c r="M26" s="35">
        <f t="shared" si="2"/>
        <v>0</v>
      </c>
      <c r="N26" s="35"/>
      <c r="O26" s="35"/>
      <c r="P26" s="35">
        <f t="shared" si="6"/>
        <v>0</v>
      </c>
      <c r="Q26" s="35"/>
      <c r="R26" s="35"/>
      <c r="S26" s="35"/>
      <c r="T26" s="36">
        <f>ROUND(Impuestos!O26,0)</f>
        <v>0</v>
      </c>
      <c r="U26" s="36">
        <f t="shared" si="3"/>
        <v>0</v>
      </c>
      <c r="V26" s="37"/>
      <c r="W26" s="36">
        <f t="shared" si="4"/>
        <v>0</v>
      </c>
      <c r="X26" s="36"/>
      <c r="Y26" s="36">
        <f>ROUND(Impuestos!BJ26*L26,0)</f>
        <v>0</v>
      </c>
      <c r="Z26" s="36">
        <f>ROUND(Impuestos!N26/(30.4/30),0)</f>
        <v>0</v>
      </c>
      <c r="AA26" s="36">
        <f t="shared" si="8"/>
        <v>0</v>
      </c>
      <c r="AB26" s="37"/>
      <c r="AC26" s="36">
        <f t="shared" si="7"/>
        <v>0</v>
      </c>
      <c r="AD26" s="37"/>
      <c r="AE26" s="38">
        <f ca="1">L26*Impuestos!BK26</f>
        <v>0</v>
      </c>
      <c r="AF26" s="38">
        <f t="shared" si="0"/>
        <v>0</v>
      </c>
      <c r="AG26" s="39">
        <f ca="1">IF(AE26=0,0,(AE26+AF26)/(L26*Impuestos!R26))</f>
        <v>0</v>
      </c>
      <c r="AH26" s="43"/>
      <c r="AI26" s="40"/>
    </row>
    <row r="27" spans="2:36" s="42" customFormat="1" ht="15" customHeight="1" x14ac:dyDescent="0.25">
      <c r="B27" s="31">
        <v>21</v>
      </c>
      <c r="C27" s="32"/>
      <c r="D27" s="32"/>
      <c r="E27" s="32"/>
      <c r="F27" s="33"/>
      <c r="G27" s="32"/>
      <c r="H27" s="32">
        <f ca="1">+Impuestos!R27</f>
        <v>0</v>
      </c>
      <c r="I27" s="34">
        <f t="shared" si="5"/>
        <v>0</v>
      </c>
      <c r="J27" s="77">
        <v>15</v>
      </c>
      <c r="K27" s="81"/>
      <c r="L27" s="77">
        <f t="shared" si="1"/>
        <v>15</v>
      </c>
      <c r="M27" s="35">
        <f t="shared" si="2"/>
        <v>0</v>
      </c>
      <c r="N27" s="35"/>
      <c r="O27" s="35"/>
      <c r="P27" s="35">
        <f t="shared" si="6"/>
        <v>0</v>
      </c>
      <c r="Q27" s="35"/>
      <c r="R27" s="35"/>
      <c r="S27" s="35"/>
      <c r="T27" s="36">
        <f>ROUND(Impuestos!O27,0)</f>
        <v>0</v>
      </c>
      <c r="U27" s="36">
        <f t="shared" si="3"/>
        <v>0</v>
      </c>
      <c r="V27" s="37"/>
      <c r="W27" s="36">
        <f t="shared" si="4"/>
        <v>0</v>
      </c>
      <c r="X27" s="36"/>
      <c r="Y27" s="36">
        <f>ROUND(Impuestos!BJ27*L27,0)</f>
        <v>0</v>
      </c>
      <c r="Z27" s="36">
        <f>ROUND(Impuestos!N27/(30.4/30),0)</f>
        <v>0</v>
      </c>
      <c r="AA27" s="36">
        <f t="shared" si="8"/>
        <v>0</v>
      </c>
      <c r="AB27" s="37"/>
      <c r="AC27" s="36">
        <f t="shared" si="7"/>
        <v>0</v>
      </c>
      <c r="AD27" s="37"/>
      <c r="AE27" s="38">
        <f ca="1">L27*Impuestos!BK27</f>
        <v>0</v>
      </c>
      <c r="AF27" s="38">
        <f t="shared" si="0"/>
        <v>0</v>
      </c>
      <c r="AG27" s="39">
        <f ca="1">IF(AE27=0,0,(AE27+AF27)/(L27*Impuestos!R27))</f>
        <v>0</v>
      </c>
      <c r="AH27" s="43"/>
      <c r="AI27" s="40"/>
    </row>
    <row r="28" spans="2:36" s="42" customFormat="1" ht="15" customHeight="1" x14ac:dyDescent="0.25">
      <c r="B28" s="31">
        <v>22</v>
      </c>
      <c r="C28" s="32"/>
      <c r="D28" s="32"/>
      <c r="E28" s="32"/>
      <c r="F28" s="33"/>
      <c r="G28" s="32"/>
      <c r="H28" s="32">
        <f ca="1">+Impuestos!R28</f>
        <v>0</v>
      </c>
      <c r="I28" s="34">
        <f t="shared" si="5"/>
        <v>0</v>
      </c>
      <c r="J28" s="77">
        <v>15</v>
      </c>
      <c r="K28" s="81"/>
      <c r="L28" s="77">
        <f t="shared" si="1"/>
        <v>15</v>
      </c>
      <c r="M28" s="35">
        <f t="shared" si="2"/>
        <v>0</v>
      </c>
      <c r="N28" s="35"/>
      <c r="O28" s="35"/>
      <c r="P28" s="35">
        <f t="shared" si="6"/>
        <v>0</v>
      </c>
      <c r="Q28" s="35"/>
      <c r="R28" s="35"/>
      <c r="S28" s="35"/>
      <c r="T28" s="36">
        <f>ROUND(Impuestos!O28,0)</f>
        <v>0</v>
      </c>
      <c r="U28" s="36">
        <f t="shared" si="3"/>
        <v>0</v>
      </c>
      <c r="V28" s="37"/>
      <c r="W28" s="36">
        <f t="shared" si="4"/>
        <v>0</v>
      </c>
      <c r="X28" s="36"/>
      <c r="Y28" s="36">
        <f>ROUND(Impuestos!BJ28*L28,0)</f>
        <v>0</v>
      </c>
      <c r="Z28" s="36">
        <f>ROUND(Impuestos!N28/(30.4/30),0)</f>
        <v>0</v>
      </c>
      <c r="AA28" s="36">
        <f t="shared" si="8"/>
        <v>0</v>
      </c>
      <c r="AB28" s="37"/>
      <c r="AC28" s="36">
        <f t="shared" si="7"/>
        <v>0</v>
      </c>
      <c r="AD28" s="37"/>
      <c r="AE28" s="38">
        <f ca="1">L28*Impuestos!BK28</f>
        <v>0</v>
      </c>
      <c r="AF28" s="38">
        <f t="shared" si="0"/>
        <v>0</v>
      </c>
      <c r="AG28" s="39">
        <f ca="1">IF(AE28=0,0,(AE28+AF28)/(L28*Impuestos!R28))</f>
        <v>0</v>
      </c>
      <c r="AH28" s="43"/>
      <c r="AI28" s="40"/>
      <c r="AJ28" s="43"/>
    </row>
    <row r="29" spans="2:36" s="42" customFormat="1" ht="15" customHeight="1" x14ac:dyDescent="0.25">
      <c r="B29" s="31">
        <v>23</v>
      </c>
      <c r="C29" s="32"/>
      <c r="D29" s="32"/>
      <c r="E29" s="32"/>
      <c r="F29" s="33"/>
      <c r="G29" s="32"/>
      <c r="H29" s="32">
        <f ca="1">+Impuestos!R29</f>
        <v>0</v>
      </c>
      <c r="I29" s="34">
        <f t="shared" si="5"/>
        <v>0</v>
      </c>
      <c r="J29" s="77">
        <v>15</v>
      </c>
      <c r="K29" s="81"/>
      <c r="L29" s="77">
        <f t="shared" si="1"/>
        <v>15</v>
      </c>
      <c r="M29" s="35">
        <f t="shared" si="2"/>
        <v>0</v>
      </c>
      <c r="N29" s="35"/>
      <c r="O29" s="35"/>
      <c r="P29" s="35">
        <f t="shared" si="6"/>
        <v>0</v>
      </c>
      <c r="Q29" s="35"/>
      <c r="R29" s="35"/>
      <c r="S29" s="35"/>
      <c r="T29" s="36">
        <f>ROUND(Impuestos!O29,0)</f>
        <v>0</v>
      </c>
      <c r="U29" s="36">
        <f t="shared" si="3"/>
        <v>0</v>
      </c>
      <c r="V29" s="37"/>
      <c r="W29" s="36">
        <f t="shared" si="4"/>
        <v>0</v>
      </c>
      <c r="X29" s="36"/>
      <c r="Y29" s="36">
        <f>ROUND(Impuestos!BJ29*L29,0)</f>
        <v>0</v>
      </c>
      <c r="Z29" s="36">
        <f>ROUND(Impuestos!N29/(30.4/30),0)</f>
        <v>0</v>
      </c>
      <c r="AA29" s="36">
        <f t="shared" si="8"/>
        <v>0</v>
      </c>
      <c r="AB29" s="37"/>
      <c r="AC29" s="36">
        <f t="shared" si="7"/>
        <v>0</v>
      </c>
      <c r="AD29" s="37"/>
      <c r="AE29" s="38">
        <f ca="1">L29*Impuestos!BK29</f>
        <v>0</v>
      </c>
      <c r="AF29" s="38">
        <f t="shared" si="0"/>
        <v>0</v>
      </c>
      <c r="AG29" s="39">
        <f ca="1">IF(AE29=0,0,(AE29+AF29)/(L29*Impuestos!R29))</f>
        <v>0</v>
      </c>
      <c r="AH29" s="43"/>
      <c r="AI29" s="40"/>
    </row>
    <row r="30" spans="2:36" s="42" customFormat="1" ht="15" customHeight="1" x14ac:dyDescent="0.25">
      <c r="B30" s="31">
        <v>24</v>
      </c>
      <c r="C30" s="32"/>
      <c r="D30" s="32"/>
      <c r="E30" s="32"/>
      <c r="F30" s="32"/>
      <c r="G30" s="32"/>
      <c r="H30" s="32">
        <f ca="1">+Impuestos!R30</f>
        <v>0</v>
      </c>
      <c r="I30" s="34">
        <f t="shared" si="5"/>
        <v>0</v>
      </c>
      <c r="J30" s="77">
        <v>15</v>
      </c>
      <c r="K30" s="81"/>
      <c r="L30" s="77">
        <f t="shared" si="1"/>
        <v>15</v>
      </c>
      <c r="M30" s="35">
        <f t="shared" si="2"/>
        <v>0</v>
      </c>
      <c r="N30" s="35"/>
      <c r="O30" s="35"/>
      <c r="P30" s="35">
        <f t="shared" si="6"/>
        <v>0</v>
      </c>
      <c r="Q30" s="35"/>
      <c r="R30" s="35"/>
      <c r="S30" s="35"/>
      <c r="T30" s="36">
        <f>ROUND(Impuestos!O30,0)</f>
        <v>0</v>
      </c>
      <c r="U30" s="36">
        <f t="shared" si="3"/>
        <v>0</v>
      </c>
      <c r="V30" s="37"/>
      <c r="W30" s="36">
        <f t="shared" si="4"/>
        <v>0</v>
      </c>
      <c r="X30" s="36"/>
      <c r="Y30" s="36">
        <f>ROUND(Impuestos!BJ30*L30,0)</f>
        <v>0</v>
      </c>
      <c r="Z30" s="36">
        <f>ROUND(Impuestos!N30/(30.4/30),0)</f>
        <v>0</v>
      </c>
      <c r="AA30" s="36">
        <f t="shared" si="8"/>
        <v>0</v>
      </c>
      <c r="AB30" s="37"/>
      <c r="AC30" s="36">
        <f t="shared" si="7"/>
        <v>0</v>
      </c>
      <c r="AD30" s="37"/>
      <c r="AE30" s="38">
        <f ca="1">L30*Impuestos!BK30</f>
        <v>0</v>
      </c>
      <c r="AF30" s="38">
        <f t="shared" si="0"/>
        <v>0</v>
      </c>
      <c r="AG30" s="39">
        <f ca="1">IF(AE30=0,0,(AE30+AF30)/(L30*Impuestos!R30))</f>
        <v>0</v>
      </c>
      <c r="AH30" s="43"/>
      <c r="AI30" s="40"/>
    </row>
    <row r="31" spans="2:36" s="42" customFormat="1" ht="15" customHeight="1" x14ac:dyDescent="0.25">
      <c r="B31" s="31">
        <v>25</v>
      </c>
      <c r="C31" s="32"/>
      <c r="D31" s="32"/>
      <c r="E31" s="32"/>
      <c r="F31" s="32"/>
      <c r="G31" s="32"/>
      <c r="H31" s="32">
        <f ca="1">+Impuestos!R31</f>
        <v>0</v>
      </c>
      <c r="I31" s="34">
        <f t="shared" si="5"/>
        <v>0</v>
      </c>
      <c r="J31" s="77">
        <v>15</v>
      </c>
      <c r="K31" s="81"/>
      <c r="L31" s="77">
        <f t="shared" si="1"/>
        <v>15</v>
      </c>
      <c r="M31" s="35">
        <f t="shared" si="2"/>
        <v>0</v>
      </c>
      <c r="N31" s="35"/>
      <c r="O31" s="35"/>
      <c r="P31" s="35">
        <f t="shared" si="6"/>
        <v>0</v>
      </c>
      <c r="Q31" s="35"/>
      <c r="R31" s="35"/>
      <c r="S31" s="35"/>
      <c r="T31" s="36">
        <f>ROUND(Impuestos!O31,0)</f>
        <v>0</v>
      </c>
      <c r="U31" s="36">
        <f t="shared" si="3"/>
        <v>0</v>
      </c>
      <c r="V31" s="37"/>
      <c r="W31" s="36">
        <f t="shared" si="4"/>
        <v>0</v>
      </c>
      <c r="X31" s="36"/>
      <c r="Y31" s="36">
        <f>ROUND(Impuestos!BJ31*L31,0)</f>
        <v>0</v>
      </c>
      <c r="Z31" s="36">
        <f>ROUND(Impuestos!N31/(30.4/30),0)</f>
        <v>0</v>
      </c>
      <c r="AA31" s="36">
        <f t="shared" si="8"/>
        <v>0</v>
      </c>
      <c r="AB31" s="37"/>
      <c r="AC31" s="36">
        <f t="shared" si="7"/>
        <v>0</v>
      </c>
      <c r="AD31" s="37"/>
      <c r="AE31" s="38">
        <f ca="1">L31*Impuestos!BK31</f>
        <v>0</v>
      </c>
      <c r="AF31" s="38">
        <f t="shared" si="0"/>
        <v>0</v>
      </c>
      <c r="AG31" s="39">
        <f ca="1">IF(AE31=0,0,(AE31+AF31)/(L31*Impuestos!R31))</f>
        <v>0</v>
      </c>
      <c r="AH31" s="43"/>
      <c r="AI31" s="40"/>
    </row>
    <row r="32" spans="2:36" s="42" customFormat="1" ht="15" customHeight="1" x14ac:dyDescent="0.25">
      <c r="B32" s="31">
        <v>26</v>
      </c>
      <c r="C32" s="32"/>
      <c r="D32" s="32"/>
      <c r="E32" s="32"/>
      <c r="F32" s="32"/>
      <c r="G32" s="32"/>
      <c r="H32" s="32">
        <f ca="1">+Impuestos!R32</f>
        <v>0</v>
      </c>
      <c r="I32" s="34">
        <f t="shared" si="5"/>
        <v>0</v>
      </c>
      <c r="J32" s="77">
        <v>15</v>
      </c>
      <c r="K32" s="81"/>
      <c r="L32" s="77">
        <f t="shared" si="1"/>
        <v>15</v>
      </c>
      <c r="M32" s="35">
        <f t="shared" si="2"/>
        <v>0</v>
      </c>
      <c r="N32" s="35"/>
      <c r="O32" s="35"/>
      <c r="P32" s="35">
        <f t="shared" si="6"/>
        <v>0</v>
      </c>
      <c r="Q32" s="35"/>
      <c r="R32" s="35"/>
      <c r="S32" s="35"/>
      <c r="T32" s="36">
        <f>ROUND(Impuestos!O32,0)</f>
        <v>0</v>
      </c>
      <c r="U32" s="36">
        <f t="shared" si="3"/>
        <v>0</v>
      </c>
      <c r="V32" s="37"/>
      <c r="W32" s="36">
        <f t="shared" si="4"/>
        <v>0</v>
      </c>
      <c r="X32" s="36"/>
      <c r="Y32" s="36">
        <f>ROUND(Impuestos!BJ32*L32,0)</f>
        <v>0</v>
      </c>
      <c r="Z32" s="36">
        <f>ROUND(Impuestos!N32/(30.4/30),0)</f>
        <v>0</v>
      </c>
      <c r="AA32" s="36">
        <f t="shared" si="8"/>
        <v>0</v>
      </c>
      <c r="AB32" s="37"/>
      <c r="AC32" s="36">
        <f t="shared" si="7"/>
        <v>0</v>
      </c>
      <c r="AD32" s="37"/>
      <c r="AE32" s="38">
        <f ca="1">L32*Impuestos!BK32</f>
        <v>0</v>
      </c>
      <c r="AF32" s="38">
        <f t="shared" si="0"/>
        <v>0</v>
      </c>
      <c r="AG32" s="39">
        <f ca="1">IF(AE32=0,0,(AE32+AF32)/(L32*Impuestos!R32))</f>
        <v>0</v>
      </c>
      <c r="AH32" s="43"/>
      <c r="AI32" s="40"/>
    </row>
    <row r="33" spans="2:35" s="42" customFormat="1" ht="15" customHeight="1" x14ac:dyDescent="0.25">
      <c r="B33" s="31">
        <v>27</v>
      </c>
      <c r="C33" s="32"/>
      <c r="D33" s="32"/>
      <c r="E33" s="32"/>
      <c r="F33" s="32"/>
      <c r="G33" s="32"/>
      <c r="H33" s="32">
        <f ca="1">+Impuestos!R33</f>
        <v>0</v>
      </c>
      <c r="I33" s="34">
        <f t="shared" si="5"/>
        <v>0</v>
      </c>
      <c r="J33" s="77">
        <v>15</v>
      </c>
      <c r="K33" s="81"/>
      <c r="L33" s="77">
        <f t="shared" si="1"/>
        <v>15</v>
      </c>
      <c r="M33" s="35">
        <f t="shared" si="2"/>
        <v>0</v>
      </c>
      <c r="N33" s="35"/>
      <c r="O33" s="35"/>
      <c r="P33" s="35">
        <f t="shared" si="6"/>
        <v>0</v>
      </c>
      <c r="Q33" s="35"/>
      <c r="R33" s="35"/>
      <c r="S33" s="35"/>
      <c r="T33" s="36">
        <f>ROUND(Impuestos!O33,0)</f>
        <v>0</v>
      </c>
      <c r="U33" s="36">
        <f t="shared" si="3"/>
        <v>0</v>
      </c>
      <c r="V33" s="37"/>
      <c r="W33" s="36">
        <f t="shared" si="4"/>
        <v>0</v>
      </c>
      <c r="X33" s="36"/>
      <c r="Y33" s="36">
        <f>ROUND(Impuestos!BJ33*L33,0)</f>
        <v>0</v>
      </c>
      <c r="Z33" s="36">
        <f>ROUND(Impuestos!N33/(30.4/30),0)</f>
        <v>0</v>
      </c>
      <c r="AA33" s="36">
        <f t="shared" si="8"/>
        <v>0</v>
      </c>
      <c r="AB33" s="37"/>
      <c r="AC33" s="36">
        <f t="shared" si="7"/>
        <v>0</v>
      </c>
      <c r="AD33" s="37"/>
      <c r="AE33" s="38">
        <f ca="1">L33*Impuestos!BK33</f>
        <v>0</v>
      </c>
      <c r="AF33" s="38">
        <f t="shared" si="0"/>
        <v>0</v>
      </c>
      <c r="AG33" s="39">
        <f ca="1">IF(AE33=0,0,(AE33+AF33)/(L33*Impuestos!R33))</f>
        <v>0</v>
      </c>
      <c r="AH33" s="43"/>
      <c r="AI33" s="40"/>
    </row>
    <row r="34" spans="2:35" s="42" customFormat="1" ht="15" customHeight="1" x14ac:dyDescent="0.25">
      <c r="B34" s="31">
        <v>28</v>
      </c>
      <c r="C34" s="32"/>
      <c r="D34" s="32"/>
      <c r="E34" s="32"/>
      <c r="F34" s="32"/>
      <c r="G34" s="32"/>
      <c r="H34" s="32">
        <f ca="1">+Impuestos!R34</f>
        <v>0</v>
      </c>
      <c r="I34" s="34">
        <f t="shared" si="5"/>
        <v>0</v>
      </c>
      <c r="J34" s="77">
        <v>15</v>
      </c>
      <c r="K34" s="81"/>
      <c r="L34" s="77">
        <f t="shared" si="1"/>
        <v>15</v>
      </c>
      <c r="M34" s="35">
        <f t="shared" si="2"/>
        <v>0</v>
      </c>
      <c r="N34" s="35"/>
      <c r="O34" s="35"/>
      <c r="P34" s="35">
        <f t="shared" si="6"/>
        <v>0</v>
      </c>
      <c r="Q34" s="35"/>
      <c r="R34" s="35"/>
      <c r="S34" s="35"/>
      <c r="T34" s="36">
        <f>ROUND(Impuestos!O34,0)</f>
        <v>0</v>
      </c>
      <c r="U34" s="36">
        <f t="shared" si="3"/>
        <v>0</v>
      </c>
      <c r="V34" s="37"/>
      <c r="W34" s="36">
        <f t="shared" si="4"/>
        <v>0</v>
      </c>
      <c r="X34" s="36"/>
      <c r="Y34" s="36">
        <f>ROUND(Impuestos!BJ34*L34,0)</f>
        <v>0</v>
      </c>
      <c r="Z34" s="36">
        <f>ROUND(Impuestos!N34/(30.4/30),0)</f>
        <v>0</v>
      </c>
      <c r="AA34" s="36">
        <f t="shared" si="8"/>
        <v>0</v>
      </c>
      <c r="AB34" s="37"/>
      <c r="AC34" s="36">
        <f t="shared" si="7"/>
        <v>0</v>
      </c>
      <c r="AD34" s="37"/>
      <c r="AE34" s="38">
        <f ca="1">L34*Impuestos!BK34</f>
        <v>0</v>
      </c>
      <c r="AF34" s="38">
        <f t="shared" si="0"/>
        <v>0</v>
      </c>
      <c r="AG34" s="39">
        <f ca="1">IF(AE34=0,0,(AE34+AF34)/(L34*Impuestos!R34))</f>
        <v>0</v>
      </c>
      <c r="AH34" s="43"/>
      <c r="AI34" s="40"/>
    </row>
    <row r="35" spans="2:35" s="42" customFormat="1" ht="15" customHeight="1" x14ac:dyDescent="0.25">
      <c r="B35" s="31">
        <v>29</v>
      </c>
      <c r="C35" s="32"/>
      <c r="D35" s="32"/>
      <c r="E35" s="32"/>
      <c r="F35" s="32"/>
      <c r="G35" s="32"/>
      <c r="H35" s="32">
        <f ca="1">+Impuestos!R35</f>
        <v>0</v>
      </c>
      <c r="I35" s="34">
        <f t="shared" si="5"/>
        <v>0</v>
      </c>
      <c r="J35" s="77">
        <v>15</v>
      </c>
      <c r="K35" s="81"/>
      <c r="L35" s="77">
        <f t="shared" si="1"/>
        <v>15</v>
      </c>
      <c r="M35" s="35">
        <f t="shared" si="2"/>
        <v>0</v>
      </c>
      <c r="N35" s="35"/>
      <c r="O35" s="35"/>
      <c r="P35" s="35">
        <f t="shared" si="6"/>
        <v>0</v>
      </c>
      <c r="Q35" s="35"/>
      <c r="R35" s="35"/>
      <c r="S35" s="35"/>
      <c r="T35" s="36">
        <f>ROUND(Impuestos!O35,0)</f>
        <v>0</v>
      </c>
      <c r="U35" s="36">
        <f t="shared" si="3"/>
        <v>0</v>
      </c>
      <c r="V35" s="37"/>
      <c r="W35" s="36">
        <f t="shared" si="4"/>
        <v>0</v>
      </c>
      <c r="X35" s="36"/>
      <c r="Y35" s="36">
        <f>ROUND(Impuestos!BJ35*L35,0)</f>
        <v>0</v>
      </c>
      <c r="Z35" s="36">
        <f>ROUND(Impuestos!N35/(30.4/30),0)</f>
        <v>0</v>
      </c>
      <c r="AA35" s="36">
        <f t="shared" si="8"/>
        <v>0</v>
      </c>
      <c r="AB35" s="37"/>
      <c r="AC35" s="36">
        <f t="shared" si="7"/>
        <v>0</v>
      </c>
      <c r="AD35" s="37"/>
      <c r="AE35" s="38">
        <f ca="1">L35*Impuestos!BK35</f>
        <v>0</v>
      </c>
      <c r="AF35" s="38">
        <f t="shared" si="0"/>
        <v>0</v>
      </c>
      <c r="AG35" s="39">
        <f ca="1">IF(AE35=0,0,(AE35+AF35)/(L35*Impuestos!R35))</f>
        <v>0</v>
      </c>
      <c r="AH35" s="43"/>
      <c r="AI35" s="40"/>
    </row>
    <row r="36" spans="2:35" s="42" customFormat="1" ht="15" customHeight="1" x14ac:dyDescent="0.25">
      <c r="B36" s="31">
        <v>30</v>
      </c>
      <c r="C36" s="32"/>
      <c r="D36" s="32"/>
      <c r="E36" s="32"/>
      <c r="F36" s="32"/>
      <c r="G36" s="32"/>
      <c r="H36" s="32">
        <f ca="1">+Impuestos!R36</f>
        <v>0</v>
      </c>
      <c r="I36" s="34">
        <f t="shared" si="5"/>
        <v>0</v>
      </c>
      <c r="J36" s="77">
        <v>15</v>
      </c>
      <c r="K36" s="81"/>
      <c r="L36" s="77">
        <f t="shared" si="1"/>
        <v>15</v>
      </c>
      <c r="M36" s="35">
        <f t="shared" si="2"/>
        <v>0</v>
      </c>
      <c r="N36" s="35"/>
      <c r="O36" s="35"/>
      <c r="P36" s="35">
        <f t="shared" si="6"/>
        <v>0</v>
      </c>
      <c r="Q36" s="35"/>
      <c r="R36" s="35"/>
      <c r="S36" s="35"/>
      <c r="T36" s="36">
        <f>ROUND(Impuestos!O36,0)</f>
        <v>0</v>
      </c>
      <c r="U36" s="36">
        <f t="shared" si="3"/>
        <v>0</v>
      </c>
      <c r="V36" s="37"/>
      <c r="W36" s="36">
        <f t="shared" si="4"/>
        <v>0</v>
      </c>
      <c r="X36" s="36"/>
      <c r="Y36" s="36">
        <f>ROUND(Impuestos!BJ36*L36,0)</f>
        <v>0</v>
      </c>
      <c r="Z36" s="36">
        <f>ROUND(Impuestos!N36/(30.4/30),0)</f>
        <v>0</v>
      </c>
      <c r="AA36" s="36">
        <f t="shared" si="8"/>
        <v>0</v>
      </c>
      <c r="AB36" s="37"/>
      <c r="AC36" s="36">
        <f t="shared" si="7"/>
        <v>0</v>
      </c>
      <c r="AD36" s="37"/>
      <c r="AE36" s="38">
        <f ca="1">L36*Impuestos!BK36</f>
        <v>0</v>
      </c>
      <c r="AF36" s="38">
        <f t="shared" si="0"/>
        <v>0</v>
      </c>
      <c r="AG36" s="39">
        <f ca="1">IF(AE36=0,0,(AE36+AF36)/(L36*Impuestos!R36))</f>
        <v>0</v>
      </c>
      <c r="AH36" s="43"/>
      <c r="AI36" s="40"/>
    </row>
    <row r="37" spans="2:35" s="42" customFormat="1" ht="15" customHeight="1" x14ac:dyDescent="0.25">
      <c r="B37" s="31">
        <v>31</v>
      </c>
      <c r="C37" s="32"/>
      <c r="D37" s="32"/>
      <c r="E37" s="32"/>
      <c r="F37" s="32"/>
      <c r="G37" s="32"/>
      <c r="H37" s="32">
        <f ca="1">+Impuestos!R37</f>
        <v>0</v>
      </c>
      <c r="I37" s="34">
        <f t="shared" si="5"/>
        <v>0</v>
      </c>
      <c r="J37" s="77">
        <v>15</v>
      </c>
      <c r="K37" s="81"/>
      <c r="L37" s="77">
        <f t="shared" si="1"/>
        <v>15</v>
      </c>
      <c r="M37" s="35">
        <f t="shared" si="2"/>
        <v>0</v>
      </c>
      <c r="N37" s="35"/>
      <c r="O37" s="35"/>
      <c r="P37" s="35">
        <f t="shared" si="6"/>
        <v>0</v>
      </c>
      <c r="Q37" s="35"/>
      <c r="R37" s="35"/>
      <c r="S37" s="35"/>
      <c r="T37" s="36">
        <f>ROUND(Impuestos!O37,0)</f>
        <v>0</v>
      </c>
      <c r="U37" s="36">
        <f t="shared" si="3"/>
        <v>0</v>
      </c>
      <c r="V37" s="37"/>
      <c r="W37" s="36">
        <f t="shared" si="4"/>
        <v>0</v>
      </c>
      <c r="X37" s="36"/>
      <c r="Y37" s="36">
        <f>ROUND(Impuestos!BJ37*L37,0)</f>
        <v>0</v>
      </c>
      <c r="Z37" s="36">
        <f>ROUND(Impuestos!N37/(30.4/30),0)</f>
        <v>0</v>
      </c>
      <c r="AA37" s="36">
        <f t="shared" si="8"/>
        <v>0</v>
      </c>
      <c r="AB37" s="37"/>
      <c r="AC37" s="36">
        <f t="shared" si="7"/>
        <v>0</v>
      </c>
      <c r="AD37" s="37"/>
      <c r="AE37" s="38">
        <f ca="1">L37*Impuestos!BK37</f>
        <v>0</v>
      </c>
      <c r="AF37" s="38">
        <f t="shared" si="0"/>
        <v>0</v>
      </c>
      <c r="AG37" s="39">
        <f ca="1">IF(AE37=0,0,(AE37+AF37)/(L37*Impuestos!R37))</f>
        <v>0</v>
      </c>
      <c r="AH37" s="43"/>
      <c r="AI37" s="40"/>
    </row>
    <row r="38" spans="2:35" s="42" customFormat="1" ht="15" customHeight="1" x14ac:dyDescent="0.25">
      <c r="B38" s="31">
        <v>32</v>
      </c>
      <c r="C38" s="32"/>
      <c r="D38" s="32"/>
      <c r="E38" s="32"/>
      <c r="F38" s="32"/>
      <c r="G38" s="32"/>
      <c r="H38" s="32">
        <f ca="1">+Impuestos!R38</f>
        <v>0</v>
      </c>
      <c r="I38" s="34">
        <f t="shared" si="5"/>
        <v>0</v>
      </c>
      <c r="J38" s="77">
        <v>15</v>
      </c>
      <c r="K38" s="81"/>
      <c r="L38" s="77">
        <f t="shared" si="1"/>
        <v>15</v>
      </c>
      <c r="M38" s="35">
        <f t="shared" si="2"/>
        <v>0</v>
      </c>
      <c r="N38" s="35"/>
      <c r="O38" s="35"/>
      <c r="P38" s="35">
        <f t="shared" si="6"/>
        <v>0</v>
      </c>
      <c r="Q38" s="35"/>
      <c r="R38" s="35"/>
      <c r="S38" s="35"/>
      <c r="T38" s="36">
        <f>ROUND(Impuestos!O38,0)</f>
        <v>0</v>
      </c>
      <c r="U38" s="36">
        <f t="shared" si="3"/>
        <v>0</v>
      </c>
      <c r="V38" s="37"/>
      <c r="W38" s="36">
        <f t="shared" si="4"/>
        <v>0</v>
      </c>
      <c r="X38" s="36"/>
      <c r="Y38" s="36">
        <f>ROUND(Impuestos!BJ38*L38,0)</f>
        <v>0</v>
      </c>
      <c r="Z38" s="36">
        <f>ROUND(Impuestos!N38/(30.4/30),0)</f>
        <v>0</v>
      </c>
      <c r="AA38" s="36">
        <f t="shared" si="8"/>
        <v>0</v>
      </c>
      <c r="AB38" s="37"/>
      <c r="AC38" s="36">
        <f t="shared" si="7"/>
        <v>0</v>
      </c>
      <c r="AD38" s="37"/>
      <c r="AE38" s="38">
        <f ca="1">L38*Impuestos!BK38</f>
        <v>0</v>
      </c>
      <c r="AF38" s="38">
        <f t="shared" si="0"/>
        <v>0</v>
      </c>
      <c r="AG38" s="39">
        <f ca="1">IF(AE38=0,0,(AE38+AF38)/(L38*Impuestos!R38))</f>
        <v>0</v>
      </c>
      <c r="AH38" s="43"/>
      <c r="AI38" s="40"/>
    </row>
    <row r="39" spans="2:35" s="42" customFormat="1" ht="15" customHeight="1" x14ac:dyDescent="0.25">
      <c r="B39" s="31">
        <v>33</v>
      </c>
      <c r="C39" s="32"/>
      <c r="D39" s="32"/>
      <c r="E39" s="32"/>
      <c r="F39" s="32"/>
      <c r="G39" s="32"/>
      <c r="H39" s="32">
        <f ca="1">+Impuestos!R39</f>
        <v>0</v>
      </c>
      <c r="I39" s="34">
        <f t="shared" si="5"/>
        <v>0</v>
      </c>
      <c r="J39" s="77">
        <v>15</v>
      </c>
      <c r="K39" s="81"/>
      <c r="L39" s="77">
        <f t="shared" si="1"/>
        <v>15</v>
      </c>
      <c r="M39" s="35">
        <f t="shared" si="2"/>
        <v>0</v>
      </c>
      <c r="N39" s="35"/>
      <c r="O39" s="35"/>
      <c r="P39" s="35">
        <f t="shared" si="6"/>
        <v>0</v>
      </c>
      <c r="Q39" s="35"/>
      <c r="R39" s="35"/>
      <c r="S39" s="35"/>
      <c r="T39" s="36">
        <f>ROUND(Impuestos!O39,0)</f>
        <v>0</v>
      </c>
      <c r="U39" s="36">
        <f t="shared" si="3"/>
        <v>0</v>
      </c>
      <c r="V39" s="37"/>
      <c r="W39" s="36">
        <f t="shared" si="4"/>
        <v>0</v>
      </c>
      <c r="X39" s="36"/>
      <c r="Y39" s="36">
        <f>ROUND(Impuestos!BJ39*L39,0)</f>
        <v>0</v>
      </c>
      <c r="Z39" s="36">
        <f>ROUND(Impuestos!N39/(30.4/30),0)</f>
        <v>0</v>
      </c>
      <c r="AA39" s="36">
        <f t="shared" si="8"/>
        <v>0</v>
      </c>
      <c r="AB39" s="37"/>
      <c r="AC39" s="36">
        <f t="shared" si="7"/>
        <v>0</v>
      </c>
      <c r="AD39" s="37"/>
      <c r="AE39" s="38">
        <f ca="1">L39*Impuestos!BK39</f>
        <v>0</v>
      </c>
      <c r="AF39" s="38">
        <f t="shared" si="0"/>
        <v>0</v>
      </c>
      <c r="AG39" s="39">
        <f ca="1">IF(AE39=0,0,(AE39+AF39)/(L39*Impuestos!R39))</f>
        <v>0</v>
      </c>
      <c r="AH39" s="43"/>
      <c r="AI39" s="40"/>
    </row>
    <row r="40" spans="2:35" s="42" customFormat="1" ht="15" customHeight="1" x14ac:dyDescent="0.25">
      <c r="B40" s="31">
        <v>34</v>
      </c>
      <c r="C40" s="32"/>
      <c r="D40" s="32"/>
      <c r="E40" s="32"/>
      <c r="F40" s="32"/>
      <c r="G40" s="32"/>
      <c r="H40" s="32">
        <f ca="1">+Impuestos!R40</f>
        <v>0</v>
      </c>
      <c r="I40" s="34">
        <f t="shared" si="5"/>
        <v>0</v>
      </c>
      <c r="J40" s="77">
        <v>15</v>
      </c>
      <c r="K40" s="81"/>
      <c r="L40" s="77">
        <f t="shared" si="1"/>
        <v>15</v>
      </c>
      <c r="M40" s="35">
        <f t="shared" si="2"/>
        <v>0</v>
      </c>
      <c r="N40" s="35"/>
      <c r="O40" s="35"/>
      <c r="P40" s="35">
        <f t="shared" si="6"/>
        <v>0</v>
      </c>
      <c r="Q40" s="35"/>
      <c r="R40" s="35"/>
      <c r="S40" s="35"/>
      <c r="T40" s="36">
        <f>ROUND(Impuestos!O40,0)</f>
        <v>0</v>
      </c>
      <c r="U40" s="36">
        <f t="shared" si="3"/>
        <v>0</v>
      </c>
      <c r="V40" s="37"/>
      <c r="W40" s="36">
        <f t="shared" si="4"/>
        <v>0</v>
      </c>
      <c r="X40" s="36"/>
      <c r="Y40" s="36">
        <f>ROUND(Impuestos!BJ40*L40,0)</f>
        <v>0</v>
      </c>
      <c r="Z40" s="36">
        <f>ROUND(Impuestos!N40/(30.4/30),0)</f>
        <v>0</v>
      </c>
      <c r="AA40" s="36">
        <f t="shared" si="8"/>
        <v>0</v>
      </c>
      <c r="AB40" s="37"/>
      <c r="AC40" s="36">
        <f t="shared" si="7"/>
        <v>0</v>
      </c>
      <c r="AD40" s="37"/>
      <c r="AE40" s="38">
        <f ca="1">L40*Impuestos!BK40</f>
        <v>0</v>
      </c>
      <c r="AF40" s="38">
        <f t="shared" si="0"/>
        <v>0</v>
      </c>
      <c r="AG40" s="39">
        <f ca="1">IF(AE40=0,0,(AE40+AF40)/(L40*Impuestos!R40))</f>
        <v>0</v>
      </c>
      <c r="AH40" s="43"/>
      <c r="AI40" s="40"/>
    </row>
    <row r="41" spans="2:35" s="42" customFormat="1" ht="15" customHeight="1" x14ac:dyDescent="0.25">
      <c r="B41" s="31">
        <v>35</v>
      </c>
      <c r="C41" s="32"/>
      <c r="D41" s="32"/>
      <c r="E41" s="32"/>
      <c r="F41" s="32"/>
      <c r="G41" s="32"/>
      <c r="H41" s="32">
        <f ca="1">+Impuestos!R41</f>
        <v>0</v>
      </c>
      <c r="I41" s="34">
        <f t="shared" si="5"/>
        <v>0</v>
      </c>
      <c r="J41" s="77">
        <v>15</v>
      </c>
      <c r="K41" s="81"/>
      <c r="L41" s="77">
        <f t="shared" si="1"/>
        <v>15</v>
      </c>
      <c r="M41" s="35">
        <f t="shared" si="2"/>
        <v>0</v>
      </c>
      <c r="N41" s="35"/>
      <c r="O41" s="35"/>
      <c r="P41" s="35">
        <f t="shared" si="6"/>
        <v>0</v>
      </c>
      <c r="Q41" s="35"/>
      <c r="R41" s="35"/>
      <c r="S41" s="35"/>
      <c r="T41" s="36">
        <f>ROUND(Impuestos!O41,0)</f>
        <v>0</v>
      </c>
      <c r="U41" s="36">
        <f t="shared" si="3"/>
        <v>0</v>
      </c>
      <c r="V41" s="37"/>
      <c r="W41" s="36">
        <f t="shared" si="4"/>
        <v>0</v>
      </c>
      <c r="X41" s="36"/>
      <c r="Y41" s="36">
        <f>ROUND(Impuestos!BJ41*L41,0)</f>
        <v>0</v>
      </c>
      <c r="Z41" s="36">
        <f>ROUND(Impuestos!N41/(30.4/30),0)</f>
        <v>0</v>
      </c>
      <c r="AA41" s="36">
        <f t="shared" si="8"/>
        <v>0</v>
      </c>
      <c r="AB41" s="37"/>
      <c r="AC41" s="36">
        <f t="shared" si="7"/>
        <v>0</v>
      </c>
      <c r="AD41" s="37"/>
      <c r="AE41" s="38">
        <f ca="1">L41*Impuestos!BK41</f>
        <v>0</v>
      </c>
      <c r="AF41" s="38">
        <f t="shared" si="0"/>
        <v>0</v>
      </c>
      <c r="AG41" s="39">
        <f ca="1">IF(AE41=0,0,(AE41+AF41)/(L41*Impuestos!R41))</f>
        <v>0</v>
      </c>
      <c r="AH41" s="43"/>
      <c r="AI41" s="40"/>
    </row>
    <row r="42" spans="2:35" s="42" customFormat="1" ht="15" customHeight="1" x14ac:dyDescent="0.25">
      <c r="B42" s="31">
        <v>36</v>
      </c>
      <c r="C42" s="32"/>
      <c r="D42" s="32"/>
      <c r="E42" s="32"/>
      <c r="F42" s="32"/>
      <c r="G42" s="32"/>
      <c r="H42" s="32">
        <f ca="1">+Impuestos!R42</f>
        <v>0</v>
      </c>
      <c r="I42" s="34">
        <f t="shared" si="5"/>
        <v>0</v>
      </c>
      <c r="J42" s="77">
        <v>15</v>
      </c>
      <c r="K42" s="81"/>
      <c r="L42" s="77">
        <f t="shared" si="1"/>
        <v>15</v>
      </c>
      <c r="M42" s="35">
        <f t="shared" si="2"/>
        <v>0</v>
      </c>
      <c r="N42" s="35"/>
      <c r="O42" s="35"/>
      <c r="P42" s="35">
        <f t="shared" si="6"/>
        <v>0</v>
      </c>
      <c r="Q42" s="35"/>
      <c r="R42" s="35"/>
      <c r="S42" s="35"/>
      <c r="T42" s="36">
        <f>ROUND(Impuestos!O42,0)</f>
        <v>0</v>
      </c>
      <c r="U42" s="36">
        <f t="shared" si="3"/>
        <v>0</v>
      </c>
      <c r="V42" s="37"/>
      <c r="W42" s="36">
        <f t="shared" si="4"/>
        <v>0</v>
      </c>
      <c r="X42" s="36"/>
      <c r="Y42" s="36">
        <f>ROUND(Impuestos!BJ42*L42,0)</f>
        <v>0</v>
      </c>
      <c r="Z42" s="36">
        <f>ROUND(Impuestos!N42/(30.4/30),0)</f>
        <v>0</v>
      </c>
      <c r="AA42" s="36">
        <f t="shared" si="8"/>
        <v>0</v>
      </c>
      <c r="AB42" s="37"/>
      <c r="AC42" s="36">
        <f t="shared" si="7"/>
        <v>0</v>
      </c>
      <c r="AD42" s="37"/>
      <c r="AE42" s="38">
        <f ca="1">L42*Impuestos!BK42</f>
        <v>0</v>
      </c>
      <c r="AF42" s="38">
        <f t="shared" si="0"/>
        <v>0</v>
      </c>
      <c r="AG42" s="39">
        <f ca="1">IF(AE42=0,0,(AE42+AF42)/(L42*Impuestos!R42))</f>
        <v>0</v>
      </c>
      <c r="AH42" s="43"/>
      <c r="AI42" s="40"/>
    </row>
    <row r="43" spans="2:35" s="42" customFormat="1" ht="15" customHeight="1" x14ac:dyDescent="0.25">
      <c r="B43" s="31">
        <v>37</v>
      </c>
      <c r="C43" s="32"/>
      <c r="D43" s="32"/>
      <c r="E43" s="32"/>
      <c r="F43" s="32"/>
      <c r="G43" s="32"/>
      <c r="H43" s="32">
        <f ca="1">+Impuestos!R43</f>
        <v>0</v>
      </c>
      <c r="I43" s="34">
        <f t="shared" si="5"/>
        <v>0</v>
      </c>
      <c r="J43" s="77">
        <v>15</v>
      </c>
      <c r="K43" s="81"/>
      <c r="L43" s="77">
        <f t="shared" si="1"/>
        <v>15</v>
      </c>
      <c r="M43" s="35">
        <f t="shared" si="2"/>
        <v>0</v>
      </c>
      <c r="N43" s="35"/>
      <c r="O43" s="35"/>
      <c r="P43" s="35">
        <f t="shared" si="6"/>
        <v>0</v>
      </c>
      <c r="Q43" s="35"/>
      <c r="R43" s="35"/>
      <c r="S43" s="35"/>
      <c r="T43" s="36">
        <f>ROUND(Impuestos!O43,0)</f>
        <v>0</v>
      </c>
      <c r="U43" s="36">
        <f t="shared" si="3"/>
        <v>0</v>
      </c>
      <c r="V43" s="37"/>
      <c r="W43" s="36">
        <f t="shared" si="4"/>
        <v>0</v>
      </c>
      <c r="X43" s="36"/>
      <c r="Y43" s="36">
        <f>ROUND(Impuestos!BJ43*L43,0)</f>
        <v>0</v>
      </c>
      <c r="Z43" s="36">
        <f>ROUND(Impuestos!N43/(30.4/30),0)</f>
        <v>0</v>
      </c>
      <c r="AA43" s="36">
        <f t="shared" si="8"/>
        <v>0</v>
      </c>
      <c r="AB43" s="37"/>
      <c r="AC43" s="36">
        <f t="shared" si="7"/>
        <v>0</v>
      </c>
      <c r="AD43" s="37"/>
      <c r="AE43" s="38">
        <f ca="1">L43*Impuestos!BK43</f>
        <v>0</v>
      </c>
      <c r="AF43" s="38">
        <f t="shared" si="0"/>
        <v>0</v>
      </c>
      <c r="AG43" s="39">
        <f ca="1">IF(AE43=0,0,(AE43+AF43)/(L43*Impuestos!R43))</f>
        <v>0</v>
      </c>
      <c r="AH43" s="43"/>
      <c r="AI43" s="40"/>
    </row>
    <row r="44" spans="2:35" s="42" customFormat="1" ht="15" customHeight="1" x14ac:dyDescent="0.25">
      <c r="B44" s="31">
        <v>38</v>
      </c>
      <c r="C44" s="32"/>
      <c r="D44" s="32"/>
      <c r="E44" s="32"/>
      <c r="F44" s="32"/>
      <c r="G44" s="32"/>
      <c r="H44" s="32">
        <f ca="1">+Impuestos!R44</f>
        <v>0</v>
      </c>
      <c r="I44" s="34">
        <f t="shared" si="5"/>
        <v>0</v>
      </c>
      <c r="J44" s="77">
        <v>15</v>
      </c>
      <c r="K44" s="81"/>
      <c r="L44" s="77">
        <f t="shared" si="1"/>
        <v>15</v>
      </c>
      <c r="M44" s="35">
        <f t="shared" si="2"/>
        <v>0</v>
      </c>
      <c r="N44" s="35"/>
      <c r="O44" s="35"/>
      <c r="P44" s="35">
        <f t="shared" si="6"/>
        <v>0</v>
      </c>
      <c r="Q44" s="35"/>
      <c r="R44" s="35"/>
      <c r="S44" s="35"/>
      <c r="T44" s="36">
        <f>ROUND(Impuestos!O44,0)</f>
        <v>0</v>
      </c>
      <c r="U44" s="36">
        <f t="shared" si="3"/>
        <v>0</v>
      </c>
      <c r="V44" s="37"/>
      <c r="W44" s="36">
        <f t="shared" si="4"/>
        <v>0</v>
      </c>
      <c r="X44" s="36"/>
      <c r="Y44" s="36">
        <f>ROUND(Impuestos!BJ44*L44,0)</f>
        <v>0</v>
      </c>
      <c r="Z44" s="36">
        <f>ROUND(Impuestos!N44/(30.4/30),0)</f>
        <v>0</v>
      </c>
      <c r="AA44" s="36">
        <f t="shared" si="8"/>
        <v>0</v>
      </c>
      <c r="AB44" s="37"/>
      <c r="AC44" s="36">
        <f t="shared" si="7"/>
        <v>0</v>
      </c>
      <c r="AD44" s="37"/>
      <c r="AE44" s="38">
        <f ca="1">L44*Impuestos!BK44</f>
        <v>0</v>
      </c>
      <c r="AF44" s="38">
        <f t="shared" si="0"/>
        <v>0</v>
      </c>
      <c r="AG44" s="39">
        <f ca="1">IF(AE44=0,0,(AE44+AF44)/(L44*Impuestos!R44))</f>
        <v>0</v>
      </c>
      <c r="AH44" s="43"/>
      <c r="AI44" s="40"/>
    </row>
    <row r="45" spans="2:35" s="42" customFormat="1" ht="15" customHeight="1" x14ac:dyDescent="0.25">
      <c r="B45" s="31">
        <v>39</v>
      </c>
      <c r="C45" s="32"/>
      <c r="D45" s="32"/>
      <c r="E45" s="32"/>
      <c r="F45" s="32"/>
      <c r="G45" s="32"/>
      <c r="H45" s="32">
        <f ca="1">+Impuestos!R45</f>
        <v>0</v>
      </c>
      <c r="I45" s="34">
        <f t="shared" si="5"/>
        <v>0</v>
      </c>
      <c r="J45" s="77">
        <v>15</v>
      </c>
      <c r="K45" s="81"/>
      <c r="L45" s="77">
        <f t="shared" si="1"/>
        <v>15</v>
      </c>
      <c r="M45" s="35">
        <f t="shared" si="2"/>
        <v>0</v>
      </c>
      <c r="N45" s="35"/>
      <c r="O45" s="35"/>
      <c r="P45" s="35">
        <f t="shared" si="6"/>
        <v>0</v>
      </c>
      <c r="Q45" s="35"/>
      <c r="R45" s="35"/>
      <c r="S45" s="35"/>
      <c r="T45" s="36">
        <f>ROUND(Impuestos!O45,0)</f>
        <v>0</v>
      </c>
      <c r="U45" s="36">
        <f t="shared" si="3"/>
        <v>0</v>
      </c>
      <c r="V45" s="37"/>
      <c r="W45" s="36">
        <f t="shared" si="4"/>
        <v>0</v>
      </c>
      <c r="X45" s="36"/>
      <c r="Y45" s="36">
        <f>ROUND(Impuestos!BJ45*L45,0)</f>
        <v>0</v>
      </c>
      <c r="Z45" s="36">
        <f>ROUND(Impuestos!N45/(30.4/30),0)</f>
        <v>0</v>
      </c>
      <c r="AA45" s="36">
        <f t="shared" si="8"/>
        <v>0</v>
      </c>
      <c r="AB45" s="37"/>
      <c r="AC45" s="36">
        <f t="shared" si="7"/>
        <v>0</v>
      </c>
      <c r="AD45" s="37"/>
      <c r="AE45" s="38">
        <f ca="1">L45*Impuestos!BK45</f>
        <v>0</v>
      </c>
      <c r="AF45" s="38">
        <f t="shared" si="0"/>
        <v>0</v>
      </c>
      <c r="AG45" s="39">
        <f ca="1">IF(AE45=0,0,(AE45+AF45)/(L45*Impuestos!R45))</f>
        <v>0</v>
      </c>
      <c r="AH45" s="43"/>
      <c r="AI45" s="40"/>
    </row>
    <row r="46" spans="2:35" s="42" customFormat="1" ht="15" customHeight="1" x14ac:dyDescent="0.25">
      <c r="B46" s="31">
        <v>40</v>
      </c>
      <c r="C46" s="32"/>
      <c r="D46" s="32"/>
      <c r="E46" s="32"/>
      <c r="F46" s="32"/>
      <c r="G46" s="32"/>
      <c r="H46" s="32">
        <f ca="1">+Impuestos!R46</f>
        <v>0</v>
      </c>
      <c r="I46" s="34">
        <f t="shared" si="5"/>
        <v>0</v>
      </c>
      <c r="J46" s="77">
        <v>15</v>
      </c>
      <c r="K46" s="81"/>
      <c r="L46" s="77">
        <f t="shared" si="1"/>
        <v>15</v>
      </c>
      <c r="M46" s="35">
        <f t="shared" si="2"/>
        <v>0</v>
      </c>
      <c r="N46" s="35"/>
      <c r="O46" s="35"/>
      <c r="P46" s="35">
        <f t="shared" si="6"/>
        <v>0</v>
      </c>
      <c r="Q46" s="35"/>
      <c r="R46" s="35"/>
      <c r="S46" s="35"/>
      <c r="T46" s="36">
        <f>ROUND(Impuestos!O46,0)</f>
        <v>0</v>
      </c>
      <c r="U46" s="36">
        <f t="shared" si="3"/>
        <v>0</v>
      </c>
      <c r="V46" s="37"/>
      <c r="W46" s="36">
        <f t="shared" si="4"/>
        <v>0</v>
      </c>
      <c r="X46" s="36"/>
      <c r="Y46" s="36">
        <f>ROUND(Impuestos!BJ46*L46,0)</f>
        <v>0</v>
      </c>
      <c r="Z46" s="36">
        <f>ROUND(Impuestos!N46/(30.4/30),0)</f>
        <v>0</v>
      </c>
      <c r="AA46" s="36">
        <f t="shared" si="8"/>
        <v>0</v>
      </c>
      <c r="AB46" s="37"/>
      <c r="AC46" s="36">
        <f t="shared" si="7"/>
        <v>0</v>
      </c>
      <c r="AD46" s="37"/>
      <c r="AE46" s="38">
        <f ca="1">L46*Impuestos!BK46</f>
        <v>0</v>
      </c>
      <c r="AF46" s="38">
        <f t="shared" si="0"/>
        <v>0</v>
      </c>
      <c r="AG46" s="39">
        <f ca="1">IF(AE46=0,0,(AE46+AF46)/(L46*Impuestos!R46))</f>
        <v>0</v>
      </c>
      <c r="AH46" s="43"/>
      <c r="AI46" s="40"/>
    </row>
    <row r="47" spans="2:35" s="42" customFormat="1" ht="15" customHeight="1" x14ac:dyDescent="0.25">
      <c r="B47" s="31">
        <v>41</v>
      </c>
      <c r="C47" s="32"/>
      <c r="D47" s="32"/>
      <c r="E47" s="32"/>
      <c r="F47" s="32"/>
      <c r="G47" s="32"/>
      <c r="H47" s="32">
        <f ca="1">+Impuestos!R47</f>
        <v>0</v>
      </c>
      <c r="I47" s="34">
        <f t="shared" si="5"/>
        <v>0</v>
      </c>
      <c r="J47" s="77">
        <v>15</v>
      </c>
      <c r="K47" s="81"/>
      <c r="L47" s="77">
        <f t="shared" si="1"/>
        <v>15</v>
      </c>
      <c r="M47" s="35">
        <f t="shared" si="2"/>
        <v>0</v>
      </c>
      <c r="N47" s="35"/>
      <c r="O47" s="35"/>
      <c r="P47" s="35">
        <f t="shared" si="6"/>
        <v>0</v>
      </c>
      <c r="Q47" s="35"/>
      <c r="R47" s="35"/>
      <c r="S47" s="35"/>
      <c r="T47" s="36">
        <f>ROUND(Impuestos!O47,0)</f>
        <v>0</v>
      </c>
      <c r="U47" s="36">
        <f t="shared" si="3"/>
        <v>0</v>
      </c>
      <c r="V47" s="37"/>
      <c r="W47" s="36">
        <f t="shared" si="4"/>
        <v>0</v>
      </c>
      <c r="X47" s="36"/>
      <c r="Y47" s="36">
        <f>ROUND(Impuestos!BJ47*L47,0)</f>
        <v>0</v>
      </c>
      <c r="Z47" s="36">
        <f>ROUND(Impuestos!N47/(30.4/30),0)</f>
        <v>0</v>
      </c>
      <c r="AA47" s="36">
        <f t="shared" si="8"/>
        <v>0</v>
      </c>
      <c r="AB47" s="37"/>
      <c r="AC47" s="36">
        <f t="shared" si="7"/>
        <v>0</v>
      </c>
      <c r="AD47" s="37"/>
      <c r="AE47" s="38">
        <f ca="1">L47*Impuestos!BK47</f>
        <v>0</v>
      </c>
      <c r="AF47" s="38">
        <f t="shared" si="0"/>
        <v>0</v>
      </c>
      <c r="AG47" s="39">
        <f ca="1">IF(AE47=0,0,(AE47+AF47)/(L47*Impuestos!R47))</f>
        <v>0</v>
      </c>
      <c r="AH47" s="43"/>
      <c r="AI47" s="40"/>
    </row>
    <row r="48" spans="2:35" s="42" customFormat="1" ht="15" customHeight="1" x14ac:dyDescent="0.25">
      <c r="B48" s="31">
        <v>42</v>
      </c>
      <c r="C48" s="32"/>
      <c r="D48" s="32"/>
      <c r="E48" s="32"/>
      <c r="F48" s="32"/>
      <c r="G48" s="32"/>
      <c r="H48" s="32">
        <f ca="1">+Impuestos!R48</f>
        <v>0</v>
      </c>
      <c r="I48" s="34">
        <f t="shared" si="5"/>
        <v>0</v>
      </c>
      <c r="J48" s="77">
        <v>15</v>
      </c>
      <c r="K48" s="81"/>
      <c r="L48" s="77">
        <f t="shared" si="1"/>
        <v>15</v>
      </c>
      <c r="M48" s="35">
        <f t="shared" si="2"/>
        <v>0</v>
      </c>
      <c r="N48" s="35"/>
      <c r="O48" s="35"/>
      <c r="P48" s="35">
        <f t="shared" si="6"/>
        <v>0</v>
      </c>
      <c r="Q48" s="35"/>
      <c r="R48" s="35"/>
      <c r="S48" s="35"/>
      <c r="T48" s="36">
        <f>ROUND(Impuestos!O48,0)</f>
        <v>0</v>
      </c>
      <c r="U48" s="36">
        <f t="shared" si="3"/>
        <v>0</v>
      </c>
      <c r="V48" s="37"/>
      <c r="W48" s="36">
        <f t="shared" si="4"/>
        <v>0</v>
      </c>
      <c r="X48" s="36"/>
      <c r="Y48" s="36">
        <f>ROUND(Impuestos!BJ48*L48,0)</f>
        <v>0</v>
      </c>
      <c r="Z48" s="36">
        <f>ROUND(Impuestos!N48/(30.4/30),0)</f>
        <v>0</v>
      </c>
      <c r="AA48" s="36">
        <f t="shared" si="8"/>
        <v>0</v>
      </c>
      <c r="AB48" s="37"/>
      <c r="AC48" s="36">
        <f t="shared" si="7"/>
        <v>0</v>
      </c>
      <c r="AD48" s="37"/>
      <c r="AE48" s="38">
        <f ca="1">L48*Impuestos!BK48</f>
        <v>0</v>
      </c>
      <c r="AF48" s="38">
        <f t="shared" si="0"/>
        <v>0</v>
      </c>
      <c r="AG48" s="39">
        <f ca="1">IF(AE48=0,0,(AE48+AF48)/(L48*Impuestos!R48))</f>
        <v>0</v>
      </c>
      <c r="AH48" s="43"/>
      <c r="AI48" s="40"/>
    </row>
    <row r="49" spans="2:35" s="42" customFormat="1" ht="15" customHeight="1" x14ac:dyDescent="0.25">
      <c r="B49" s="31">
        <v>43</v>
      </c>
      <c r="C49" s="32"/>
      <c r="D49" s="32"/>
      <c r="E49" s="32"/>
      <c r="F49" s="32"/>
      <c r="G49" s="32"/>
      <c r="H49" s="32">
        <f ca="1">+Impuestos!R49</f>
        <v>0</v>
      </c>
      <c r="I49" s="34">
        <f t="shared" si="5"/>
        <v>0</v>
      </c>
      <c r="J49" s="77">
        <v>15</v>
      </c>
      <c r="K49" s="81"/>
      <c r="L49" s="77">
        <f t="shared" si="1"/>
        <v>15</v>
      </c>
      <c r="M49" s="35">
        <f t="shared" si="2"/>
        <v>0</v>
      </c>
      <c r="N49" s="35"/>
      <c r="O49" s="35"/>
      <c r="P49" s="35">
        <f t="shared" si="6"/>
        <v>0</v>
      </c>
      <c r="Q49" s="35"/>
      <c r="R49" s="35"/>
      <c r="S49" s="35"/>
      <c r="T49" s="36">
        <f>ROUND(Impuestos!O49,0)</f>
        <v>0</v>
      </c>
      <c r="U49" s="36">
        <f t="shared" si="3"/>
        <v>0</v>
      </c>
      <c r="V49" s="37"/>
      <c r="W49" s="36">
        <f t="shared" si="4"/>
        <v>0</v>
      </c>
      <c r="X49" s="36"/>
      <c r="Y49" s="36">
        <f>ROUND(Impuestos!BJ49*L49,0)</f>
        <v>0</v>
      </c>
      <c r="Z49" s="36">
        <f>ROUND(Impuestos!N49/(30.4/30),0)</f>
        <v>0</v>
      </c>
      <c r="AA49" s="36">
        <f t="shared" si="8"/>
        <v>0</v>
      </c>
      <c r="AB49" s="37"/>
      <c r="AC49" s="36">
        <f t="shared" si="7"/>
        <v>0</v>
      </c>
      <c r="AD49" s="37"/>
      <c r="AE49" s="38">
        <f ca="1">L49*Impuestos!BK49</f>
        <v>0</v>
      </c>
      <c r="AF49" s="38">
        <f t="shared" si="0"/>
        <v>0</v>
      </c>
      <c r="AG49" s="39">
        <f ca="1">IF(AE49=0,0,(AE49+AF49)/(L49*Impuestos!R49))</f>
        <v>0</v>
      </c>
      <c r="AH49" s="43"/>
      <c r="AI49" s="40"/>
    </row>
    <row r="50" spans="2:35" s="42" customFormat="1" ht="15" customHeight="1" x14ac:dyDescent="0.25">
      <c r="B50" s="31">
        <v>44</v>
      </c>
      <c r="C50" s="32"/>
      <c r="D50" s="32"/>
      <c r="E50" s="32"/>
      <c r="F50" s="32"/>
      <c r="G50" s="32"/>
      <c r="H50" s="32">
        <f ca="1">+Impuestos!R50</f>
        <v>0</v>
      </c>
      <c r="I50" s="34">
        <f t="shared" si="5"/>
        <v>0</v>
      </c>
      <c r="J50" s="77">
        <v>15</v>
      </c>
      <c r="K50" s="81"/>
      <c r="L50" s="77">
        <f t="shared" si="1"/>
        <v>15</v>
      </c>
      <c r="M50" s="35">
        <f t="shared" si="2"/>
        <v>0</v>
      </c>
      <c r="N50" s="35"/>
      <c r="O50" s="35"/>
      <c r="P50" s="35">
        <f t="shared" si="6"/>
        <v>0</v>
      </c>
      <c r="Q50" s="35"/>
      <c r="R50" s="35"/>
      <c r="S50" s="35"/>
      <c r="T50" s="36">
        <f>ROUND(Impuestos!O50,0)</f>
        <v>0</v>
      </c>
      <c r="U50" s="36">
        <f t="shared" si="3"/>
        <v>0</v>
      </c>
      <c r="V50" s="37"/>
      <c r="W50" s="36">
        <f t="shared" si="4"/>
        <v>0</v>
      </c>
      <c r="X50" s="36"/>
      <c r="Y50" s="36">
        <f>ROUND(Impuestos!BJ50*L50,0)</f>
        <v>0</v>
      </c>
      <c r="Z50" s="36">
        <f>ROUND(Impuestos!N50/(30.4/30),0)</f>
        <v>0</v>
      </c>
      <c r="AA50" s="36">
        <f t="shared" si="8"/>
        <v>0</v>
      </c>
      <c r="AB50" s="37"/>
      <c r="AC50" s="36">
        <f t="shared" si="7"/>
        <v>0</v>
      </c>
      <c r="AD50" s="37"/>
      <c r="AE50" s="38">
        <f ca="1">L50*Impuestos!BK50</f>
        <v>0</v>
      </c>
      <c r="AF50" s="38">
        <f t="shared" si="0"/>
        <v>0</v>
      </c>
      <c r="AG50" s="39">
        <f ca="1">IF(AE50=0,0,(AE50+AF50)/(L50*Impuestos!R50))</f>
        <v>0</v>
      </c>
      <c r="AH50" s="43"/>
      <c r="AI50" s="40"/>
    </row>
    <row r="51" spans="2:35" s="42" customFormat="1" ht="15" customHeight="1" x14ac:dyDescent="0.25">
      <c r="B51" s="31">
        <v>45</v>
      </c>
      <c r="C51" s="32"/>
      <c r="D51" s="32"/>
      <c r="E51" s="32"/>
      <c r="F51" s="33"/>
      <c r="G51" s="32"/>
      <c r="H51" s="32">
        <f ca="1">+Impuestos!R51</f>
        <v>0</v>
      </c>
      <c r="I51" s="34">
        <f t="shared" si="5"/>
        <v>0</v>
      </c>
      <c r="J51" s="77">
        <v>15</v>
      </c>
      <c r="K51" s="81">
        <v>3</v>
      </c>
      <c r="L51" s="77">
        <f t="shared" si="1"/>
        <v>12</v>
      </c>
      <c r="M51" s="35">
        <f t="shared" si="2"/>
        <v>0</v>
      </c>
      <c r="N51" s="35"/>
      <c r="O51" s="35"/>
      <c r="P51" s="35">
        <f t="shared" si="6"/>
        <v>0</v>
      </c>
      <c r="Q51" s="35"/>
      <c r="R51" s="35"/>
      <c r="S51" s="35"/>
      <c r="T51" s="36">
        <f>ROUND(Impuestos!O51,0)</f>
        <v>0</v>
      </c>
      <c r="U51" s="36">
        <f t="shared" si="3"/>
        <v>0</v>
      </c>
      <c r="V51" s="37"/>
      <c r="W51" s="36">
        <f t="shared" si="4"/>
        <v>0</v>
      </c>
      <c r="X51" s="36"/>
      <c r="Y51" s="36">
        <f>ROUND(Impuestos!BJ51*L51,0)</f>
        <v>0</v>
      </c>
      <c r="Z51" s="36">
        <f>ROUND(Impuestos!N51/(30.4/30),0)</f>
        <v>0</v>
      </c>
      <c r="AA51" s="36">
        <f t="shared" si="8"/>
        <v>0</v>
      </c>
      <c r="AB51" s="37"/>
      <c r="AC51" s="36">
        <f t="shared" si="7"/>
        <v>0</v>
      </c>
      <c r="AD51" s="37"/>
      <c r="AE51" s="38">
        <f ca="1">L51*Impuestos!BK51</f>
        <v>0</v>
      </c>
      <c r="AF51" s="38">
        <f t="shared" si="0"/>
        <v>0</v>
      </c>
      <c r="AG51" s="39">
        <f ca="1">IF(AE51=0,0,(AE51+AF51)/(L51*Impuestos!R51))</f>
        <v>0</v>
      </c>
      <c r="AH51" s="43"/>
      <c r="AI51" s="40"/>
    </row>
    <row r="52" spans="2:35" s="42" customFormat="1" ht="12.75" x14ac:dyDescent="0.25">
      <c r="I52" s="46"/>
      <c r="J52" s="46"/>
      <c r="K52" s="46"/>
      <c r="L52" s="47"/>
      <c r="M52" s="48">
        <f>SUM(M7:M51)</f>
        <v>12682</v>
      </c>
      <c r="N52" s="48">
        <f t="shared" ref="N52:R52" si="9">SUM(N7:N51)</f>
        <v>345</v>
      </c>
      <c r="O52" s="48">
        <f t="shared" si="9"/>
        <v>700</v>
      </c>
      <c r="P52" s="48">
        <f t="shared" si="9"/>
        <v>13727</v>
      </c>
      <c r="Q52" s="48">
        <f t="shared" si="9"/>
        <v>225</v>
      </c>
      <c r="R52" s="48">
        <f t="shared" si="9"/>
        <v>350</v>
      </c>
      <c r="S52" s="48"/>
      <c r="T52" s="48">
        <f>SUM(T7:T51)</f>
        <v>711</v>
      </c>
      <c r="U52" s="48">
        <f>SUM(U7:U51)</f>
        <v>2286</v>
      </c>
      <c r="V52" s="46"/>
      <c r="W52" s="48">
        <f>SUM(W7:W51)</f>
        <v>1250</v>
      </c>
      <c r="X52" s="48"/>
      <c r="Y52" s="48">
        <f ca="1">SUM(Y7:Y51)</f>
        <v>318</v>
      </c>
      <c r="Z52" s="48">
        <f>SUM(Z7:Z51)</f>
        <v>327</v>
      </c>
      <c r="AA52" s="48">
        <f ca="1">SUM(AA7:AA51)</f>
        <v>2870</v>
      </c>
      <c r="AB52" s="46"/>
      <c r="AC52" s="48">
        <f ca="1">SUM(AC7:AC51)</f>
        <v>13143</v>
      </c>
      <c r="AD52" s="46"/>
      <c r="AE52" s="48">
        <f ca="1">SUM(AE7:AE51)</f>
        <v>3076.7200296000001</v>
      </c>
      <c r="AF52" s="48">
        <f>SUM(AF7:AF51)</f>
        <v>380.46</v>
      </c>
      <c r="AG52" s="49">
        <f ca="1">SUM(AG7:AG51)</f>
        <v>0.7808393136980194</v>
      </c>
      <c r="AI52" s="40"/>
    </row>
  </sheetData>
  <mergeCells count="6">
    <mergeCell ref="L2:M2"/>
    <mergeCell ref="I5:U5"/>
    <mergeCell ref="AC5:AC6"/>
    <mergeCell ref="W5:AA5"/>
    <mergeCell ref="L3:M3"/>
    <mergeCell ref="N3:O3"/>
  </mergeCells>
  <dataValidations disablePrompts="1" count="1">
    <dataValidation type="list" allowBlank="1" showInputMessage="1" showErrorMessage="1" sqref="AK6">
      <formula1>registros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60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69B3"/>
    <pageSetUpPr fitToPage="1"/>
  </sheetPr>
  <dimension ref="A1:F946"/>
  <sheetViews>
    <sheetView showGridLines="0" zoomScaleNormal="100" workbookViewId="0">
      <selection activeCell="H15" sqref="H15"/>
    </sheetView>
  </sheetViews>
  <sheetFormatPr baseColWidth="10" defaultColWidth="14.42578125" defaultRowHeight="15" customHeight="1" x14ac:dyDescent="0.2"/>
  <cols>
    <col min="1" max="1" width="2.28515625" style="137" customWidth="1"/>
    <col min="2" max="2" width="33.7109375" style="137" customWidth="1"/>
    <col min="3" max="3" width="35.140625" style="137" bestFit="1" customWidth="1"/>
    <col min="4" max="4" width="2.5703125" style="137" customWidth="1"/>
    <col min="5" max="5" width="32.140625" style="137" bestFit="1" customWidth="1"/>
    <col min="6" max="6" width="18.85546875" style="137" bestFit="1" customWidth="1"/>
    <col min="7" max="16384" width="14.42578125" style="137"/>
  </cols>
  <sheetData>
    <row r="1" spans="2:6" ht="9.75" customHeight="1" x14ac:dyDescent="0.2"/>
    <row r="2" spans="2:6" ht="21.75" customHeight="1" x14ac:dyDescent="0.2">
      <c r="B2" s="196" t="s">
        <v>152</v>
      </c>
      <c r="C2" s="197"/>
      <c r="D2" s="197"/>
      <c r="E2" s="197"/>
      <c r="F2" s="197"/>
    </row>
    <row r="3" spans="2:6" ht="18" customHeight="1" x14ac:dyDescent="0.2">
      <c r="B3" s="138" t="s">
        <v>155</v>
      </c>
      <c r="C3" s="191">
        <f>+Nomina!$L$1</f>
        <v>0</v>
      </c>
      <c r="D3" s="192"/>
      <c r="E3" s="192"/>
      <c r="F3" s="193"/>
    </row>
    <row r="4" spans="2:6" ht="3.75" customHeight="1" x14ac:dyDescent="0.2">
      <c r="B4" s="139"/>
      <c r="C4" s="139"/>
      <c r="D4" s="139"/>
      <c r="E4" s="139"/>
      <c r="F4" s="139"/>
    </row>
    <row r="5" spans="2:6" ht="18.75" customHeight="1" x14ac:dyDescent="0.2">
      <c r="B5" s="140" t="s">
        <v>151</v>
      </c>
      <c r="C5" s="141">
        <v>1</v>
      </c>
      <c r="D5" s="142"/>
      <c r="E5" s="143" t="s">
        <v>153</v>
      </c>
      <c r="F5" s="144">
        <f>+Nomina!$L$3</f>
        <v>45292</v>
      </c>
    </row>
    <row r="6" spans="2:6" ht="18.75" customHeight="1" x14ac:dyDescent="0.2">
      <c r="B6" s="138" t="s">
        <v>150</v>
      </c>
      <c r="C6" s="145" t="str">
        <f>LOOKUP(C5,Nomina!$B$7:$B$51,Nomina!$C$7:$C$51)&amp;(LOOKUP(C5,Nomina!$B$7:$B$51,Nomina!$D$7:$D$51))</f>
        <v>Luis Manuel Paterno y Materno</v>
      </c>
      <c r="D6" s="142"/>
      <c r="E6" s="143" t="s">
        <v>154</v>
      </c>
      <c r="F6" s="144">
        <f>+Nomina!$N$3</f>
        <v>45306</v>
      </c>
    </row>
    <row r="7" spans="2:6" ht="18.75" customHeight="1" x14ac:dyDescent="0.2">
      <c r="B7" s="138" t="s">
        <v>143</v>
      </c>
      <c r="C7" s="146" t="str">
        <f>LOOKUP(C5,Nomina!$B$7:$B$51,Nomina!$E$7:$E$51)</f>
        <v>Administracion</v>
      </c>
      <c r="D7" s="142"/>
      <c r="E7" s="143" t="s">
        <v>149</v>
      </c>
      <c r="F7" s="147">
        <f>LOOKUP(C5,Nomina!$B$7:$B$51,Nomina!$I$7:$I$51)</f>
        <v>278.8</v>
      </c>
    </row>
    <row r="8" spans="2:6" ht="6" customHeight="1" x14ac:dyDescent="0.2">
      <c r="C8" s="148"/>
      <c r="D8" s="142"/>
      <c r="E8" s="148"/>
      <c r="F8" s="148"/>
    </row>
    <row r="9" spans="2:6" ht="18.75" customHeight="1" x14ac:dyDescent="0.2">
      <c r="B9" s="194" t="s">
        <v>84</v>
      </c>
      <c r="C9" s="194"/>
      <c r="D9" s="142"/>
      <c r="E9" s="195" t="s">
        <v>85</v>
      </c>
      <c r="F9" s="195"/>
    </row>
    <row r="10" spans="2:6" ht="5.25" customHeight="1" x14ac:dyDescent="0.2"/>
    <row r="11" spans="2:6" ht="18.75" customHeight="1" x14ac:dyDescent="0.2">
      <c r="B11" s="149" t="str">
        <f>+Nomina!$L$6</f>
        <v>Dias a Pagar</v>
      </c>
      <c r="C11" s="150">
        <f>LOOKUP($C5,Nomina!$B$7:$B$51,Nomina!$L$7:$L$51)</f>
        <v>15</v>
      </c>
      <c r="D11" s="142"/>
      <c r="E11" s="151" t="s">
        <v>13</v>
      </c>
      <c r="F11" s="152">
        <f>LOOKUP(C5,Nomina!$B$7:$B$51,Nomina!$X$7:$X$51)</f>
        <v>975</v>
      </c>
    </row>
    <row r="12" spans="2:6" ht="18.75" customHeight="1" x14ac:dyDescent="0.2">
      <c r="B12" s="149" t="str">
        <f>+Nomina!$M$6</f>
        <v>Sueldo</v>
      </c>
      <c r="C12" s="152">
        <f>LOOKUP(C5,Nomina!$B$7:$B$51,Nomina!$M$7:$M$51)</f>
        <v>4182</v>
      </c>
      <c r="D12" s="142"/>
      <c r="E12" s="151" t="s">
        <v>3</v>
      </c>
      <c r="F12" s="152">
        <f ca="1">LOOKUP(C5,Nomina!$B$7:$B$51,Nomina!$Y$7:$Y$51)</f>
        <v>104</v>
      </c>
    </row>
    <row r="13" spans="2:6" ht="18.75" customHeight="1" x14ac:dyDescent="0.2">
      <c r="B13" s="149" t="str">
        <f>+Nomina!$N$6</f>
        <v>Horas Extras</v>
      </c>
      <c r="C13" s="152">
        <f>LOOKUP(C5,Nomina!$B$7:$B$51,Nomina!$N$7:$N$51)</f>
        <v>0</v>
      </c>
      <c r="D13" s="142"/>
      <c r="E13" s="151" t="s">
        <v>71</v>
      </c>
      <c r="F13" s="152">
        <f>LOOKUP(C5,Nomina!$B$7:$B$51,Nomina!$Z$7:$Z$51)</f>
        <v>66</v>
      </c>
    </row>
    <row r="14" spans="2:6" ht="18.75" customHeight="1" x14ac:dyDescent="0.2">
      <c r="B14" s="149" t="str">
        <f>+Nomina!$O$6</f>
        <v>Comisiones</v>
      </c>
      <c r="C14" s="152">
        <f>LOOKUP(C5,Nomina!$B$7:$B$51,Nomina!$O$7:$O$51)</f>
        <v>0</v>
      </c>
      <c r="D14" s="142"/>
      <c r="E14" s="149" t="str">
        <f>CONCATENATE(Nomina!$K$6," - ",Nomina!$K7)</f>
        <v xml:space="preserve">Faltas - </v>
      </c>
      <c r="F14" s="152">
        <f>LOOKUP(C5,Nomina!$B$7:$B$51,Nomina!$W$7:$W$51)</f>
        <v>0</v>
      </c>
    </row>
    <row r="15" spans="2:6" ht="18.75" customHeight="1" x14ac:dyDescent="0.2">
      <c r="B15" s="149" t="str">
        <f>+Nomina!$T$6</f>
        <v>Subsidio</v>
      </c>
      <c r="C15" s="152">
        <f>LOOKUP(C5,Nomina!$B$7:$B$51,Nomina!$T$7:$T$51)</f>
        <v>237</v>
      </c>
      <c r="D15" s="142"/>
      <c r="E15" s="149"/>
      <c r="F15" s="153"/>
    </row>
    <row r="16" spans="2:6" ht="18.75" customHeight="1" x14ac:dyDescent="0.2">
      <c r="B16" s="149" t="str">
        <f>+Nomina!$Q$6</f>
        <v xml:space="preserve">Bono x Asistencia </v>
      </c>
      <c r="C16" s="152">
        <f>LOOKUP(C5,Nomina!$B$7:$B$51,Nomina!$Q$7:$Q$51)</f>
        <v>125</v>
      </c>
      <c r="D16" s="142"/>
      <c r="E16" s="149"/>
      <c r="F16" s="153"/>
    </row>
    <row r="17" spans="1:6" ht="18.75" customHeight="1" x14ac:dyDescent="0.2">
      <c r="B17" s="149" t="str">
        <f>+Nomina!$R$6</f>
        <v>Bono x Puntualidad</v>
      </c>
      <c r="C17" s="152">
        <f>LOOKUP(C5,Nomina!$B$7:$B$51,Nomina!$R$7:$R$51)</f>
        <v>150</v>
      </c>
      <c r="D17" s="142"/>
      <c r="E17" s="149"/>
      <c r="F17" s="153"/>
    </row>
    <row r="18" spans="1:6" ht="6" customHeight="1" x14ac:dyDescent="0.2">
      <c r="A18" s="148"/>
      <c r="B18" s="148"/>
      <c r="C18" s="148"/>
      <c r="D18" s="148"/>
      <c r="E18" s="148"/>
      <c r="F18" s="154"/>
    </row>
    <row r="19" spans="1:6" ht="18.75" customHeight="1" thickBot="1" x14ac:dyDescent="0.25">
      <c r="B19" s="155" t="s">
        <v>33</v>
      </c>
      <c r="C19" s="156">
        <f>(LOOKUP(C5,Nomina!$B$7:$B$51,Nomina!$P$7:$P$51)+LOOKUP(C5,Nomina!$B$7:$B$51,Nomina!$U$7:$U$51))</f>
        <v>4944</v>
      </c>
      <c r="D19" s="142"/>
      <c r="E19" s="138" t="s">
        <v>72</v>
      </c>
      <c r="F19" s="152">
        <f ca="1">LOOKUP(C5,Nomina!$B$7:$B$51,Nomina!$AA$7:$AA$51)</f>
        <v>1145</v>
      </c>
    </row>
    <row r="20" spans="1:6" ht="18.75" customHeight="1" thickBot="1" x14ac:dyDescent="0.25">
      <c r="B20" s="157" t="s">
        <v>90</v>
      </c>
      <c r="C20" s="158">
        <f ca="1">+C19-F19</f>
        <v>3799</v>
      </c>
      <c r="D20" s="142"/>
      <c r="E20" s="159"/>
      <c r="F20" s="159"/>
    </row>
    <row r="21" spans="1:6" ht="16.5" customHeight="1" thickBot="1" x14ac:dyDescent="0.25">
      <c r="B21" s="160"/>
      <c r="C21" s="161"/>
      <c r="D21" s="162"/>
      <c r="E21" s="163"/>
      <c r="F21" s="163"/>
    </row>
    <row r="22" spans="1:6" ht="16.5" customHeight="1" x14ac:dyDescent="0.2">
      <c r="B22" s="164"/>
      <c r="C22" s="164"/>
      <c r="D22" s="142"/>
      <c r="E22" s="164"/>
      <c r="F22" s="159"/>
    </row>
    <row r="23" spans="1:6" ht="21.75" customHeight="1" x14ac:dyDescent="0.2">
      <c r="B23" s="196" t="s">
        <v>152</v>
      </c>
      <c r="C23" s="197"/>
      <c r="D23" s="197"/>
      <c r="E23" s="197"/>
      <c r="F23" s="197"/>
    </row>
    <row r="24" spans="1:6" ht="18" customHeight="1" x14ac:dyDescent="0.2">
      <c r="B24" s="138" t="s">
        <v>155</v>
      </c>
      <c r="C24" s="191">
        <f>+Nomina!$L$1</f>
        <v>0</v>
      </c>
      <c r="D24" s="192"/>
      <c r="E24" s="192"/>
      <c r="F24" s="193"/>
    </row>
    <row r="25" spans="1:6" ht="3.75" customHeight="1" x14ac:dyDescent="0.2">
      <c r="B25" s="139"/>
      <c r="C25" s="139"/>
      <c r="D25" s="139"/>
      <c r="E25" s="139"/>
      <c r="F25" s="139"/>
    </row>
    <row r="26" spans="1:6" ht="18.75" customHeight="1" x14ac:dyDescent="0.2">
      <c r="B26" s="140" t="s">
        <v>151</v>
      </c>
      <c r="C26" s="141">
        <v>2</v>
      </c>
      <c r="D26" s="142"/>
      <c r="E26" s="143" t="s">
        <v>153</v>
      </c>
      <c r="F26" s="144">
        <f>+Nomina!$L$3</f>
        <v>45292</v>
      </c>
    </row>
    <row r="27" spans="1:6" ht="18.75" customHeight="1" x14ac:dyDescent="0.2">
      <c r="B27" s="138" t="s">
        <v>150</v>
      </c>
      <c r="C27" s="145" t="str">
        <f>LOOKUP(C26,Nomina!$B$7:$B$51,Nomina!$C$7:$C$51)&amp;(LOOKUP(C26,Nomina!$B$7:$B$51,Nomina!$D$7:$D$51))</f>
        <v>Jorge Paterno y Materno</v>
      </c>
      <c r="D27" s="142"/>
      <c r="E27" s="143" t="s">
        <v>154</v>
      </c>
      <c r="F27" s="144">
        <f>+Nomina!$N$3</f>
        <v>45306</v>
      </c>
    </row>
    <row r="28" spans="1:6" ht="18.75" customHeight="1" x14ac:dyDescent="0.2">
      <c r="B28" s="138" t="s">
        <v>143</v>
      </c>
      <c r="C28" s="146" t="str">
        <f>LOOKUP(C26,Nomina!$B$7:$B$51,Nomina!$E$7:$E$51)</f>
        <v>Auxiliar de Almacen</v>
      </c>
      <c r="D28" s="142"/>
      <c r="E28" s="143" t="s">
        <v>149</v>
      </c>
      <c r="F28" s="147">
        <f>LOOKUP(C26,Nomina!$B$7:$B$51,Nomina!$I$7:$I$51)</f>
        <v>300</v>
      </c>
    </row>
    <row r="29" spans="1:6" ht="6" customHeight="1" x14ac:dyDescent="0.2">
      <c r="C29" s="148"/>
      <c r="D29" s="142"/>
      <c r="E29" s="148"/>
      <c r="F29" s="148"/>
    </row>
    <row r="30" spans="1:6" ht="18.75" customHeight="1" x14ac:dyDescent="0.2">
      <c r="B30" s="194" t="s">
        <v>84</v>
      </c>
      <c r="C30" s="194"/>
      <c r="D30" s="142"/>
      <c r="E30" s="195" t="s">
        <v>85</v>
      </c>
      <c r="F30" s="195"/>
    </row>
    <row r="31" spans="1:6" ht="5.25" customHeight="1" x14ac:dyDescent="0.2"/>
    <row r="32" spans="1:6" ht="18.75" customHeight="1" x14ac:dyDescent="0.2">
      <c r="B32" s="149" t="str">
        <f>+Nomina!$L$6</f>
        <v>Dias a Pagar</v>
      </c>
      <c r="C32" s="150">
        <f>LOOKUP($C26,Nomina!$B$7:$B$51,Nomina!$L$7:$L$51)</f>
        <v>12</v>
      </c>
      <c r="D32" s="142"/>
      <c r="E32" s="151" t="s">
        <v>13</v>
      </c>
      <c r="F32" s="152">
        <f>LOOKUP(C26,Nomina!$B$7:$B$51,Nomina!$X$7:$X$51)</f>
        <v>0</v>
      </c>
    </row>
    <row r="33" spans="1:6" ht="18.75" customHeight="1" x14ac:dyDescent="0.2">
      <c r="B33" s="149" t="str">
        <f>+Nomina!$M$6</f>
        <v>Sueldo</v>
      </c>
      <c r="C33" s="152">
        <f>LOOKUP(C26,Nomina!$B$7:$B$51,Nomina!$M$7:$M$51)</f>
        <v>3600</v>
      </c>
      <c r="D33" s="142"/>
      <c r="E33" s="151" t="s">
        <v>3</v>
      </c>
      <c r="F33" s="152">
        <f ca="1">LOOKUP(C26,Nomina!$B$7:$B$51,Nomina!$Y$7:$Y$51)</f>
        <v>90</v>
      </c>
    </row>
    <row r="34" spans="1:6" ht="18.75" customHeight="1" x14ac:dyDescent="0.2">
      <c r="B34" s="149" t="str">
        <f>+Nomina!$N$6</f>
        <v>Horas Extras</v>
      </c>
      <c r="C34" s="152">
        <f>LOOKUP(C26,Nomina!$B$7:$B$51,Nomina!$N$7:$N$51)</f>
        <v>345</v>
      </c>
      <c r="D34" s="142"/>
      <c r="E34" s="151" t="s">
        <v>71</v>
      </c>
      <c r="F34" s="152">
        <f>LOOKUP(C26,Nomina!$B$7:$B$51,Nomina!$Z$7:$Z$51)</f>
        <v>117</v>
      </c>
    </row>
    <row r="35" spans="1:6" ht="18.75" customHeight="1" x14ac:dyDescent="0.2">
      <c r="B35" s="149" t="str">
        <f>+Nomina!$O$6</f>
        <v>Comisiones</v>
      </c>
      <c r="C35" s="152">
        <f>LOOKUP(C26,Nomina!$B$7:$B$51,Nomina!$O$7:$O$51)</f>
        <v>700</v>
      </c>
      <c r="D35" s="142"/>
      <c r="E35" s="149" t="str">
        <f>CONCATENATE(Nomina!$K$6," - ",Nomina!$K8)</f>
        <v>Faltas - 3</v>
      </c>
      <c r="F35" s="152">
        <f>LOOKUP(C26,Nomina!$B$7:$B$51,Nomina!$W$7:$W$51)</f>
        <v>900</v>
      </c>
    </row>
    <row r="36" spans="1:6" ht="18.75" customHeight="1" x14ac:dyDescent="0.2">
      <c r="B36" s="149" t="str">
        <f>+Nomina!$T$6</f>
        <v>Subsidio</v>
      </c>
      <c r="C36" s="152">
        <f>LOOKUP(C26,Nomina!$B$7:$B$51,Nomina!$T$7:$T$51)</f>
        <v>237</v>
      </c>
      <c r="D36" s="142"/>
      <c r="E36" s="149"/>
      <c r="F36" s="153"/>
    </row>
    <row r="37" spans="1:6" ht="18.75" customHeight="1" x14ac:dyDescent="0.2">
      <c r="B37" s="149" t="str">
        <f>+Nomina!$Q$6</f>
        <v xml:space="preserve">Bono x Asistencia </v>
      </c>
      <c r="C37" s="152">
        <f>LOOKUP(C26,Nomina!$B$7:$B$51,Nomina!$Q$7:$Q$51)</f>
        <v>100</v>
      </c>
      <c r="D37" s="142"/>
      <c r="E37" s="149"/>
      <c r="F37" s="153"/>
    </row>
    <row r="38" spans="1:6" ht="18.75" customHeight="1" x14ac:dyDescent="0.2">
      <c r="B38" s="149" t="str">
        <f>+Nomina!$R$6</f>
        <v>Bono x Puntualidad</v>
      </c>
      <c r="C38" s="152">
        <f>LOOKUP(C26,Nomina!$B$7:$B$51,Nomina!$R$7:$R$51)</f>
        <v>200</v>
      </c>
      <c r="D38" s="142"/>
      <c r="E38" s="149"/>
      <c r="F38" s="153"/>
    </row>
    <row r="39" spans="1:6" ht="6" customHeight="1" x14ac:dyDescent="0.2">
      <c r="A39" s="148"/>
      <c r="B39" s="148"/>
      <c r="C39" s="148"/>
      <c r="D39" s="148"/>
      <c r="E39" s="148"/>
      <c r="F39" s="154"/>
    </row>
    <row r="40" spans="1:6" ht="18.75" customHeight="1" thickBot="1" x14ac:dyDescent="0.25">
      <c r="B40" s="155" t="s">
        <v>33</v>
      </c>
      <c r="C40" s="156">
        <f>(LOOKUP(C26,Nomina!$B$7:$B$51,Nomina!$P$7:$P$51)+LOOKUP(C26,Nomina!$B$7:$B$51,Nomina!$U$7:$U$51))</f>
        <v>5432</v>
      </c>
      <c r="D40" s="142"/>
      <c r="E40" s="138" t="s">
        <v>72</v>
      </c>
      <c r="F40" s="152">
        <f ca="1">LOOKUP(C26,Nomina!$B$7:$B$51,Nomina!$AA$7:$AA$51)</f>
        <v>1107</v>
      </c>
    </row>
    <row r="41" spans="1:6" ht="18.75" customHeight="1" thickBot="1" x14ac:dyDescent="0.25">
      <c r="B41" s="157" t="s">
        <v>90</v>
      </c>
      <c r="C41" s="158">
        <f ca="1">+C40-F40</f>
        <v>4325</v>
      </c>
      <c r="D41" s="142"/>
      <c r="E41" s="159"/>
      <c r="F41" s="159"/>
    </row>
    <row r="42" spans="1:6" ht="16.5" customHeight="1" thickBot="1" x14ac:dyDescent="0.25">
      <c r="B42" s="160"/>
      <c r="C42" s="161"/>
      <c r="D42" s="162"/>
      <c r="E42" s="163"/>
      <c r="F42" s="163"/>
    </row>
    <row r="43" spans="1:6" ht="16.5" customHeight="1" x14ac:dyDescent="0.2">
      <c r="B43" s="164"/>
      <c r="C43" s="164"/>
      <c r="D43" s="142"/>
      <c r="E43" s="164"/>
      <c r="F43" s="159"/>
    </row>
    <row r="44" spans="1:6" ht="21.75" customHeight="1" x14ac:dyDescent="0.2">
      <c r="B44" s="196" t="s">
        <v>152</v>
      </c>
      <c r="C44" s="197"/>
      <c r="D44" s="197"/>
      <c r="E44" s="197"/>
      <c r="F44" s="197"/>
    </row>
    <row r="45" spans="1:6" ht="18" customHeight="1" x14ac:dyDescent="0.2">
      <c r="B45" s="138" t="s">
        <v>155</v>
      </c>
      <c r="C45" s="191">
        <f>+Nomina!$L$1</f>
        <v>0</v>
      </c>
      <c r="D45" s="192"/>
      <c r="E45" s="192"/>
      <c r="F45" s="193"/>
    </row>
    <row r="46" spans="1:6" ht="3.75" customHeight="1" x14ac:dyDescent="0.2">
      <c r="B46" s="139"/>
      <c r="C46" s="139"/>
      <c r="D46" s="139"/>
      <c r="E46" s="139"/>
      <c r="F46" s="139"/>
    </row>
    <row r="47" spans="1:6" ht="18.75" customHeight="1" x14ac:dyDescent="0.2">
      <c r="B47" s="140" t="s">
        <v>151</v>
      </c>
      <c r="C47" s="141">
        <v>3</v>
      </c>
      <c r="D47" s="142"/>
      <c r="E47" s="143" t="s">
        <v>153</v>
      </c>
      <c r="F47" s="144">
        <f>+Nomina!$L$3</f>
        <v>45292</v>
      </c>
    </row>
    <row r="48" spans="1:6" ht="18.75" customHeight="1" x14ac:dyDescent="0.2">
      <c r="B48" s="138" t="s">
        <v>150</v>
      </c>
      <c r="C48" s="145" t="str">
        <f>LOOKUP(C47,Nomina!$B$7:$B$51,Nomina!$C$7:$C$51)&amp;(LOOKUP(C47,Nomina!$B$7:$B$51,Nomina!$D$7:$D$51))</f>
        <v>Guadalupe Paterno y Materno</v>
      </c>
      <c r="D48" s="142"/>
      <c r="E48" s="143" t="s">
        <v>154</v>
      </c>
      <c r="F48" s="144">
        <f>+Nomina!$N$3</f>
        <v>45306</v>
      </c>
    </row>
    <row r="49" spans="1:6" ht="18.75" customHeight="1" x14ac:dyDescent="0.2">
      <c r="B49" s="138" t="s">
        <v>143</v>
      </c>
      <c r="C49" s="146" t="str">
        <f>LOOKUP(C47,Nomina!$B$7:$B$51,Nomina!$E$7:$E$51)</f>
        <v>Recepcionista</v>
      </c>
      <c r="D49" s="142"/>
      <c r="E49" s="143" t="s">
        <v>149</v>
      </c>
      <c r="F49" s="147">
        <f>LOOKUP(C47,Nomina!$B$7:$B$51,Nomina!$I$7:$I$51)</f>
        <v>350</v>
      </c>
    </row>
    <row r="50" spans="1:6" ht="6" customHeight="1" x14ac:dyDescent="0.2">
      <c r="C50" s="148"/>
      <c r="D50" s="142"/>
      <c r="E50" s="148"/>
      <c r="F50" s="148"/>
    </row>
    <row r="51" spans="1:6" ht="18.75" customHeight="1" x14ac:dyDescent="0.2">
      <c r="B51" s="194" t="s">
        <v>84</v>
      </c>
      <c r="C51" s="194"/>
      <c r="D51" s="142"/>
      <c r="E51" s="195" t="s">
        <v>85</v>
      </c>
      <c r="F51" s="195"/>
    </row>
    <row r="52" spans="1:6" ht="5.25" customHeight="1" x14ac:dyDescent="0.2"/>
    <row r="53" spans="1:6" ht="18.75" customHeight="1" x14ac:dyDescent="0.2">
      <c r="B53" s="149" t="str">
        <f>+Nomina!$L$6</f>
        <v>Dias a Pagar</v>
      </c>
      <c r="C53" s="150">
        <f>LOOKUP($C47,Nomina!$B$7:$B$51,Nomina!$L$7:$L$51)</f>
        <v>14</v>
      </c>
      <c r="D53" s="142"/>
      <c r="E53" s="151" t="s">
        <v>13</v>
      </c>
      <c r="F53" s="152">
        <f>LOOKUP(C47,Nomina!$B$7:$B$51,Nomina!$X$7:$X$51)</f>
        <v>0</v>
      </c>
    </row>
    <row r="54" spans="1:6" ht="18.75" customHeight="1" x14ac:dyDescent="0.2">
      <c r="B54" s="149" t="str">
        <f>+Nomina!$M$6</f>
        <v>Sueldo</v>
      </c>
      <c r="C54" s="152">
        <f>LOOKUP(C47,Nomina!$B$7:$B$51,Nomina!$M$7:$M$51)</f>
        <v>4900</v>
      </c>
      <c r="D54" s="142"/>
      <c r="E54" s="151" t="s">
        <v>3</v>
      </c>
      <c r="F54" s="152">
        <f ca="1">LOOKUP(C47,Nomina!$B$7:$B$51,Nomina!$Y$7:$Y$51)</f>
        <v>124</v>
      </c>
    </row>
    <row r="55" spans="1:6" ht="18.75" customHeight="1" x14ac:dyDescent="0.2">
      <c r="B55" s="149" t="str">
        <f>+Nomina!$N$6</f>
        <v>Horas Extras</v>
      </c>
      <c r="C55" s="152">
        <f>LOOKUP(C47,Nomina!$B$7:$B$51,Nomina!$N$7:$N$51)</f>
        <v>0</v>
      </c>
      <c r="D55" s="142"/>
      <c r="E55" s="151" t="s">
        <v>71</v>
      </c>
      <c r="F55" s="152">
        <f>LOOKUP(C47,Nomina!$B$7:$B$51,Nomina!$Z$7:$Z$51)</f>
        <v>144</v>
      </c>
    </row>
    <row r="56" spans="1:6" ht="18.75" customHeight="1" x14ac:dyDescent="0.2">
      <c r="B56" s="149" t="str">
        <f>+Nomina!$O$6</f>
        <v>Comisiones</v>
      </c>
      <c r="C56" s="152">
        <f>LOOKUP(C47,Nomina!$B$7:$B$51,Nomina!$O$7:$O$51)</f>
        <v>0</v>
      </c>
      <c r="D56" s="142"/>
      <c r="E56" s="149" t="str">
        <f>CONCATENATE(Nomina!$K$6," - ",Nomina!$K9)</f>
        <v>Faltas - 1</v>
      </c>
      <c r="F56" s="152">
        <f>LOOKUP(C47,Nomina!$B$7:$B$51,Nomina!$W$7:$W$51)</f>
        <v>350</v>
      </c>
    </row>
    <row r="57" spans="1:6" ht="18.75" customHeight="1" x14ac:dyDescent="0.2">
      <c r="B57" s="149" t="str">
        <f>+Nomina!$T$6</f>
        <v>Subsidio</v>
      </c>
      <c r="C57" s="152">
        <f>LOOKUP(C47,Nomina!$B$7:$B$51,Nomina!$T$7:$T$51)</f>
        <v>237</v>
      </c>
      <c r="D57" s="142"/>
      <c r="E57" s="149"/>
      <c r="F57" s="153"/>
    </row>
    <row r="58" spans="1:6" ht="18.75" customHeight="1" x14ac:dyDescent="0.2">
      <c r="B58" s="149" t="str">
        <f>+Nomina!$Q$6</f>
        <v xml:space="preserve">Bono x Asistencia </v>
      </c>
      <c r="C58" s="152">
        <f>LOOKUP(C47,Nomina!$B$7:$B$51,Nomina!$Q$7:$Q$51)</f>
        <v>0</v>
      </c>
      <c r="D58" s="142"/>
      <c r="E58" s="149"/>
      <c r="F58" s="153"/>
    </row>
    <row r="59" spans="1:6" ht="18.75" customHeight="1" x14ac:dyDescent="0.2">
      <c r="B59" s="149" t="str">
        <f>+Nomina!$R$6</f>
        <v>Bono x Puntualidad</v>
      </c>
      <c r="C59" s="152">
        <f>LOOKUP(C47,Nomina!$B$7:$B$51,Nomina!$R$7:$R$51)</f>
        <v>0</v>
      </c>
      <c r="D59" s="142"/>
      <c r="E59" s="149"/>
      <c r="F59" s="153"/>
    </row>
    <row r="60" spans="1:6" ht="6" customHeight="1" x14ac:dyDescent="0.2">
      <c r="A60" s="148"/>
      <c r="B60" s="148"/>
      <c r="C60" s="148"/>
      <c r="D60" s="148"/>
      <c r="E60" s="148"/>
      <c r="F60" s="154"/>
    </row>
    <row r="61" spans="1:6" ht="18.75" customHeight="1" thickBot="1" x14ac:dyDescent="0.25">
      <c r="B61" s="155" t="s">
        <v>33</v>
      </c>
      <c r="C61" s="156">
        <f>(LOOKUP(C47,Nomina!$B$7:$B$51,Nomina!$P$7:$P$51)+LOOKUP(C47,Nomina!$B$7:$B$51,Nomina!$U$7:$U$51))</f>
        <v>5637</v>
      </c>
      <c r="D61" s="142"/>
      <c r="E61" s="138" t="s">
        <v>72</v>
      </c>
      <c r="F61" s="152">
        <f ca="1">LOOKUP(C47,Nomina!$B$7:$B$51,Nomina!$AA$7:$AA$51)</f>
        <v>618</v>
      </c>
    </row>
    <row r="62" spans="1:6" ht="18.75" customHeight="1" thickBot="1" x14ac:dyDescent="0.25">
      <c r="B62" s="157" t="s">
        <v>90</v>
      </c>
      <c r="C62" s="158">
        <f ca="1">+C61-F61</f>
        <v>5019</v>
      </c>
      <c r="D62" s="142"/>
      <c r="E62" s="159"/>
      <c r="F62" s="159"/>
    </row>
    <row r="63" spans="1:6" ht="16.5" customHeight="1" thickBot="1" x14ac:dyDescent="0.25">
      <c r="B63" s="160"/>
      <c r="C63" s="161"/>
      <c r="D63" s="162"/>
      <c r="E63" s="163"/>
      <c r="F63" s="163"/>
    </row>
    <row r="64" spans="1:6" ht="16.5" customHeight="1" x14ac:dyDescent="0.2">
      <c r="B64" s="164"/>
      <c r="C64" s="164"/>
      <c r="D64" s="142"/>
      <c r="E64" s="164"/>
      <c r="F64" s="159"/>
    </row>
    <row r="65" spans="2:6" ht="21.75" customHeight="1" x14ac:dyDescent="0.2">
      <c r="B65" s="196" t="s">
        <v>152</v>
      </c>
      <c r="C65" s="197"/>
      <c r="D65" s="197"/>
      <c r="E65" s="197"/>
      <c r="F65" s="197"/>
    </row>
    <row r="66" spans="2:6" ht="18" customHeight="1" x14ac:dyDescent="0.2">
      <c r="B66" s="138" t="s">
        <v>155</v>
      </c>
      <c r="C66" s="191">
        <f>+Nomina!$L$1</f>
        <v>0</v>
      </c>
      <c r="D66" s="192"/>
      <c r="E66" s="192"/>
      <c r="F66" s="193"/>
    </row>
    <row r="67" spans="2:6" ht="3.75" customHeight="1" x14ac:dyDescent="0.2">
      <c r="B67" s="139"/>
      <c r="C67" s="139"/>
      <c r="D67" s="139"/>
      <c r="E67" s="139"/>
      <c r="F67" s="139"/>
    </row>
    <row r="68" spans="2:6" ht="18.75" customHeight="1" x14ac:dyDescent="0.2">
      <c r="B68" s="140" t="s">
        <v>151</v>
      </c>
      <c r="C68" s="141">
        <v>4</v>
      </c>
      <c r="D68" s="142"/>
      <c r="E68" s="143" t="s">
        <v>153</v>
      </c>
      <c r="F68" s="144">
        <f>+Nomina!$L$3</f>
        <v>45292</v>
      </c>
    </row>
    <row r="69" spans="2:6" ht="18.75" customHeight="1" x14ac:dyDescent="0.2">
      <c r="B69" s="138" t="s">
        <v>150</v>
      </c>
      <c r="C69" s="145" t="str">
        <f>LOOKUP(C68,Nomina!$B$7:$B$51,Nomina!$C$7:$C$51)&amp;(LOOKUP(C68,Nomina!$B$7:$B$51,Nomina!$D$7:$D$51))</f>
        <v/>
      </c>
      <c r="D69" s="142"/>
      <c r="E69" s="143" t="s">
        <v>154</v>
      </c>
      <c r="F69" s="144">
        <f>+Nomina!$N$3</f>
        <v>45306</v>
      </c>
    </row>
    <row r="70" spans="2:6" ht="18.75" customHeight="1" x14ac:dyDescent="0.2">
      <c r="B70" s="138" t="s">
        <v>143</v>
      </c>
      <c r="C70" s="146">
        <f>LOOKUP(C68,Nomina!$B$7:$B$51,Nomina!$E$7:$E$51)</f>
        <v>0</v>
      </c>
      <c r="D70" s="142"/>
      <c r="E70" s="143" t="s">
        <v>149</v>
      </c>
      <c r="F70" s="147">
        <f>LOOKUP(C68,Nomina!$B$7:$B$51,Nomina!$I$7:$I$51)</f>
        <v>0</v>
      </c>
    </row>
    <row r="71" spans="2:6" ht="6" customHeight="1" x14ac:dyDescent="0.2">
      <c r="C71" s="148"/>
      <c r="D71" s="142"/>
      <c r="E71" s="148"/>
      <c r="F71" s="148"/>
    </row>
    <row r="72" spans="2:6" ht="18.75" customHeight="1" x14ac:dyDescent="0.2">
      <c r="B72" s="194" t="s">
        <v>84</v>
      </c>
      <c r="C72" s="194"/>
      <c r="D72" s="142"/>
      <c r="E72" s="195" t="s">
        <v>85</v>
      </c>
      <c r="F72" s="195"/>
    </row>
    <row r="73" spans="2:6" ht="5.25" customHeight="1" x14ac:dyDescent="0.2"/>
    <row r="74" spans="2:6" ht="18.75" customHeight="1" x14ac:dyDescent="0.2">
      <c r="B74" s="149" t="str">
        <f>+Nomina!$L$6</f>
        <v>Dias a Pagar</v>
      </c>
      <c r="C74" s="150">
        <f>LOOKUP($C68,Nomina!$B$7:$B$51,Nomina!$L$7:$L$51)</f>
        <v>15</v>
      </c>
      <c r="D74" s="142"/>
      <c r="E74" s="151" t="s">
        <v>13</v>
      </c>
      <c r="F74" s="152">
        <f>LOOKUP(C68,Nomina!$B$7:$B$51,Nomina!$X$7:$X$51)</f>
        <v>0</v>
      </c>
    </row>
    <row r="75" spans="2:6" ht="18.75" customHeight="1" x14ac:dyDescent="0.2">
      <c r="B75" s="149" t="str">
        <f>+Nomina!$M$6</f>
        <v>Sueldo</v>
      </c>
      <c r="C75" s="152">
        <f>LOOKUP(C68,Nomina!$B$7:$B$51,Nomina!$M$7:$M$51)</f>
        <v>0</v>
      </c>
      <c r="D75" s="142"/>
      <c r="E75" s="151" t="s">
        <v>3</v>
      </c>
      <c r="F75" s="152">
        <f>LOOKUP(C68,Nomina!$B$7:$B$51,Nomina!$Y$7:$Y$51)</f>
        <v>0</v>
      </c>
    </row>
    <row r="76" spans="2:6" ht="18.75" customHeight="1" x14ac:dyDescent="0.2">
      <c r="B76" s="149" t="str">
        <f>+Nomina!$N$6</f>
        <v>Horas Extras</v>
      </c>
      <c r="C76" s="152">
        <f>LOOKUP(C68,Nomina!$B$7:$B$51,Nomina!$N$7:$N$51)</f>
        <v>0</v>
      </c>
      <c r="D76" s="142"/>
      <c r="E76" s="151" t="s">
        <v>71</v>
      </c>
      <c r="F76" s="152">
        <f>LOOKUP(C68,Nomina!$B$7:$B$51,Nomina!$Z$7:$Z$51)</f>
        <v>0</v>
      </c>
    </row>
    <row r="77" spans="2:6" ht="18.75" customHeight="1" x14ac:dyDescent="0.2">
      <c r="B77" s="149" t="str">
        <f>+Nomina!$O$6</f>
        <v>Comisiones</v>
      </c>
      <c r="C77" s="152">
        <f>LOOKUP(C68,Nomina!$B$7:$B$51,Nomina!$O$7:$O$51)</f>
        <v>0</v>
      </c>
      <c r="D77" s="142"/>
      <c r="E77" s="149" t="str">
        <f>CONCATENATE(Nomina!$K$6," - ",Nomina!$K10)</f>
        <v xml:space="preserve">Faltas - </v>
      </c>
      <c r="F77" s="152">
        <f>LOOKUP(C68,Nomina!$B$7:$B$51,Nomina!$W$7:$W$51)</f>
        <v>0</v>
      </c>
    </row>
    <row r="78" spans="2:6" ht="18.75" customHeight="1" x14ac:dyDescent="0.2">
      <c r="B78" s="149" t="str">
        <f>+Nomina!$T$6</f>
        <v>Subsidio</v>
      </c>
      <c r="C78" s="152">
        <f>LOOKUP(C68,Nomina!$B$7:$B$51,Nomina!$T$7:$T$51)</f>
        <v>0</v>
      </c>
      <c r="D78" s="142"/>
      <c r="E78" s="149"/>
      <c r="F78" s="153"/>
    </row>
    <row r="79" spans="2:6" ht="18.75" customHeight="1" x14ac:dyDescent="0.2">
      <c r="B79" s="149" t="str">
        <f>+Nomina!$Q$6</f>
        <v xml:space="preserve">Bono x Asistencia </v>
      </c>
      <c r="C79" s="152">
        <f>LOOKUP(C68,Nomina!$B$7:$B$51,Nomina!$Q$7:$Q$51)</f>
        <v>0</v>
      </c>
      <c r="D79" s="142"/>
      <c r="E79" s="149"/>
      <c r="F79" s="153"/>
    </row>
    <row r="80" spans="2:6" ht="18.75" customHeight="1" x14ac:dyDescent="0.2">
      <c r="B80" s="149" t="str">
        <f>+Nomina!$R$6</f>
        <v>Bono x Puntualidad</v>
      </c>
      <c r="C80" s="152">
        <f>LOOKUP(C68,Nomina!$B$7:$B$51,Nomina!$R$7:$R$51)</f>
        <v>0</v>
      </c>
      <c r="D80" s="142"/>
      <c r="E80" s="149"/>
      <c r="F80" s="153"/>
    </row>
    <row r="81" spans="1:6" ht="6" customHeight="1" x14ac:dyDescent="0.2">
      <c r="A81" s="148"/>
      <c r="B81" s="148"/>
      <c r="C81" s="148"/>
      <c r="D81" s="148"/>
      <c r="E81" s="148"/>
      <c r="F81" s="154"/>
    </row>
    <row r="82" spans="1:6" ht="18.75" customHeight="1" thickBot="1" x14ac:dyDescent="0.25">
      <c r="B82" s="155" t="s">
        <v>33</v>
      </c>
      <c r="C82" s="156">
        <f>(LOOKUP(C68,Nomina!$B$7:$B$51,Nomina!$P$7:$P$51)+LOOKUP(C68,Nomina!$B$7:$B$51,Nomina!$U$7:$U$51))</f>
        <v>0</v>
      </c>
      <c r="D82" s="142"/>
      <c r="E82" s="138" t="s">
        <v>72</v>
      </c>
      <c r="F82" s="152">
        <f>LOOKUP(C68,Nomina!$B$7:$B$51,Nomina!$AA$7:$AA$51)</f>
        <v>0</v>
      </c>
    </row>
    <row r="83" spans="1:6" ht="18.75" customHeight="1" thickBot="1" x14ac:dyDescent="0.25">
      <c r="B83" s="157" t="s">
        <v>90</v>
      </c>
      <c r="C83" s="158">
        <f>+C82-F82</f>
        <v>0</v>
      </c>
      <c r="D83" s="142"/>
      <c r="E83" s="159"/>
      <c r="F83" s="159"/>
    </row>
    <row r="84" spans="1:6" ht="16.5" customHeight="1" thickBot="1" x14ac:dyDescent="0.25">
      <c r="B84" s="160"/>
      <c r="C84" s="161"/>
      <c r="D84" s="162"/>
      <c r="E84" s="163"/>
      <c r="F84" s="163"/>
    </row>
    <row r="85" spans="1:6" ht="16.5" customHeight="1" x14ac:dyDescent="0.2">
      <c r="B85" s="164"/>
      <c r="C85" s="164"/>
      <c r="D85" s="142"/>
      <c r="E85" s="164"/>
      <c r="F85" s="159"/>
    </row>
    <row r="86" spans="1:6" ht="21.75" customHeight="1" x14ac:dyDescent="0.2">
      <c r="B86" s="196" t="s">
        <v>152</v>
      </c>
      <c r="C86" s="197"/>
      <c r="D86" s="197"/>
      <c r="E86" s="197"/>
      <c r="F86" s="197"/>
    </row>
    <row r="87" spans="1:6" ht="18" customHeight="1" x14ac:dyDescent="0.2">
      <c r="B87" s="138" t="s">
        <v>155</v>
      </c>
      <c r="C87" s="191">
        <f>+Nomina!$L$1</f>
        <v>0</v>
      </c>
      <c r="D87" s="192"/>
      <c r="E87" s="192"/>
      <c r="F87" s="193"/>
    </row>
    <row r="88" spans="1:6" ht="3.75" customHeight="1" x14ac:dyDescent="0.2">
      <c r="B88" s="139"/>
      <c r="C88" s="139"/>
      <c r="D88" s="139"/>
      <c r="E88" s="139"/>
      <c r="F88" s="139"/>
    </row>
    <row r="89" spans="1:6" ht="18.75" customHeight="1" x14ac:dyDescent="0.2">
      <c r="B89" s="140" t="s">
        <v>151</v>
      </c>
      <c r="C89" s="141">
        <v>5</v>
      </c>
      <c r="D89" s="142"/>
      <c r="E89" s="143" t="s">
        <v>153</v>
      </c>
      <c r="F89" s="144">
        <f>+Nomina!$L$3</f>
        <v>45292</v>
      </c>
    </row>
    <row r="90" spans="1:6" ht="18.75" customHeight="1" x14ac:dyDescent="0.2">
      <c r="B90" s="138" t="s">
        <v>150</v>
      </c>
      <c r="C90" s="145" t="str">
        <f>LOOKUP(C89,Nomina!$B$7:$B$51,Nomina!$C$7:$C$51)&amp;(LOOKUP(C89,Nomina!$B$7:$B$51,Nomina!$D$7:$D$51))</f>
        <v/>
      </c>
      <c r="D90" s="142"/>
      <c r="E90" s="143" t="s">
        <v>154</v>
      </c>
      <c r="F90" s="144">
        <f>+Nomina!$N$3</f>
        <v>45306</v>
      </c>
    </row>
    <row r="91" spans="1:6" ht="18.75" customHeight="1" x14ac:dyDescent="0.2">
      <c r="B91" s="138" t="s">
        <v>143</v>
      </c>
      <c r="C91" s="146">
        <f>LOOKUP(C89,Nomina!$B$7:$B$51,Nomina!$E$7:$E$51)</f>
        <v>0</v>
      </c>
      <c r="D91" s="142"/>
      <c r="E91" s="143" t="s">
        <v>149</v>
      </c>
      <c r="F91" s="147">
        <f>LOOKUP(C89,Nomina!$B$7:$B$51,Nomina!$I$7:$I$51)</f>
        <v>0</v>
      </c>
    </row>
    <row r="92" spans="1:6" ht="6" customHeight="1" x14ac:dyDescent="0.2">
      <c r="C92" s="148"/>
      <c r="D92" s="142"/>
      <c r="E92" s="148"/>
      <c r="F92" s="148"/>
    </row>
    <row r="93" spans="1:6" ht="18.75" customHeight="1" x14ac:dyDescent="0.2">
      <c r="B93" s="194" t="s">
        <v>84</v>
      </c>
      <c r="C93" s="194"/>
      <c r="D93" s="142"/>
      <c r="E93" s="195" t="s">
        <v>85</v>
      </c>
      <c r="F93" s="195"/>
    </row>
    <row r="94" spans="1:6" ht="5.25" customHeight="1" x14ac:dyDescent="0.2"/>
    <row r="95" spans="1:6" ht="18.75" customHeight="1" x14ac:dyDescent="0.2">
      <c r="B95" s="149" t="str">
        <f>+Nomina!$L$6</f>
        <v>Dias a Pagar</v>
      </c>
      <c r="C95" s="150">
        <f>LOOKUP($C89,Nomina!$B$7:$B$51,Nomina!$L$7:$L$51)</f>
        <v>15</v>
      </c>
      <c r="D95" s="142"/>
      <c r="E95" s="151" t="s">
        <v>13</v>
      </c>
      <c r="F95" s="152">
        <f>LOOKUP(C89,Nomina!$B$7:$B$51,Nomina!$X$7:$X$51)</f>
        <v>0</v>
      </c>
    </row>
    <row r="96" spans="1:6" ht="18.75" customHeight="1" x14ac:dyDescent="0.2">
      <c r="B96" s="149" t="str">
        <f>+Nomina!$M$6</f>
        <v>Sueldo</v>
      </c>
      <c r="C96" s="152">
        <f>LOOKUP(C89,Nomina!$B$7:$B$51,Nomina!$M$7:$M$51)</f>
        <v>0</v>
      </c>
      <c r="D96" s="142"/>
      <c r="E96" s="151" t="s">
        <v>3</v>
      </c>
      <c r="F96" s="152">
        <f>LOOKUP(C89,Nomina!$B$7:$B$51,Nomina!$Y$7:$Y$51)</f>
        <v>0</v>
      </c>
    </row>
    <row r="97" spans="1:6" ht="18.75" customHeight="1" x14ac:dyDescent="0.2">
      <c r="B97" s="149" t="str">
        <f>+Nomina!$N$6</f>
        <v>Horas Extras</v>
      </c>
      <c r="C97" s="152">
        <f>LOOKUP(C89,Nomina!$B$7:$B$51,Nomina!$N$7:$N$51)</f>
        <v>0</v>
      </c>
      <c r="D97" s="142"/>
      <c r="E97" s="151" t="s">
        <v>71</v>
      </c>
      <c r="F97" s="152">
        <f>LOOKUP(C89,Nomina!$B$7:$B$51,Nomina!$Z$7:$Z$51)</f>
        <v>0</v>
      </c>
    </row>
    <row r="98" spans="1:6" ht="18.75" customHeight="1" x14ac:dyDescent="0.2">
      <c r="B98" s="149" t="str">
        <f>+Nomina!$O$6</f>
        <v>Comisiones</v>
      </c>
      <c r="C98" s="152">
        <f>LOOKUP(C89,Nomina!$B$7:$B$51,Nomina!$O$7:$O$51)</f>
        <v>0</v>
      </c>
      <c r="D98" s="142"/>
      <c r="E98" s="149" t="str">
        <f>CONCATENATE(Nomina!$K$6," - ",Nomina!$K11)</f>
        <v xml:space="preserve">Faltas - </v>
      </c>
      <c r="F98" s="152">
        <f>LOOKUP(C89,Nomina!$B$7:$B$51,Nomina!$W$7:$W$51)</f>
        <v>0</v>
      </c>
    </row>
    <row r="99" spans="1:6" ht="18.75" customHeight="1" x14ac:dyDescent="0.2">
      <c r="B99" s="149" t="str">
        <f>+Nomina!$T$6</f>
        <v>Subsidio</v>
      </c>
      <c r="C99" s="152">
        <f>LOOKUP(C89,Nomina!$B$7:$B$51,Nomina!$T$7:$T$51)</f>
        <v>0</v>
      </c>
      <c r="D99" s="142"/>
      <c r="E99" s="149"/>
      <c r="F99" s="153"/>
    </row>
    <row r="100" spans="1:6" ht="18.75" customHeight="1" x14ac:dyDescent="0.2">
      <c r="B100" s="149" t="str">
        <f>+Nomina!$Q$6</f>
        <v xml:space="preserve">Bono x Asistencia </v>
      </c>
      <c r="C100" s="152">
        <f>LOOKUP(C89,Nomina!$B$7:$B$51,Nomina!$Q$7:$Q$51)</f>
        <v>0</v>
      </c>
      <c r="D100" s="142"/>
      <c r="E100" s="149"/>
      <c r="F100" s="153"/>
    </row>
    <row r="101" spans="1:6" ht="18.75" customHeight="1" x14ac:dyDescent="0.2">
      <c r="B101" s="149" t="str">
        <f>+Nomina!$R$6</f>
        <v>Bono x Puntualidad</v>
      </c>
      <c r="C101" s="152">
        <f>LOOKUP(C89,Nomina!$B$7:$B$51,Nomina!$R$7:$R$51)</f>
        <v>0</v>
      </c>
      <c r="D101" s="142"/>
      <c r="E101" s="149"/>
      <c r="F101" s="153"/>
    </row>
    <row r="102" spans="1:6" ht="6" customHeight="1" x14ac:dyDescent="0.2">
      <c r="A102" s="148"/>
      <c r="B102" s="148"/>
      <c r="C102" s="148"/>
      <c r="D102" s="148"/>
      <c r="E102" s="148"/>
      <c r="F102" s="154"/>
    </row>
    <row r="103" spans="1:6" ht="18.75" customHeight="1" thickBot="1" x14ac:dyDescent="0.25">
      <c r="B103" s="155" t="s">
        <v>33</v>
      </c>
      <c r="C103" s="156">
        <f>(LOOKUP(C89,Nomina!$B$7:$B$51,Nomina!$P$7:$P$51)+LOOKUP(C89,Nomina!$B$7:$B$51,Nomina!$U$7:$U$51))</f>
        <v>0</v>
      </c>
      <c r="D103" s="142"/>
      <c r="E103" s="138" t="s">
        <v>72</v>
      </c>
      <c r="F103" s="152">
        <f>LOOKUP(C89,Nomina!$B$7:$B$51,Nomina!$AA$7:$AA$51)</f>
        <v>0</v>
      </c>
    </row>
    <row r="104" spans="1:6" ht="18.75" customHeight="1" thickBot="1" x14ac:dyDescent="0.25">
      <c r="B104" s="157" t="s">
        <v>90</v>
      </c>
      <c r="C104" s="158">
        <f>+C103-F103</f>
        <v>0</v>
      </c>
      <c r="D104" s="142"/>
      <c r="E104" s="159"/>
      <c r="F104" s="159"/>
    </row>
    <row r="105" spans="1:6" ht="16.5" customHeight="1" thickBot="1" x14ac:dyDescent="0.25">
      <c r="B105" s="160"/>
      <c r="C105" s="161"/>
      <c r="D105" s="162"/>
      <c r="E105" s="163"/>
      <c r="F105" s="163"/>
    </row>
    <row r="106" spans="1:6" ht="16.5" customHeight="1" x14ac:dyDescent="0.2">
      <c r="B106" s="164"/>
      <c r="C106" s="164"/>
      <c r="D106" s="142"/>
      <c r="E106" s="164"/>
      <c r="F106" s="159"/>
    </row>
    <row r="107" spans="1:6" ht="21.75" customHeight="1" x14ac:dyDescent="0.2">
      <c r="B107" s="196" t="s">
        <v>152</v>
      </c>
      <c r="C107" s="197"/>
      <c r="D107" s="197"/>
      <c r="E107" s="197"/>
      <c r="F107" s="197"/>
    </row>
    <row r="108" spans="1:6" ht="18" customHeight="1" x14ac:dyDescent="0.2">
      <c r="B108" s="138" t="s">
        <v>155</v>
      </c>
      <c r="C108" s="191">
        <f>+Nomina!$L$1</f>
        <v>0</v>
      </c>
      <c r="D108" s="192"/>
      <c r="E108" s="192"/>
      <c r="F108" s="193"/>
    </row>
    <row r="109" spans="1:6" ht="3.75" customHeight="1" x14ac:dyDescent="0.2">
      <c r="B109" s="139"/>
      <c r="C109" s="139"/>
      <c r="D109" s="139"/>
      <c r="E109" s="139"/>
      <c r="F109" s="139"/>
    </row>
    <row r="110" spans="1:6" ht="18.75" customHeight="1" x14ac:dyDescent="0.2">
      <c r="B110" s="140" t="s">
        <v>151</v>
      </c>
      <c r="C110" s="141">
        <v>6</v>
      </c>
      <c r="D110" s="142"/>
      <c r="E110" s="143" t="s">
        <v>153</v>
      </c>
      <c r="F110" s="144">
        <f>+Nomina!$L$3</f>
        <v>45292</v>
      </c>
    </row>
    <row r="111" spans="1:6" ht="18.75" customHeight="1" x14ac:dyDescent="0.2">
      <c r="B111" s="138" t="s">
        <v>150</v>
      </c>
      <c r="C111" s="145" t="str">
        <f>LOOKUP(C110,Nomina!$B$7:$B$51,Nomina!$C$7:$C$51)&amp;(LOOKUP(C110,Nomina!$B$7:$B$51,Nomina!$D$7:$D$51))</f>
        <v/>
      </c>
      <c r="D111" s="142"/>
      <c r="E111" s="143" t="s">
        <v>154</v>
      </c>
      <c r="F111" s="144">
        <f>+Nomina!$N$3</f>
        <v>45306</v>
      </c>
    </row>
    <row r="112" spans="1:6" ht="18.75" customHeight="1" x14ac:dyDescent="0.2">
      <c r="B112" s="138" t="s">
        <v>143</v>
      </c>
      <c r="C112" s="146">
        <f>LOOKUP(C110,Nomina!$B$7:$B$51,Nomina!$E$7:$E$51)</f>
        <v>0</v>
      </c>
      <c r="D112" s="142"/>
      <c r="E112" s="143" t="s">
        <v>149</v>
      </c>
      <c r="F112" s="147">
        <f>LOOKUP(C110,Nomina!$B$7:$B$51,Nomina!$I$7:$I$51)</f>
        <v>0</v>
      </c>
    </row>
    <row r="113" spans="1:6" ht="6" customHeight="1" x14ac:dyDescent="0.2">
      <c r="C113" s="148"/>
      <c r="D113" s="142"/>
      <c r="E113" s="148"/>
      <c r="F113" s="148"/>
    </row>
    <row r="114" spans="1:6" ht="18.75" customHeight="1" x14ac:dyDescent="0.2">
      <c r="B114" s="194" t="s">
        <v>84</v>
      </c>
      <c r="C114" s="194"/>
      <c r="D114" s="142"/>
      <c r="E114" s="195" t="s">
        <v>85</v>
      </c>
      <c r="F114" s="195"/>
    </row>
    <row r="115" spans="1:6" ht="5.25" customHeight="1" x14ac:dyDescent="0.2"/>
    <row r="116" spans="1:6" ht="18.75" customHeight="1" x14ac:dyDescent="0.2">
      <c r="B116" s="149" t="str">
        <f>+Nomina!$L$6</f>
        <v>Dias a Pagar</v>
      </c>
      <c r="C116" s="150">
        <f>LOOKUP($C110,Nomina!$B$7:$B$51,Nomina!$L$7:$L$51)</f>
        <v>15</v>
      </c>
      <c r="D116" s="142"/>
      <c r="E116" s="151" t="s">
        <v>13</v>
      </c>
      <c r="F116" s="152">
        <f>LOOKUP(C110,Nomina!$B$7:$B$51,Nomina!$X$7:$X$51)</f>
        <v>0</v>
      </c>
    </row>
    <row r="117" spans="1:6" ht="18.75" customHeight="1" x14ac:dyDescent="0.2">
      <c r="B117" s="149" t="str">
        <f>+Nomina!$M$6</f>
        <v>Sueldo</v>
      </c>
      <c r="C117" s="152">
        <f>LOOKUP(C110,Nomina!$B$7:$B$51,Nomina!$M$7:$M$51)</f>
        <v>0</v>
      </c>
      <c r="D117" s="142"/>
      <c r="E117" s="151" t="s">
        <v>3</v>
      </c>
      <c r="F117" s="152">
        <f>LOOKUP(C110,Nomina!$B$7:$B$51,Nomina!$Y$7:$Y$51)</f>
        <v>0</v>
      </c>
    </row>
    <row r="118" spans="1:6" ht="18.75" customHeight="1" x14ac:dyDescent="0.2">
      <c r="B118" s="149" t="str">
        <f>+Nomina!$N$6</f>
        <v>Horas Extras</v>
      </c>
      <c r="C118" s="152">
        <f>LOOKUP(C110,Nomina!$B$7:$B$51,Nomina!$N$7:$N$51)</f>
        <v>0</v>
      </c>
      <c r="D118" s="142"/>
      <c r="E118" s="151" t="s">
        <v>71</v>
      </c>
      <c r="F118" s="152">
        <f>LOOKUP(C110,Nomina!$B$7:$B$51,Nomina!$Z$7:$Z$51)</f>
        <v>0</v>
      </c>
    </row>
    <row r="119" spans="1:6" ht="18.75" customHeight="1" x14ac:dyDescent="0.2">
      <c r="B119" s="149" t="str">
        <f>+Nomina!$O$6</f>
        <v>Comisiones</v>
      </c>
      <c r="C119" s="152">
        <f>LOOKUP(C110,Nomina!$B$7:$B$51,Nomina!$O$7:$O$51)</f>
        <v>0</v>
      </c>
      <c r="D119" s="142"/>
      <c r="E119" s="149" t="str">
        <f>CONCATENATE(Nomina!$K$6," - ",Nomina!$K12)</f>
        <v xml:space="preserve">Faltas - </v>
      </c>
      <c r="F119" s="152">
        <f>LOOKUP(C110,Nomina!$B$7:$B$51,Nomina!$W$7:$W$51)</f>
        <v>0</v>
      </c>
    </row>
    <row r="120" spans="1:6" ht="18.75" customHeight="1" x14ac:dyDescent="0.2">
      <c r="B120" s="149" t="str">
        <f>+Nomina!$T$6</f>
        <v>Subsidio</v>
      </c>
      <c r="C120" s="152">
        <f>LOOKUP(C110,Nomina!$B$7:$B$51,Nomina!$T$7:$T$51)</f>
        <v>0</v>
      </c>
      <c r="D120" s="142"/>
      <c r="E120" s="149"/>
      <c r="F120" s="153"/>
    </row>
    <row r="121" spans="1:6" ht="18.75" customHeight="1" x14ac:dyDescent="0.2">
      <c r="B121" s="149" t="str">
        <f>+Nomina!$Q$6</f>
        <v xml:space="preserve">Bono x Asistencia </v>
      </c>
      <c r="C121" s="152">
        <f>LOOKUP(C110,Nomina!$B$7:$B$51,Nomina!$Q$7:$Q$51)</f>
        <v>0</v>
      </c>
      <c r="D121" s="142"/>
      <c r="E121" s="149"/>
      <c r="F121" s="153"/>
    </row>
    <row r="122" spans="1:6" ht="18.75" customHeight="1" x14ac:dyDescent="0.2">
      <c r="B122" s="149" t="str">
        <f>+Nomina!$R$6</f>
        <v>Bono x Puntualidad</v>
      </c>
      <c r="C122" s="152">
        <f>LOOKUP(C110,Nomina!$B$7:$B$51,Nomina!$R$7:$R$51)</f>
        <v>0</v>
      </c>
      <c r="D122" s="142"/>
      <c r="E122" s="149"/>
      <c r="F122" s="153"/>
    </row>
    <row r="123" spans="1:6" ht="6" customHeight="1" x14ac:dyDescent="0.2">
      <c r="A123" s="148"/>
      <c r="B123" s="148"/>
      <c r="C123" s="148"/>
      <c r="D123" s="148"/>
      <c r="E123" s="148"/>
      <c r="F123" s="154"/>
    </row>
    <row r="124" spans="1:6" ht="18.75" customHeight="1" thickBot="1" x14ac:dyDescent="0.25">
      <c r="B124" s="155" t="s">
        <v>33</v>
      </c>
      <c r="C124" s="156">
        <f>(LOOKUP(C110,Nomina!$B$7:$B$51,Nomina!$P$7:$P$51)+LOOKUP(C110,Nomina!$B$7:$B$51,Nomina!$U$7:$U$51))</f>
        <v>0</v>
      </c>
      <c r="D124" s="142"/>
      <c r="E124" s="138" t="s">
        <v>72</v>
      </c>
      <c r="F124" s="152">
        <f>LOOKUP(C110,Nomina!$B$7:$B$51,Nomina!$AA$7:$AA$51)</f>
        <v>0</v>
      </c>
    </row>
    <row r="125" spans="1:6" ht="18.75" customHeight="1" thickBot="1" x14ac:dyDescent="0.25">
      <c r="B125" s="157" t="s">
        <v>90</v>
      </c>
      <c r="C125" s="158">
        <f>+C124-F124</f>
        <v>0</v>
      </c>
      <c r="D125" s="142"/>
      <c r="E125" s="159"/>
      <c r="F125" s="159"/>
    </row>
    <row r="126" spans="1:6" ht="16.5" customHeight="1" thickBot="1" x14ac:dyDescent="0.25">
      <c r="B126" s="160"/>
      <c r="C126" s="161"/>
      <c r="D126" s="162"/>
      <c r="E126" s="163"/>
      <c r="F126" s="163"/>
    </row>
    <row r="127" spans="1:6" ht="16.5" customHeight="1" x14ac:dyDescent="0.2">
      <c r="B127" s="164"/>
      <c r="C127" s="164"/>
      <c r="D127" s="142"/>
      <c r="E127" s="164"/>
      <c r="F127" s="159"/>
    </row>
    <row r="128" spans="1:6" ht="21.75" customHeight="1" x14ac:dyDescent="0.2">
      <c r="B128" s="196" t="s">
        <v>152</v>
      </c>
      <c r="C128" s="197"/>
      <c r="D128" s="197"/>
      <c r="E128" s="197"/>
      <c r="F128" s="197"/>
    </row>
    <row r="129" spans="1:6" ht="18" customHeight="1" x14ac:dyDescent="0.2">
      <c r="B129" s="138" t="s">
        <v>155</v>
      </c>
      <c r="C129" s="191">
        <f>+Nomina!$L$1</f>
        <v>0</v>
      </c>
      <c r="D129" s="192"/>
      <c r="E129" s="192"/>
      <c r="F129" s="193"/>
    </row>
    <row r="130" spans="1:6" ht="3.75" customHeight="1" x14ac:dyDescent="0.2">
      <c r="B130" s="139"/>
      <c r="C130" s="139"/>
      <c r="D130" s="139"/>
      <c r="E130" s="139"/>
      <c r="F130" s="139"/>
    </row>
    <row r="131" spans="1:6" ht="18.75" customHeight="1" x14ac:dyDescent="0.2">
      <c r="B131" s="140" t="s">
        <v>151</v>
      </c>
      <c r="C131" s="141">
        <v>7</v>
      </c>
      <c r="D131" s="142"/>
      <c r="E131" s="143" t="s">
        <v>153</v>
      </c>
      <c r="F131" s="144">
        <f>+Nomina!$L$3</f>
        <v>45292</v>
      </c>
    </row>
    <row r="132" spans="1:6" ht="18.75" customHeight="1" x14ac:dyDescent="0.2">
      <c r="B132" s="138" t="s">
        <v>150</v>
      </c>
      <c r="C132" s="145" t="str">
        <f>LOOKUP(C131,Nomina!$B$7:$B$51,Nomina!$C$7:$C$51)&amp;(LOOKUP(C131,Nomina!$B$7:$B$51,Nomina!$D$7:$D$51))</f>
        <v/>
      </c>
      <c r="D132" s="142"/>
      <c r="E132" s="143" t="s">
        <v>154</v>
      </c>
      <c r="F132" s="144">
        <f>+Nomina!$N$3</f>
        <v>45306</v>
      </c>
    </row>
    <row r="133" spans="1:6" ht="18.75" customHeight="1" x14ac:dyDescent="0.2">
      <c r="B133" s="138" t="s">
        <v>143</v>
      </c>
      <c r="C133" s="146">
        <f>LOOKUP(C131,Nomina!$B$7:$B$51,Nomina!$E$7:$E$51)</f>
        <v>0</v>
      </c>
      <c r="D133" s="142"/>
      <c r="E133" s="143" t="s">
        <v>149</v>
      </c>
      <c r="F133" s="147">
        <f>LOOKUP(C131,Nomina!$B$7:$B$51,Nomina!$I$7:$I$51)</f>
        <v>0</v>
      </c>
    </row>
    <row r="134" spans="1:6" ht="6" customHeight="1" x14ac:dyDescent="0.2">
      <c r="C134" s="148"/>
      <c r="D134" s="142"/>
      <c r="E134" s="148"/>
      <c r="F134" s="148"/>
    </row>
    <row r="135" spans="1:6" ht="18.75" customHeight="1" x14ac:dyDescent="0.2">
      <c r="B135" s="194" t="s">
        <v>84</v>
      </c>
      <c r="C135" s="194"/>
      <c r="D135" s="142"/>
      <c r="E135" s="195" t="s">
        <v>85</v>
      </c>
      <c r="F135" s="195"/>
    </row>
    <row r="136" spans="1:6" ht="5.25" customHeight="1" x14ac:dyDescent="0.2"/>
    <row r="137" spans="1:6" ht="18.75" customHeight="1" x14ac:dyDescent="0.2">
      <c r="B137" s="149" t="str">
        <f>+Nomina!$L$6</f>
        <v>Dias a Pagar</v>
      </c>
      <c r="C137" s="150">
        <f>LOOKUP($C131,Nomina!$B$7:$B$51,Nomina!$L$7:$L$51)</f>
        <v>15</v>
      </c>
      <c r="D137" s="142"/>
      <c r="E137" s="151" t="s">
        <v>13</v>
      </c>
      <c r="F137" s="152">
        <f>LOOKUP(C131,Nomina!$B$7:$B$51,Nomina!$X$7:$X$51)</f>
        <v>0</v>
      </c>
    </row>
    <row r="138" spans="1:6" ht="18.75" customHeight="1" x14ac:dyDescent="0.2">
      <c r="B138" s="149" t="str">
        <f>+Nomina!$M$6</f>
        <v>Sueldo</v>
      </c>
      <c r="C138" s="152">
        <f>LOOKUP(C131,Nomina!$B$7:$B$51,Nomina!$M$7:$M$51)</f>
        <v>0</v>
      </c>
      <c r="D138" s="142"/>
      <c r="E138" s="151" t="s">
        <v>3</v>
      </c>
      <c r="F138" s="152">
        <f>LOOKUP(C131,Nomina!$B$7:$B$51,Nomina!$Y$7:$Y$51)</f>
        <v>0</v>
      </c>
    </row>
    <row r="139" spans="1:6" ht="18.75" customHeight="1" x14ac:dyDescent="0.2">
      <c r="B139" s="149" t="str">
        <f>+Nomina!$N$6</f>
        <v>Horas Extras</v>
      </c>
      <c r="C139" s="152">
        <f>LOOKUP(C131,Nomina!$B$7:$B$51,Nomina!$N$7:$N$51)</f>
        <v>0</v>
      </c>
      <c r="D139" s="142"/>
      <c r="E139" s="151" t="s">
        <v>71</v>
      </c>
      <c r="F139" s="152">
        <f>LOOKUP(C131,Nomina!$B$7:$B$51,Nomina!$Z$7:$Z$51)</f>
        <v>0</v>
      </c>
    </row>
    <row r="140" spans="1:6" ht="18.75" customHeight="1" x14ac:dyDescent="0.2">
      <c r="B140" s="149" t="str">
        <f>+Nomina!$O$6</f>
        <v>Comisiones</v>
      </c>
      <c r="C140" s="152">
        <f>LOOKUP(C131,Nomina!$B$7:$B$51,Nomina!$O$7:$O$51)</f>
        <v>0</v>
      </c>
      <c r="D140" s="142"/>
      <c r="E140" s="149" t="str">
        <f>CONCATENATE(Nomina!$K$6," - ",Nomina!$K13)</f>
        <v xml:space="preserve">Faltas - </v>
      </c>
      <c r="F140" s="152">
        <f>LOOKUP(C131,Nomina!$B$7:$B$51,Nomina!$W$7:$W$51)</f>
        <v>0</v>
      </c>
    </row>
    <row r="141" spans="1:6" ht="18.75" customHeight="1" x14ac:dyDescent="0.2">
      <c r="B141" s="149" t="str">
        <f>+Nomina!$T$6</f>
        <v>Subsidio</v>
      </c>
      <c r="C141" s="152">
        <f>LOOKUP(C131,Nomina!$B$7:$B$51,Nomina!$T$7:$T$51)</f>
        <v>0</v>
      </c>
      <c r="D141" s="142"/>
      <c r="E141" s="149"/>
      <c r="F141" s="153"/>
    </row>
    <row r="142" spans="1:6" ht="18.75" customHeight="1" x14ac:dyDescent="0.2">
      <c r="B142" s="149" t="str">
        <f>+Nomina!$Q$6</f>
        <v xml:space="preserve">Bono x Asistencia </v>
      </c>
      <c r="C142" s="152">
        <f>LOOKUP(C131,Nomina!$B$7:$B$51,Nomina!$Q$7:$Q$51)</f>
        <v>0</v>
      </c>
      <c r="D142" s="142"/>
      <c r="E142" s="149"/>
      <c r="F142" s="153"/>
    </row>
    <row r="143" spans="1:6" ht="18.75" customHeight="1" x14ac:dyDescent="0.2">
      <c r="B143" s="149" t="str">
        <f>+Nomina!$R$6</f>
        <v>Bono x Puntualidad</v>
      </c>
      <c r="C143" s="152">
        <f>LOOKUP(C131,Nomina!$B$7:$B$51,Nomina!$R$7:$R$51)</f>
        <v>0</v>
      </c>
      <c r="D143" s="142"/>
      <c r="E143" s="149"/>
      <c r="F143" s="153"/>
    </row>
    <row r="144" spans="1:6" ht="6" customHeight="1" x14ac:dyDescent="0.2">
      <c r="A144" s="148"/>
      <c r="B144" s="148"/>
      <c r="C144" s="148"/>
      <c r="D144" s="148"/>
      <c r="E144" s="148"/>
      <c r="F144" s="154"/>
    </row>
    <row r="145" spans="2:6" ht="18.75" customHeight="1" thickBot="1" x14ac:dyDescent="0.25">
      <c r="B145" s="155" t="s">
        <v>33</v>
      </c>
      <c r="C145" s="156">
        <f>(LOOKUP(C131,Nomina!$B$7:$B$51,Nomina!$P$7:$P$51)+LOOKUP(C131,Nomina!$B$7:$B$51,Nomina!$U$7:$U$51))</f>
        <v>0</v>
      </c>
      <c r="D145" s="142"/>
      <c r="E145" s="138" t="s">
        <v>72</v>
      </c>
      <c r="F145" s="152">
        <f>LOOKUP(C131,Nomina!$B$7:$B$51,Nomina!$AA$7:$AA$51)</f>
        <v>0</v>
      </c>
    </row>
    <row r="146" spans="2:6" ht="18.75" customHeight="1" thickBot="1" x14ac:dyDescent="0.25">
      <c r="B146" s="157" t="s">
        <v>90</v>
      </c>
      <c r="C146" s="158">
        <f>+C145-F145</f>
        <v>0</v>
      </c>
      <c r="D146" s="142"/>
      <c r="E146" s="159"/>
      <c r="F146" s="159"/>
    </row>
    <row r="147" spans="2:6" ht="16.5" customHeight="1" thickBot="1" x14ac:dyDescent="0.25">
      <c r="B147" s="160"/>
      <c r="C147" s="161"/>
      <c r="D147" s="162"/>
      <c r="E147" s="163"/>
      <c r="F147" s="163"/>
    </row>
    <row r="148" spans="2:6" ht="16.5" customHeight="1" x14ac:dyDescent="0.2">
      <c r="B148" s="164"/>
      <c r="C148" s="164"/>
      <c r="D148" s="142"/>
      <c r="E148" s="164"/>
      <c r="F148" s="159"/>
    </row>
    <row r="149" spans="2:6" ht="21.75" customHeight="1" x14ac:dyDescent="0.2">
      <c r="B149" s="196" t="s">
        <v>152</v>
      </c>
      <c r="C149" s="197"/>
      <c r="D149" s="197"/>
      <c r="E149" s="197"/>
      <c r="F149" s="197"/>
    </row>
    <row r="150" spans="2:6" ht="18" customHeight="1" x14ac:dyDescent="0.2">
      <c r="B150" s="138" t="s">
        <v>155</v>
      </c>
      <c r="C150" s="191">
        <f>+Nomina!$L$1</f>
        <v>0</v>
      </c>
      <c r="D150" s="192"/>
      <c r="E150" s="192"/>
      <c r="F150" s="193"/>
    </row>
    <row r="151" spans="2:6" ht="3.75" customHeight="1" x14ac:dyDescent="0.2">
      <c r="B151" s="139"/>
      <c r="C151" s="139"/>
      <c r="D151" s="139"/>
      <c r="E151" s="139"/>
      <c r="F151" s="139"/>
    </row>
    <row r="152" spans="2:6" ht="18.75" customHeight="1" x14ac:dyDescent="0.2">
      <c r="B152" s="140" t="s">
        <v>151</v>
      </c>
      <c r="C152" s="141">
        <v>8</v>
      </c>
      <c r="D152" s="142"/>
      <c r="E152" s="143" t="s">
        <v>153</v>
      </c>
      <c r="F152" s="144">
        <f>+Nomina!$L$3</f>
        <v>45292</v>
      </c>
    </row>
    <row r="153" spans="2:6" ht="18.75" customHeight="1" x14ac:dyDescent="0.2">
      <c r="B153" s="138" t="s">
        <v>150</v>
      </c>
      <c r="C153" s="145" t="str">
        <f>LOOKUP(C152,Nomina!$B$7:$B$51,Nomina!$C$7:$C$51)&amp;(LOOKUP(C152,Nomina!$B$7:$B$51,Nomina!$D$7:$D$51))</f>
        <v/>
      </c>
      <c r="D153" s="142"/>
      <c r="E153" s="143" t="s">
        <v>154</v>
      </c>
      <c r="F153" s="144">
        <f>+Nomina!$N$3</f>
        <v>45306</v>
      </c>
    </row>
    <row r="154" spans="2:6" ht="18.75" customHeight="1" x14ac:dyDescent="0.2">
      <c r="B154" s="138" t="s">
        <v>143</v>
      </c>
      <c r="C154" s="146">
        <f>LOOKUP(C152,Nomina!$B$7:$B$51,Nomina!$E$7:$E$51)</f>
        <v>0</v>
      </c>
      <c r="D154" s="142"/>
      <c r="E154" s="143" t="s">
        <v>149</v>
      </c>
      <c r="F154" s="147">
        <f>LOOKUP(C152,Nomina!$B$7:$B$51,Nomina!$I$7:$I$51)</f>
        <v>0</v>
      </c>
    </row>
    <row r="155" spans="2:6" ht="6" customHeight="1" x14ac:dyDescent="0.2">
      <c r="C155" s="148"/>
      <c r="D155" s="142"/>
      <c r="E155" s="148"/>
      <c r="F155" s="148"/>
    </row>
    <row r="156" spans="2:6" ht="18.75" customHeight="1" x14ac:dyDescent="0.2">
      <c r="B156" s="194" t="s">
        <v>84</v>
      </c>
      <c r="C156" s="194"/>
      <c r="D156" s="142"/>
      <c r="E156" s="195" t="s">
        <v>85</v>
      </c>
      <c r="F156" s="195"/>
    </row>
    <row r="157" spans="2:6" ht="5.25" customHeight="1" x14ac:dyDescent="0.2"/>
    <row r="158" spans="2:6" ht="18.75" customHeight="1" x14ac:dyDescent="0.2">
      <c r="B158" s="149" t="str">
        <f>+Nomina!$L$6</f>
        <v>Dias a Pagar</v>
      </c>
      <c r="C158" s="150">
        <f>LOOKUP($C152,Nomina!$B$7:$B$51,Nomina!$L$7:$L$51)</f>
        <v>15</v>
      </c>
      <c r="D158" s="142"/>
      <c r="E158" s="151" t="s">
        <v>13</v>
      </c>
      <c r="F158" s="152">
        <f>LOOKUP(C152,Nomina!$B$7:$B$51,Nomina!$X$7:$X$51)</f>
        <v>0</v>
      </c>
    </row>
    <row r="159" spans="2:6" ht="18.75" customHeight="1" x14ac:dyDescent="0.2">
      <c r="B159" s="149" t="str">
        <f>+Nomina!$M$6</f>
        <v>Sueldo</v>
      </c>
      <c r="C159" s="152">
        <f>LOOKUP(C152,Nomina!$B$7:$B$51,Nomina!$M$7:$M$51)</f>
        <v>0</v>
      </c>
      <c r="D159" s="142"/>
      <c r="E159" s="151" t="s">
        <v>3</v>
      </c>
      <c r="F159" s="152">
        <f>LOOKUP(C152,Nomina!$B$7:$B$51,Nomina!$Y$7:$Y$51)</f>
        <v>0</v>
      </c>
    </row>
    <row r="160" spans="2:6" ht="18.75" customHeight="1" x14ac:dyDescent="0.2">
      <c r="B160" s="149" t="str">
        <f>+Nomina!$N$6</f>
        <v>Horas Extras</v>
      </c>
      <c r="C160" s="152">
        <f>LOOKUP(C152,Nomina!$B$7:$B$51,Nomina!$N$7:$N$51)</f>
        <v>0</v>
      </c>
      <c r="D160" s="142"/>
      <c r="E160" s="151" t="s">
        <v>71</v>
      </c>
      <c r="F160" s="152">
        <f>LOOKUP(C152,Nomina!$B$7:$B$51,Nomina!$Z$7:$Z$51)</f>
        <v>0</v>
      </c>
    </row>
    <row r="161" spans="1:6" ht="18.75" customHeight="1" x14ac:dyDescent="0.2">
      <c r="B161" s="149" t="str">
        <f>+Nomina!$O$6</f>
        <v>Comisiones</v>
      </c>
      <c r="C161" s="152">
        <f>LOOKUP(C152,Nomina!$B$7:$B$51,Nomina!$O$7:$O$51)</f>
        <v>0</v>
      </c>
      <c r="D161" s="142"/>
      <c r="E161" s="149" t="str">
        <f>CONCATENATE(Nomina!$K$6," - ",Nomina!$K14)</f>
        <v xml:space="preserve">Faltas - </v>
      </c>
      <c r="F161" s="152">
        <f>LOOKUP(C152,Nomina!$B$7:$B$51,Nomina!$W$7:$W$51)</f>
        <v>0</v>
      </c>
    </row>
    <row r="162" spans="1:6" ht="18.75" customHeight="1" x14ac:dyDescent="0.2">
      <c r="B162" s="149" t="str">
        <f>+Nomina!$T$6</f>
        <v>Subsidio</v>
      </c>
      <c r="C162" s="152">
        <f>LOOKUP(C152,Nomina!$B$7:$B$51,Nomina!$T$7:$T$51)</f>
        <v>0</v>
      </c>
      <c r="D162" s="142"/>
      <c r="E162" s="149"/>
      <c r="F162" s="153"/>
    </row>
    <row r="163" spans="1:6" ht="18.75" customHeight="1" x14ac:dyDescent="0.2">
      <c r="B163" s="149" t="str">
        <f>+Nomina!$Q$6</f>
        <v xml:space="preserve">Bono x Asistencia </v>
      </c>
      <c r="C163" s="152">
        <f>LOOKUP(C152,Nomina!$B$7:$B$51,Nomina!$Q$7:$Q$51)</f>
        <v>0</v>
      </c>
      <c r="D163" s="142"/>
      <c r="E163" s="149"/>
      <c r="F163" s="153"/>
    </row>
    <row r="164" spans="1:6" ht="18.75" customHeight="1" x14ac:dyDescent="0.2">
      <c r="B164" s="149" t="str">
        <f>+Nomina!$R$6</f>
        <v>Bono x Puntualidad</v>
      </c>
      <c r="C164" s="152">
        <f>LOOKUP(C152,Nomina!$B$7:$B$51,Nomina!$R$7:$R$51)</f>
        <v>0</v>
      </c>
      <c r="D164" s="142"/>
      <c r="E164" s="149"/>
      <c r="F164" s="153"/>
    </row>
    <row r="165" spans="1:6" ht="6" customHeight="1" x14ac:dyDescent="0.2">
      <c r="A165" s="148"/>
      <c r="B165" s="148"/>
      <c r="C165" s="148"/>
      <c r="D165" s="148"/>
      <c r="E165" s="148"/>
      <c r="F165" s="154"/>
    </row>
    <row r="166" spans="1:6" ht="18.75" customHeight="1" thickBot="1" x14ac:dyDescent="0.25">
      <c r="B166" s="155" t="s">
        <v>33</v>
      </c>
      <c r="C166" s="156">
        <f>(LOOKUP(C152,Nomina!$B$7:$B$51,Nomina!$P$7:$P$51)+LOOKUP(C152,Nomina!$B$7:$B$51,Nomina!$U$7:$U$51))</f>
        <v>0</v>
      </c>
      <c r="D166" s="142"/>
      <c r="E166" s="138" t="s">
        <v>72</v>
      </c>
      <c r="F166" s="152">
        <f>LOOKUP(C152,Nomina!$B$7:$B$51,Nomina!$AA$7:$AA$51)</f>
        <v>0</v>
      </c>
    </row>
    <row r="167" spans="1:6" ht="18.75" customHeight="1" thickBot="1" x14ac:dyDescent="0.25">
      <c r="B167" s="157" t="s">
        <v>90</v>
      </c>
      <c r="C167" s="158">
        <f>+C166-F166</f>
        <v>0</v>
      </c>
      <c r="D167" s="142"/>
      <c r="E167" s="159"/>
      <c r="F167" s="159"/>
    </row>
    <row r="168" spans="1:6" ht="16.5" customHeight="1" thickBot="1" x14ac:dyDescent="0.25">
      <c r="B168" s="160"/>
      <c r="C168" s="161"/>
      <c r="D168" s="162"/>
      <c r="E168" s="163"/>
      <c r="F168" s="163"/>
    </row>
    <row r="169" spans="1:6" ht="16.5" customHeight="1" x14ac:dyDescent="0.2">
      <c r="B169" s="164"/>
      <c r="C169" s="164"/>
      <c r="D169" s="142"/>
      <c r="E169" s="164"/>
      <c r="F169" s="159"/>
    </row>
    <row r="170" spans="1:6" ht="21.75" customHeight="1" x14ac:dyDescent="0.2">
      <c r="B170" s="196" t="s">
        <v>152</v>
      </c>
      <c r="C170" s="197"/>
      <c r="D170" s="197"/>
      <c r="E170" s="197"/>
      <c r="F170" s="197"/>
    </row>
    <row r="171" spans="1:6" ht="18" customHeight="1" x14ac:dyDescent="0.2">
      <c r="B171" s="138" t="s">
        <v>155</v>
      </c>
      <c r="C171" s="191">
        <f>+Nomina!$L$1</f>
        <v>0</v>
      </c>
      <c r="D171" s="192"/>
      <c r="E171" s="192"/>
      <c r="F171" s="193"/>
    </row>
    <row r="172" spans="1:6" ht="3.75" customHeight="1" x14ac:dyDescent="0.2">
      <c r="B172" s="139"/>
      <c r="C172" s="139"/>
      <c r="D172" s="139"/>
      <c r="E172" s="139"/>
      <c r="F172" s="139"/>
    </row>
    <row r="173" spans="1:6" ht="18.75" customHeight="1" x14ac:dyDescent="0.2">
      <c r="B173" s="140" t="s">
        <v>151</v>
      </c>
      <c r="C173" s="141">
        <v>9</v>
      </c>
      <c r="D173" s="142"/>
      <c r="E173" s="143" t="s">
        <v>153</v>
      </c>
      <c r="F173" s="144">
        <f>+Nomina!$L$3</f>
        <v>45292</v>
      </c>
    </row>
    <row r="174" spans="1:6" ht="18.75" customHeight="1" x14ac:dyDescent="0.2">
      <c r="B174" s="138" t="s">
        <v>150</v>
      </c>
      <c r="C174" s="145" t="str">
        <f>LOOKUP(C173,Nomina!$B$7:$B$51,Nomina!$C$7:$C$51)&amp;(LOOKUP(C173,Nomina!$B$7:$B$51,Nomina!$D$7:$D$51))</f>
        <v/>
      </c>
      <c r="D174" s="142"/>
      <c r="E174" s="143" t="s">
        <v>154</v>
      </c>
      <c r="F174" s="144">
        <f>+Nomina!$N$3</f>
        <v>45306</v>
      </c>
    </row>
    <row r="175" spans="1:6" ht="18.75" customHeight="1" x14ac:dyDescent="0.2">
      <c r="B175" s="138" t="s">
        <v>143</v>
      </c>
      <c r="C175" s="146">
        <f>LOOKUP(C173,Nomina!$B$7:$B$51,Nomina!$E$7:$E$51)</f>
        <v>0</v>
      </c>
      <c r="D175" s="142"/>
      <c r="E175" s="143" t="s">
        <v>149</v>
      </c>
      <c r="F175" s="147">
        <f>LOOKUP(C173,Nomina!$B$7:$B$51,Nomina!$I$7:$I$51)</f>
        <v>0</v>
      </c>
    </row>
    <row r="176" spans="1:6" ht="6" customHeight="1" x14ac:dyDescent="0.2">
      <c r="C176" s="148"/>
      <c r="D176" s="142"/>
      <c r="E176" s="148"/>
      <c r="F176" s="148"/>
    </row>
    <row r="177" spans="1:6" ht="18.75" customHeight="1" x14ac:dyDescent="0.2">
      <c r="B177" s="194" t="s">
        <v>84</v>
      </c>
      <c r="C177" s="194"/>
      <c r="D177" s="142"/>
      <c r="E177" s="195" t="s">
        <v>85</v>
      </c>
      <c r="F177" s="195"/>
    </row>
    <row r="178" spans="1:6" ht="5.25" customHeight="1" x14ac:dyDescent="0.2"/>
    <row r="179" spans="1:6" ht="18.75" customHeight="1" x14ac:dyDescent="0.2">
      <c r="B179" s="149" t="str">
        <f>+Nomina!$L$6</f>
        <v>Dias a Pagar</v>
      </c>
      <c r="C179" s="150">
        <f>LOOKUP($C173,Nomina!$B$7:$B$51,Nomina!$L$7:$L$51)</f>
        <v>15</v>
      </c>
      <c r="D179" s="142"/>
      <c r="E179" s="151" t="s">
        <v>13</v>
      </c>
      <c r="F179" s="152">
        <f>LOOKUP(C173,Nomina!$B$7:$B$51,Nomina!$X$7:$X$51)</f>
        <v>0</v>
      </c>
    </row>
    <row r="180" spans="1:6" ht="18.75" customHeight="1" x14ac:dyDescent="0.2">
      <c r="B180" s="149" t="str">
        <f>+Nomina!$M$6</f>
        <v>Sueldo</v>
      </c>
      <c r="C180" s="152">
        <f>LOOKUP(C173,Nomina!$B$7:$B$51,Nomina!$M$7:$M$51)</f>
        <v>0</v>
      </c>
      <c r="D180" s="142"/>
      <c r="E180" s="151" t="s">
        <v>3</v>
      </c>
      <c r="F180" s="152">
        <f>LOOKUP(C173,Nomina!$B$7:$B$51,Nomina!$Y$7:$Y$51)</f>
        <v>0</v>
      </c>
    </row>
    <row r="181" spans="1:6" ht="18.75" customHeight="1" x14ac:dyDescent="0.2">
      <c r="B181" s="149" t="str">
        <f>+Nomina!$N$6</f>
        <v>Horas Extras</v>
      </c>
      <c r="C181" s="152">
        <f>LOOKUP(C173,Nomina!$B$7:$B$51,Nomina!$N$7:$N$51)</f>
        <v>0</v>
      </c>
      <c r="D181" s="142"/>
      <c r="E181" s="151" t="s">
        <v>71</v>
      </c>
      <c r="F181" s="152">
        <f>LOOKUP(C173,Nomina!$B$7:$B$51,Nomina!$Z$7:$Z$51)</f>
        <v>0</v>
      </c>
    </row>
    <row r="182" spans="1:6" ht="18.75" customHeight="1" x14ac:dyDescent="0.2">
      <c r="B182" s="149" t="str">
        <f>+Nomina!$O$6</f>
        <v>Comisiones</v>
      </c>
      <c r="C182" s="152">
        <f>LOOKUP(C173,Nomina!$B$7:$B$51,Nomina!$O$7:$O$51)</f>
        <v>0</v>
      </c>
      <c r="D182" s="142"/>
      <c r="E182" s="149" t="str">
        <f>CONCATENATE(Nomina!$K$6," - ",Nomina!$K15)</f>
        <v xml:space="preserve">Faltas - </v>
      </c>
      <c r="F182" s="152">
        <f>LOOKUP(C173,Nomina!$B$7:$B$51,Nomina!$W$7:$W$51)</f>
        <v>0</v>
      </c>
    </row>
    <row r="183" spans="1:6" ht="18.75" customHeight="1" x14ac:dyDescent="0.2">
      <c r="B183" s="149" t="str">
        <f>+Nomina!$T$6</f>
        <v>Subsidio</v>
      </c>
      <c r="C183" s="152">
        <f>LOOKUP(C173,Nomina!$B$7:$B$51,Nomina!$T$7:$T$51)</f>
        <v>0</v>
      </c>
      <c r="D183" s="142"/>
      <c r="E183" s="149"/>
      <c r="F183" s="153"/>
    </row>
    <row r="184" spans="1:6" ht="18.75" customHeight="1" x14ac:dyDescent="0.2">
      <c r="B184" s="149" t="str">
        <f>+Nomina!$Q$6</f>
        <v xml:space="preserve">Bono x Asistencia </v>
      </c>
      <c r="C184" s="152">
        <f>LOOKUP(C173,Nomina!$B$7:$B$51,Nomina!$Q$7:$Q$51)</f>
        <v>0</v>
      </c>
      <c r="D184" s="142"/>
      <c r="E184" s="149"/>
      <c r="F184" s="153"/>
    </row>
    <row r="185" spans="1:6" ht="18.75" customHeight="1" x14ac:dyDescent="0.2">
      <c r="B185" s="149" t="str">
        <f>+Nomina!$R$6</f>
        <v>Bono x Puntualidad</v>
      </c>
      <c r="C185" s="152">
        <f>LOOKUP(C173,Nomina!$B$7:$B$51,Nomina!$R$7:$R$51)</f>
        <v>0</v>
      </c>
      <c r="D185" s="142"/>
      <c r="E185" s="149"/>
      <c r="F185" s="153"/>
    </row>
    <row r="186" spans="1:6" ht="6" customHeight="1" x14ac:dyDescent="0.2">
      <c r="A186" s="148"/>
      <c r="B186" s="148"/>
      <c r="C186" s="148"/>
      <c r="D186" s="148"/>
      <c r="E186" s="148"/>
      <c r="F186" s="154"/>
    </row>
    <row r="187" spans="1:6" ht="18.75" customHeight="1" thickBot="1" x14ac:dyDescent="0.25">
      <c r="B187" s="155" t="s">
        <v>33</v>
      </c>
      <c r="C187" s="156">
        <f>(LOOKUP(C173,Nomina!$B$7:$B$51,Nomina!$P$7:$P$51)+LOOKUP(C173,Nomina!$B$7:$B$51,Nomina!$U$7:$U$51))</f>
        <v>0</v>
      </c>
      <c r="D187" s="142"/>
      <c r="E187" s="138" t="s">
        <v>72</v>
      </c>
      <c r="F187" s="152">
        <f>LOOKUP(C173,Nomina!$B$7:$B$51,Nomina!$AA$7:$AA$51)</f>
        <v>0</v>
      </c>
    </row>
    <row r="188" spans="1:6" ht="18.75" customHeight="1" thickBot="1" x14ac:dyDescent="0.25">
      <c r="B188" s="157" t="s">
        <v>90</v>
      </c>
      <c r="C188" s="158">
        <f>+C187-F187</f>
        <v>0</v>
      </c>
      <c r="D188" s="142"/>
      <c r="E188" s="159"/>
      <c r="F188" s="159"/>
    </row>
    <row r="189" spans="1:6" ht="16.5" customHeight="1" thickBot="1" x14ac:dyDescent="0.25">
      <c r="B189" s="160"/>
      <c r="C189" s="161"/>
      <c r="D189" s="162"/>
      <c r="E189" s="163"/>
      <c r="F189" s="163"/>
    </row>
    <row r="190" spans="1:6" ht="16.5" customHeight="1" x14ac:dyDescent="0.2">
      <c r="B190" s="164"/>
      <c r="C190" s="164"/>
      <c r="D190" s="142"/>
      <c r="E190" s="164"/>
      <c r="F190" s="159"/>
    </row>
    <row r="191" spans="1:6" ht="21.75" customHeight="1" x14ac:dyDescent="0.2">
      <c r="B191" s="196" t="s">
        <v>152</v>
      </c>
      <c r="C191" s="197"/>
      <c r="D191" s="197"/>
      <c r="E191" s="197"/>
      <c r="F191" s="197"/>
    </row>
    <row r="192" spans="1:6" ht="18" customHeight="1" x14ac:dyDescent="0.2">
      <c r="B192" s="138" t="s">
        <v>155</v>
      </c>
      <c r="C192" s="191">
        <f>+Nomina!$L$1</f>
        <v>0</v>
      </c>
      <c r="D192" s="192"/>
      <c r="E192" s="192"/>
      <c r="F192" s="193"/>
    </row>
    <row r="193" spans="1:6" ht="3.75" customHeight="1" x14ac:dyDescent="0.2">
      <c r="B193" s="139"/>
      <c r="C193" s="139"/>
      <c r="D193" s="139"/>
      <c r="E193" s="139"/>
      <c r="F193" s="139"/>
    </row>
    <row r="194" spans="1:6" ht="18.75" customHeight="1" x14ac:dyDescent="0.2">
      <c r="B194" s="140" t="s">
        <v>151</v>
      </c>
      <c r="C194" s="141">
        <v>10</v>
      </c>
      <c r="D194" s="142"/>
      <c r="E194" s="143" t="s">
        <v>153</v>
      </c>
      <c r="F194" s="144">
        <f>+Nomina!$L$3</f>
        <v>45292</v>
      </c>
    </row>
    <row r="195" spans="1:6" ht="18.75" customHeight="1" x14ac:dyDescent="0.2">
      <c r="B195" s="138" t="s">
        <v>150</v>
      </c>
      <c r="C195" s="145" t="str">
        <f>LOOKUP(C194,Nomina!$B$7:$B$51,Nomina!$C$7:$C$51)&amp;(LOOKUP(C194,Nomina!$B$7:$B$51,Nomina!$D$7:$D$51))</f>
        <v/>
      </c>
      <c r="D195" s="142"/>
      <c r="E195" s="143" t="s">
        <v>154</v>
      </c>
      <c r="F195" s="144">
        <f>+Nomina!$N$3</f>
        <v>45306</v>
      </c>
    </row>
    <row r="196" spans="1:6" ht="18.75" customHeight="1" x14ac:dyDescent="0.2">
      <c r="B196" s="138" t="s">
        <v>143</v>
      </c>
      <c r="C196" s="146">
        <f>LOOKUP(C194,Nomina!$B$7:$B$51,Nomina!$E$7:$E$51)</f>
        <v>0</v>
      </c>
      <c r="D196" s="142"/>
      <c r="E196" s="143" t="s">
        <v>149</v>
      </c>
      <c r="F196" s="147">
        <f>LOOKUP(C194,Nomina!$B$7:$B$51,Nomina!$I$7:$I$51)</f>
        <v>0</v>
      </c>
    </row>
    <row r="197" spans="1:6" ht="6" customHeight="1" x14ac:dyDescent="0.2">
      <c r="C197" s="148"/>
      <c r="D197" s="142"/>
      <c r="E197" s="148"/>
      <c r="F197" s="148"/>
    </row>
    <row r="198" spans="1:6" ht="18.75" customHeight="1" x14ac:dyDescent="0.2">
      <c r="B198" s="194" t="s">
        <v>84</v>
      </c>
      <c r="C198" s="194"/>
      <c r="D198" s="142"/>
      <c r="E198" s="195" t="s">
        <v>85</v>
      </c>
      <c r="F198" s="195"/>
    </row>
    <row r="199" spans="1:6" ht="5.25" customHeight="1" x14ac:dyDescent="0.2"/>
    <row r="200" spans="1:6" ht="18.75" customHeight="1" x14ac:dyDescent="0.2">
      <c r="B200" s="149" t="str">
        <f>+Nomina!$L$6</f>
        <v>Dias a Pagar</v>
      </c>
      <c r="C200" s="150">
        <f>LOOKUP($C194,Nomina!$B$7:$B$51,Nomina!$L$7:$L$51)</f>
        <v>15</v>
      </c>
      <c r="D200" s="142"/>
      <c r="E200" s="151" t="s">
        <v>13</v>
      </c>
      <c r="F200" s="152">
        <f>LOOKUP(C194,Nomina!$B$7:$B$51,Nomina!$X$7:$X$51)</f>
        <v>0</v>
      </c>
    </row>
    <row r="201" spans="1:6" ht="18.75" customHeight="1" x14ac:dyDescent="0.2">
      <c r="B201" s="149" t="str">
        <f>+Nomina!$M$6</f>
        <v>Sueldo</v>
      </c>
      <c r="C201" s="152">
        <f>LOOKUP(C194,Nomina!$B$7:$B$51,Nomina!$M$7:$M$51)</f>
        <v>0</v>
      </c>
      <c r="D201" s="142"/>
      <c r="E201" s="151" t="s">
        <v>3</v>
      </c>
      <c r="F201" s="152">
        <f>LOOKUP(C194,Nomina!$B$7:$B$51,Nomina!$Y$7:$Y$51)</f>
        <v>0</v>
      </c>
    </row>
    <row r="202" spans="1:6" ht="18.75" customHeight="1" x14ac:dyDescent="0.2">
      <c r="B202" s="149" t="str">
        <f>+Nomina!$N$6</f>
        <v>Horas Extras</v>
      </c>
      <c r="C202" s="152">
        <f>LOOKUP(C194,Nomina!$B$7:$B$51,Nomina!$N$7:$N$51)</f>
        <v>0</v>
      </c>
      <c r="D202" s="142"/>
      <c r="E202" s="151" t="s">
        <v>71</v>
      </c>
      <c r="F202" s="152">
        <f>LOOKUP(C194,Nomina!$B$7:$B$51,Nomina!$Z$7:$Z$51)</f>
        <v>0</v>
      </c>
    </row>
    <row r="203" spans="1:6" ht="18.75" customHeight="1" x14ac:dyDescent="0.2">
      <c r="B203" s="149" t="str">
        <f>+Nomina!$O$6</f>
        <v>Comisiones</v>
      </c>
      <c r="C203" s="152">
        <f>LOOKUP(C194,Nomina!$B$7:$B$51,Nomina!$O$7:$O$51)</f>
        <v>0</v>
      </c>
      <c r="D203" s="142"/>
      <c r="E203" s="149" t="str">
        <f>CONCATENATE(Nomina!$K$6," - ",Nomina!$K16)</f>
        <v xml:space="preserve">Faltas - </v>
      </c>
      <c r="F203" s="152">
        <f>LOOKUP(C194,Nomina!$B$7:$B$51,Nomina!$W$7:$W$51)</f>
        <v>0</v>
      </c>
    </row>
    <row r="204" spans="1:6" ht="18.75" customHeight="1" x14ac:dyDescent="0.2">
      <c r="B204" s="149" t="str">
        <f>+Nomina!$T$6</f>
        <v>Subsidio</v>
      </c>
      <c r="C204" s="152">
        <f>LOOKUP(C194,Nomina!$B$7:$B$51,Nomina!$T$7:$T$51)</f>
        <v>0</v>
      </c>
      <c r="D204" s="142"/>
      <c r="E204" s="149"/>
      <c r="F204" s="153"/>
    </row>
    <row r="205" spans="1:6" ht="18.75" customHeight="1" x14ac:dyDescent="0.2">
      <c r="B205" s="149" t="str">
        <f>+Nomina!$Q$6</f>
        <v xml:space="preserve">Bono x Asistencia </v>
      </c>
      <c r="C205" s="152">
        <f>LOOKUP(C194,Nomina!$B$7:$B$51,Nomina!$Q$7:$Q$51)</f>
        <v>0</v>
      </c>
      <c r="D205" s="142"/>
      <c r="E205" s="149"/>
      <c r="F205" s="153"/>
    </row>
    <row r="206" spans="1:6" ht="18.75" customHeight="1" x14ac:dyDescent="0.2">
      <c r="B206" s="149" t="str">
        <f>+Nomina!$R$6</f>
        <v>Bono x Puntualidad</v>
      </c>
      <c r="C206" s="152">
        <f>LOOKUP(C194,Nomina!$B$7:$B$51,Nomina!$R$7:$R$51)</f>
        <v>0</v>
      </c>
      <c r="D206" s="142"/>
      <c r="E206" s="149"/>
      <c r="F206" s="153"/>
    </row>
    <row r="207" spans="1:6" ht="6" customHeight="1" x14ac:dyDescent="0.2">
      <c r="A207" s="148"/>
      <c r="B207" s="148"/>
      <c r="C207" s="148"/>
      <c r="D207" s="148"/>
      <c r="E207" s="148"/>
      <c r="F207" s="154"/>
    </row>
    <row r="208" spans="1:6" ht="18.75" customHeight="1" thickBot="1" x14ac:dyDescent="0.25">
      <c r="B208" s="155" t="s">
        <v>33</v>
      </c>
      <c r="C208" s="156">
        <f>(LOOKUP(C194,Nomina!$B$7:$B$51,Nomina!$P$7:$P$51)+LOOKUP(C194,Nomina!$B$7:$B$51,Nomina!$U$7:$U$51))</f>
        <v>0</v>
      </c>
      <c r="D208" s="142"/>
      <c r="E208" s="138" t="s">
        <v>72</v>
      </c>
      <c r="F208" s="152">
        <f>LOOKUP(C194,Nomina!$B$7:$B$51,Nomina!$AA$7:$AA$51)</f>
        <v>0</v>
      </c>
    </row>
    <row r="209" spans="2:6" ht="18.75" customHeight="1" thickBot="1" x14ac:dyDescent="0.25">
      <c r="B209" s="157" t="s">
        <v>90</v>
      </c>
      <c r="C209" s="158">
        <f>+C208-F208</f>
        <v>0</v>
      </c>
      <c r="D209" s="142"/>
      <c r="E209" s="159"/>
      <c r="F209" s="159"/>
    </row>
    <row r="210" spans="2:6" ht="16.5" customHeight="1" thickBot="1" x14ac:dyDescent="0.25">
      <c r="B210" s="160"/>
      <c r="C210" s="161"/>
      <c r="D210" s="162"/>
      <c r="E210" s="163"/>
      <c r="F210" s="163"/>
    </row>
    <row r="211" spans="2:6" ht="16.5" customHeight="1" x14ac:dyDescent="0.2">
      <c r="B211" s="164"/>
      <c r="C211" s="164"/>
      <c r="D211" s="142"/>
      <c r="E211" s="164"/>
      <c r="F211" s="159"/>
    </row>
    <row r="212" spans="2:6" ht="21.75" customHeight="1" x14ac:dyDescent="0.2">
      <c r="B212" s="196" t="s">
        <v>152</v>
      </c>
      <c r="C212" s="197"/>
      <c r="D212" s="197"/>
      <c r="E212" s="197"/>
      <c r="F212" s="197"/>
    </row>
    <row r="213" spans="2:6" ht="18" customHeight="1" x14ac:dyDescent="0.2">
      <c r="B213" s="138" t="s">
        <v>155</v>
      </c>
      <c r="C213" s="191">
        <f>+Nomina!$L$1</f>
        <v>0</v>
      </c>
      <c r="D213" s="192"/>
      <c r="E213" s="192"/>
      <c r="F213" s="193"/>
    </row>
    <row r="214" spans="2:6" ht="3.75" customHeight="1" x14ac:dyDescent="0.2">
      <c r="B214" s="139"/>
      <c r="C214" s="139"/>
      <c r="D214" s="139"/>
      <c r="E214" s="139"/>
      <c r="F214" s="139"/>
    </row>
    <row r="215" spans="2:6" ht="18.75" customHeight="1" x14ac:dyDescent="0.2">
      <c r="B215" s="140" t="s">
        <v>151</v>
      </c>
      <c r="C215" s="141">
        <v>11</v>
      </c>
      <c r="D215" s="142"/>
      <c r="E215" s="143" t="s">
        <v>153</v>
      </c>
      <c r="F215" s="144">
        <f>+Nomina!$L$3</f>
        <v>45292</v>
      </c>
    </row>
    <row r="216" spans="2:6" ht="18.75" customHeight="1" x14ac:dyDescent="0.2">
      <c r="B216" s="138" t="s">
        <v>150</v>
      </c>
      <c r="C216" s="145" t="str">
        <f>LOOKUP(C215,Nomina!$B$7:$B$51,Nomina!$C$7:$C$51)&amp;(LOOKUP(C215,Nomina!$B$7:$B$51,Nomina!$D$7:$D$51))</f>
        <v/>
      </c>
      <c r="D216" s="142"/>
      <c r="E216" s="143" t="s">
        <v>154</v>
      </c>
      <c r="F216" s="144">
        <f>+Nomina!$N$3</f>
        <v>45306</v>
      </c>
    </row>
    <row r="217" spans="2:6" ht="18.75" customHeight="1" x14ac:dyDescent="0.2">
      <c r="B217" s="138" t="s">
        <v>143</v>
      </c>
      <c r="C217" s="146">
        <f>LOOKUP(C215,Nomina!$B$7:$B$51,Nomina!$E$7:$E$51)</f>
        <v>0</v>
      </c>
      <c r="D217" s="142"/>
      <c r="E217" s="143" t="s">
        <v>149</v>
      </c>
      <c r="F217" s="147">
        <f>LOOKUP(C215,Nomina!$B$7:$B$51,Nomina!$I$7:$I$51)</f>
        <v>0</v>
      </c>
    </row>
    <row r="218" spans="2:6" ht="6" customHeight="1" x14ac:dyDescent="0.2">
      <c r="C218" s="148"/>
      <c r="D218" s="142"/>
      <c r="E218" s="148"/>
      <c r="F218" s="148"/>
    </row>
    <row r="219" spans="2:6" ht="18.75" customHeight="1" x14ac:dyDescent="0.2">
      <c r="B219" s="194" t="s">
        <v>84</v>
      </c>
      <c r="C219" s="194"/>
      <c r="D219" s="142"/>
      <c r="E219" s="195" t="s">
        <v>85</v>
      </c>
      <c r="F219" s="195"/>
    </row>
    <row r="220" spans="2:6" ht="5.25" customHeight="1" x14ac:dyDescent="0.2"/>
    <row r="221" spans="2:6" ht="18.75" customHeight="1" x14ac:dyDescent="0.2">
      <c r="B221" s="149" t="str">
        <f>+Nomina!$L$6</f>
        <v>Dias a Pagar</v>
      </c>
      <c r="C221" s="150">
        <f>LOOKUP($C215,Nomina!$B$7:$B$51,Nomina!$L$7:$L$51)</f>
        <v>15</v>
      </c>
      <c r="D221" s="142"/>
      <c r="E221" s="151" t="s">
        <v>13</v>
      </c>
      <c r="F221" s="152">
        <f>LOOKUP(C215,Nomina!$B$7:$B$51,Nomina!$X$7:$X$51)</f>
        <v>0</v>
      </c>
    </row>
    <row r="222" spans="2:6" ht="18.75" customHeight="1" x14ac:dyDescent="0.2">
      <c r="B222" s="149" t="str">
        <f>+Nomina!$M$6</f>
        <v>Sueldo</v>
      </c>
      <c r="C222" s="152">
        <f>LOOKUP(C215,Nomina!$B$7:$B$51,Nomina!$M$7:$M$51)</f>
        <v>0</v>
      </c>
      <c r="D222" s="142"/>
      <c r="E222" s="151" t="s">
        <v>3</v>
      </c>
      <c r="F222" s="152">
        <f>LOOKUP(C215,Nomina!$B$7:$B$51,Nomina!$Y$7:$Y$51)</f>
        <v>0</v>
      </c>
    </row>
    <row r="223" spans="2:6" ht="18.75" customHeight="1" x14ac:dyDescent="0.2">
      <c r="B223" s="149" t="str">
        <f>+Nomina!$N$6</f>
        <v>Horas Extras</v>
      </c>
      <c r="C223" s="152">
        <f>LOOKUP(C215,Nomina!$B$7:$B$51,Nomina!$N$7:$N$51)</f>
        <v>0</v>
      </c>
      <c r="D223" s="142"/>
      <c r="E223" s="151" t="s">
        <v>71</v>
      </c>
      <c r="F223" s="152">
        <f>LOOKUP(C215,Nomina!$B$7:$B$51,Nomina!$Z$7:$Z$51)</f>
        <v>0</v>
      </c>
    </row>
    <row r="224" spans="2:6" ht="18.75" customHeight="1" x14ac:dyDescent="0.2">
      <c r="B224" s="149" t="str">
        <f>+Nomina!$O$6</f>
        <v>Comisiones</v>
      </c>
      <c r="C224" s="152">
        <f>LOOKUP(C215,Nomina!$B$7:$B$51,Nomina!$O$7:$O$51)</f>
        <v>0</v>
      </c>
      <c r="D224" s="142"/>
      <c r="E224" s="149" t="str">
        <f>CONCATENATE(Nomina!$K$6," - ",Nomina!$K17)</f>
        <v xml:space="preserve">Faltas - </v>
      </c>
      <c r="F224" s="152">
        <f>LOOKUP(C215,Nomina!$B$7:$B$51,Nomina!$W$7:$W$51)</f>
        <v>0</v>
      </c>
    </row>
    <row r="225" spans="1:6" ht="18.75" customHeight="1" x14ac:dyDescent="0.2">
      <c r="B225" s="149" t="str">
        <f>+Nomina!$T$6</f>
        <v>Subsidio</v>
      </c>
      <c r="C225" s="152">
        <f>LOOKUP(C215,Nomina!$B$7:$B$51,Nomina!$T$7:$T$51)</f>
        <v>0</v>
      </c>
      <c r="D225" s="142"/>
      <c r="E225" s="149"/>
      <c r="F225" s="153"/>
    </row>
    <row r="226" spans="1:6" ht="18.75" customHeight="1" x14ac:dyDescent="0.2">
      <c r="B226" s="149" t="str">
        <f>+Nomina!$Q$6</f>
        <v xml:space="preserve">Bono x Asistencia </v>
      </c>
      <c r="C226" s="152">
        <f>LOOKUP(C215,Nomina!$B$7:$B$51,Nomina!$Q$7:$Q$51)</f>
        <v>0</v>
      </c>
      <c r="D226" s="142"/>
      <c r="E226" s="149"/>
      <c r="F226" s="153"/>
    </row>
    <row r="227" spans="1:6" ht="18.75" customHeight="1" x14ac:dyDescent="0.2">
      <c r="B227" s="149" t="str">
        <f>+Nomina!$R$6</f>
        <v>Bono x Puntualidad</v>
      </c>
      <c r="C227" s="152">
        <f>LOOKUP(C215,Nomina!$B$7:$B$51,Nomina!$R$7:$R$51)</f>
        <v>0</v>
      </c>
      <c r="D227" s="142"/>
      <c r="E227" s="149"/>
      <c r="F227" s="153"/>
    </row>
    <row r="228" spans="1:6" ht="6" customHeight="1" x14ac:dyDescent="0.2">
      <c r="A228" s="148"/>
      <c r="B228" s="148"/>
      <c r="C228" s="148"/>
      <c r="D228" s="148"/>
      <c r="E228" s="148"/>
      <c r="F228" s="154"/>
    </row>
    <row r="229" spans="1:6" ht="18.75" customHeight="1" thickBot="1" x14ac:dyDescent="0.25">
      <c r="B229" s="155" t="s">
        <v>33</v>
      </c>
      <c r="C229" s="156">
        <f>(LOOKUP(C215,Nomina!$B$7:$B$51,Nomina!$P$7:$P$51)+LOOKUP(C215,Nomina!$B$7:$B$51,Nomina!$U$7:$U$51))</f>
        <v>0</v>
      </c>
      <c r="D229" s="142"/>
      <c r="E229" s="138" t="s">
        <v>72</v>
      </c>
      <c r="F229" s="152">
        <f>LOOKUP(C215,Nomina!$B$7:$B$51,Nomina!$AA$7:$AA$51)</f>
        <v>0</v>
      </c>
    </row>
    <row r="230" spans="1:6" ht="18.75" customHeight="1" thickBot="1" x14ac:dyDescent="0.25">
      <c r="B230" s="157" t="s">
        <v>90</v>
      </c>
      <c r="C230" s="158">
        <f>+C229-F229</f>
        <v>0</v>
      </c>
      <c r="D230" s="142"/>
      <c r="E230" s="159"/>
      <c r="F230" s="159"/>
    </row>
    <row r="231" spans="1:6" ht="16.5" customHeight="1" thickBot="1" x14ac:dyDescent="0.25">
      <c r="B231" s="160"/>
      <c r="C231" s="161"/>
      <c r="D231" s="162"/>
      <c r="E231" s="163"/>
      <c r="F231" s="163"/>
    </row>
    <row r="232" spans="1:6" ht="16.5" customHeight="1" x14ac:dyDescent="0.2">
      <c r="B232" s="164"/>
      <c r="C232" s="164"/>
      <c r="D232" s="142"/>
      <c r="E232" s="164"/>
      <c r="F232" s="159"/>
    </row>
    <row r="233" spans="1:6" ht="21.75" customHeight="1" x14ac:dyDescent="0.2">
      <c r="B233" s="196" t="s">
        <v>152</v>
      </c>
      <c r="C233" s="197"/>
      <c r="D233" s="197"/>
      <c r="E233" s="197"/>
      <c r="F233" s="197"/>
    </row>
    <row r="234" spans="1:6" ht="18" customHeight="1" x14ac:dyDescent="0.2">
      <c r="B234" s="138" t="s">
        <v>155</v>
      </c>
      <c r="C234" s="191">
        <f>+Nomina!$L$1</f>
        <v>0</v>
      </c>
      <c r="D234" s="192"/>
      <c r="E234" s="192"/>
      <c r="F234" s="193"/>
    </row>
    <row r="235" spans="1:6" ht="3.75" customHeight="1" x14ac:dyDescent="0.2">
      <c r="B235" s="139"/>
      <c r="C235" s="139"/>
      <c r="D235" s="139"/>
      <c r="E235" s="139"/>
      <c r="F235" s="139"/>
    </row>
    <row r="236" spans="1:6" ht="18.75" customHeight="1" x14ac:dyDescent="0.2">
      <c r="B236" s="140" t="s">
        <v>151</v>
      </c>
      <c r="C236" s="141">
        <v>12</v>
      </c>
      <c r="D236" s="142"/>
      <c r="E236" s="143" t="s">
        <v>153</v>
      </c>
      <c r="F236" s="144">
        <f>+Nomina!$L$3</f>
        <v>45292</v>
      </c>
    </row>
    <row r="237" spans="1:6" ht="18.75" customHeight="1" x14ac:dyDescent="0.2">
      <c r="B237" s="138" t="s">
        <v>150</v>
      </c>
      <c r="C237" s="145" t="str">
        <f>LOOKUP(C236,Nomina!$B$7:$B$51,Nomina!$C$7:$C$51)&amp;(LOOKUP(C236,Nomina!$B$7:$B$51,Nomina!$D$7:$D$51))</f>
        <v/>
      </c>
      <c r="D237" s="142"/>
      <c r="E237" s="143" t="s">
        <v>154</v>
      </c>
      <c r="F237" s="144">
        <f>+Nomina!$N$3</f>
        <v>45306</v>
      </c>
    </row>
    <row r="238" spans="1:6" ht="18.75" customHeight="1" x14ac:dyDescent="0.2">
      <c r="B238" s="138" t="s">
        <v>143</v>
      </c>
      <c r="C238" s="146">
        <f>LOOKUP(C236,Nomina!$B$7:$B$51,Nomina!$E$7:$E$51)</f>
        <v>0</v>
      </c>
      <c r="D238" s="142"/>
      <c r="E238" s="143" t="s">
        <v>149</v>
      </c>
      <c r="F238" s="147">
        <f>LOOKUP(C236,Nomina!$B$7:$B$51,Nomina!$I$7:$I$51)</f>
        <v>0</v>
      </c>
    </row>
    <row r="239" spans="1:6" ht="6" customHeight="1" x14ac:dyDescent="0.2">
      <c r="C239" s="148"/>
      <c r="D239" s="142"/>
      <c r="E239" s="148"/>
      <c r="F239" s="148"/>
    </row>
    <row r="240" spans="1:6" ht="18.75" customHeight="1" x14ac:dyDescent="0.2">
      <c r="B240" s="194" t="s">
        <v>84</v>
      </c>
      <c r="C240" s="194"/>
      <c r="D240" s="142"/>
      <c r="E240" s="195" t="s">
        <v>85</v>
      </c>
      <c r="F240" s="195"/>
    </row>
    <row r="241" spans="1:6" ht="5.25" customHeight="1" x14ac:dyDescent="0.2"/>
    <row r="242" spans="1:6" ht="18.75" customHeight="1" x14ac:dyDescent="0.2">
      <c r="B242" s="149" t="str">
        <f>+Nomina!$L$6</f>
        <v>Dias a Pagar</v>
      </c>
      <c r="C242" s="150">
        <f>LOOKUP($C236,Nomina!$B$7:$B$51,Nomina!$L$7:$L$51)</f>
        <v>15</v>
      </c>
      <c r="D242" s="142"/>
      <c r="E242" s="151" t="s">
        <v>13</v>
      </c>
      <c r="F242" s="152">
        <f>LOOKUP(C236,Nomina!$B$7:$B$51,Nomina!$X$7:$X$51)</f>
        <v>0</v>
      </c>
    </row>
    <row r="243" spans="1:6" ht="18.75" customHeight="1" x14ac:dyDescent="0.2">
      <c r="B243" s="149" t="str">
        <f>+Nomina!$M$6</f>
        <v>Sueldo</v>
      </c>
      <c r="C243" s="152">
        <f>LOOKUP(C236,Nomina!$B$7:$B$51,Nomina!$M$7:$M$51)</f>
        <v>0</v>
      </c>
      <c r="D243" s="142"/>
      <c r="E243" s="151" t="s">
        <v>3</v>
      </c>
      <c r="F243" s="152">
        <f>LOOKUP(C236,Nomina!$B$7:$B$51,Nomina!$Y$7:$Y$51)</f>
        <v>0</v>
      </c>
    </row>
    <row r="244" spans="1:6" ht="18.75" customHeight="1" x14ac:dyDescent="0.2">
      <c r="B244" s="149" t="str">
        <f>+Nomina!$N$6</f>
        <v>Horas Extras</v>
      </c>
      <c r="C244" s="152">
        <f>LOOKUP(C236,Nomina!$B$7:$B$51,Nomina!$N$7:$N$51)</f>
        <v>0</v>
      </c>
      <c r="D244" s="142"/>
      <c r="E244" s="151" t="s">
        <v>71</v>
      </c>
      <c r="F244" s="152">
        <f>LOOKUP(C236,Nomina!$B$7:$B$51,Nomina!$Z$7:$Z$51)</f>
        <v>0</v>
      </c>
    </row>
    <row r="245" spans="1:6" ht="18.75" customHeight="1" x14ac:dyDescent="0.2">
      <c r="B245" s="149" t="str">
        <f>+Nomina!$O$6</f>
        <v>Comisiones</v>
      </c>
      <c r="C245" s="152">
        <f>LOOKUP(C236,Nomina!$B$7:$B$51,Nomina!$O$7:$O$51)</f>
        <v>0</v>
      </c>
      <c r="D245" s="142"/>
      <c r="E245" s="149" t="str">
        <f>CONCATENATE(Nomina!$K$6," - ",Nomina!$K18)</f>
        <v xml:space="preserve">Faltas - </v>
      </c>
      <c r="F245" s="152">
        <f>LOOKUP(C236,Nomina!$B$7:$B$51,Nomina!$W$7:$W$51)</f>
        <v>0</v>
      </c>
    </row>
    <row r="246" spans="1:6" ht="18.75" customHeight="1" x14ac:dyDescent="0.2">
      <c r="B246" s="149" t="str">
        <f>+Nomina!$T$6</f>
        <v>Subsidio</v>
      </c>
      <c r="C246" s="152">
        <f>LOOKUP(C236,Nomina!$B$7:$B$51,Nomina!$T$7:$T$51)</f>
        <v>0</v>
      </c>
      <c r="D246" s="142"/>
      <c r="E246" s="149"/>
      <c r="F246" s="153"/>
    </row>
    <row r="247" spans="1:6" ht="18.75" customHeight="1" x14ac:dyDescent="0.2">
      <c r="B247" s="149" t="str">
        <f>+Nomina!$Q$6</f>
        <v xml:space="preserve">Bono x Asistencia </v>
      </c>
      <c r="C247" s="152">
        <f>LOOKUP(C236,Nomina!$B$7:$B$51,Nomina!$Q$7:$Q$51)</f>
        <v>0</v>
      </c>
      <c r="D247" s="142"/>
      <c r="E247" s="149"/>
      <c r="F247" s="153"/>
    </row>
    <row r="248" spans="1:6" ht="18.75" customHeight="1" x14ac:dyDescent="0.2">
      <c r="B248" s="149" t="str">
        <f>+Nomina!$R$6</f>
        <v>Bono x Puntualidad</v>
      </c>
      <c r="C248" s="152">
        <f>LOOKUP(C236,Nomina!$B$7:$B$51,Nomina!$R$7:$R$51)</f>
        <v>0</v>
      </c>
      <c r="D248" s="142"/>
      <c r="E248" s="149"/>
      <c r="F248" s="153"/>
    </row>
    <row r="249" spans="1:6" ht="6" customHeight="1" x14ac:dyDescent="0.2">
      <c r="A249" s="148"/>
      <c r="B249" s="148"/>
      <c r="C249" s="148"/>
      <c r="D249" s="148"/>
      <c r="E249" s="148"/>
      <c r="F249" s="154"/>
    </row>
    <row r="250" spans="1:6" ht="18.75" customHeight="1" thickBot="1" x14ac:dyDescent="0.25">
      <c r="B250" s="155" t="s">
        <v>33</v>
      </c>
      <c r="C250" s="156">
        <f>(LOOKUP(C236,Nomina!$B$7:$B$51,Nomina!$P$7:$P$51)+LOOKUP(C236,Nomina!$B$7:$B$51,Nomina!$U$7:$U$51))</f>
        <v>0</v>
      </c>
      <c r="D250" s="142"/>
      <c r="E250" s="138" t="s">
        <v>72</v>
      </c>
      <c r="F250" s="152">
        <f>LOOKUP(C236,Nomina!$B$7:$B$51,Nomina!$AA$7:$AA$51)</f>
        <v>0</v>
      </c>
    </row>
    <row r="251" spans="1:6" ht="18.75" customHeight="1" thickBot="1" x14ac:dyDescent="0.25">
      <c r="B251" s="157" t="s">
        <v>90</v>
      </c>
      <c r="C251" s="158">
        <f>+C250-F250</f>
        <v>0</v>
      </c>
      <c r="D251" s="142"/>
      <c r="E251" s="159"/>
      <c r="F251" s="159"/>
    </row>
    <row r="252" spans="1:6" ht="16.5" customHeight="1" thickBot="1" x14ac:dyDescent="0.25">
      <c r="B252" s="160"/>
      <c r="C252" s="161"/>
      <c r="D252" s="162"/>
      <c r="E252" s="163"/>
      <c r="F252" s="163"/>
    </row>
    <row r="253" spans="1:6" ht="16.5" customHeight="1" x14ac:dyDescent="0.2">
      <c r="B253" s="164"/>
      <c r="C253" s="164"/>
      <c r="D253" s="142"/>
      <c r="E253" s="164"/>
      <c r="F253" s="159"/>
    </row>
    <row r="254" spans="1:6" ht="21.75" customHeight="1" x14ac:dyDescent="0.2">
      <c r="B254" s="196" t="s">
        <v>152</v>
      </c>
      <c r="C254" s="197"/>
      <c r="D254" s="197"/>
      <c r="E254" s="197"/>
      <c r="F254" s="197"/>
    </row>
    <row r="255" spans="1:6" ht="18" customHeight="1" x14ac:dyDescent="0.2">
      <c r="B255" s="138" t="s">
        <v>155</v>
      </c>
      <c r="C255" s="191">
        <f>+Nomina!$L$1</f>
        <v>0</v>
      </c>
      <c r="D255" s="192"/>
      <c r="E255" s="192"/>
      <c r="F255" s="193"/>
    </row>
    <row r="256" spans="1:6" ht="3.75" customHeight="1" x14ac:dyDescent="0.2">
      <c r="B256" s="139"/>
      <c r="C256" s="139"/>
      <c r="D256" s="139"/>
      <c r="E256" s="139"/>
      <c r="F256" s="139"/>
    </row>
    <row r="257" spans="1:6" ht="18.75" customHeight="1" x14ac:dyDescent="0.2">
      <c r="B257" s="140" t="s">
        <v>151</v>
      </c>
      <c r="C257" s="141">
        <v>13</v>
      </c>
      <c r="D257" s="142"/>
      <c r="E257" s="143" t="s">
        <v>153</v>
      </c>
      <c r="F257" s="144">
        <f>+Nomina!$L$3</f>
        <v>45292</v>
      </c>
    </row>
    <row r="258" spans="1:6" ht="18.75" customHeight="1" x14ac:dyDescent="0.2">
      <c r="B258" s="138" t="s">
        <v>150</v>
      </c>
      <c r="C258" s="145" t="str">
        <f>LOOKUP(C257,Nomina!$B$7:$B$51,Nomina!$C$7:$C$51)&amp;(LOOKUP(C257,Nomina!$B$7:$B$51,Nomina!$D$7:$D$51))</f>
        <v/>
      </c>
      <c r="D258" s="142"/>
      <c r="E258" s="143" t="s">
        <v>154</v>
      </c>
      <c r="F258" s="144">
        <f>+Nomina!$N$3</f>
        <v>45306</v>
      </c>
    </row>
    <row r="259" spans="1:6" ht="18.75" customHeight="1" x14ac:dyDescent="0.2">
      <c r="B259" s="138" t="s">
        <v>143</v>
      </c>
      <c r="C259" s="146">
        <f>LOOKUP(C257,Nomina!$B$7:$B$51,Nomina!$E$7:$E$51)</f>
        <v>0</v>
      </c>
      <c r="D259" s="142"/>
      <c r="E259" s="143" t="s">
        <v>149</v>
      </c>
      <c r="F259" s="147">
        <f>LOOKUP(C257,Nomina!$B$7:$B$51,Nomina!$I$7:$I$51)</f>
        <v>0</v>
      </c>
    </row>
    <row r="260" spans="1:6" ht="6" customHeight="1" x14ac:dyDescent="0.2">
      <c r="C260" s="148"/>
      <c r="D260" s="142"/>
      <c r="E260" s="148"/>
      <c r="F260" s="148"/>
    </row>
    <row r="261" spans="1:6" ht="18.75" customHeight="1" x14ac:dyDescent="0.2">
      <c r="B261" s="194" t="s">
        <v>84</v>
      </c>
      <c r="C261" s="194"/>
      <c r="D261" s="142"/>
      <c r="E261" s="195" t="s">
        <v>85</v>
      </c>
      <c r="F261" s="195"/>
    </row>
    <row r="262" spans="1:6" ht="5.25" customHeight="1" x14ac:dyDescent="0.2"/>
    <row r="263" spans="1:6" ht="18.75" customHeight="1" x14ac:dyDescent="0.2">
      <c r="B263" s="149" t="str">
        <f>+Nomina!$L$6</f>
        <v>Dias a Pagar</v>
      </c>
      <c r="C263" s="150">
        <f>LOOKUP($C257,Nomina!$B$7:$B$51,Nomina!$L$7:$L$51)</f>
        <v>15</v>
      </c>
      <c r="D263" s="142"/>
      <c r="E263" s="151" t="s">
        <v>13</v>
      </c>
      <c r="F263" s="152">
        <f>LOOKUP(C257,Nomina!$B$7:$B$51,Nomina!$X$7:$X$51)</f>
        <v>0</v>
      </c>
    </row>
    <row r="264" spans="1:6" ht="18.75" customHeight="1" x14ac:dyDescent="0.2">
      <c r="B264" s="149" t="str">
        <f>+Nomina!$M$6</f>
        <v>Sueldo</v>
      </c>
      <c r="C264" s="152">
        <f>LOOKUP(C257,Nomina!$B$7:$B$51,Nomina!$M$7:$M$51)</f>
        <v>0</v>
      </c>
      <c r="D264" s="142"/>
      <c r="E264" s="151" t="s">
        <v>3</v>
      </c>
      <c r="F264" s="152">
        <f>LOOKUP(C257,Nomina!$B$7:$B$51,Nomina!$Y$7:$Y$51)</f>
        <v>0</v>
      </c>
    </row>
    <row r="265" spans="1:6" ht="18.75" customHeight="1" x14ac:dyDescent="0.2">
      <c r="B265" s="149" t="str">
        <f>+Nomina!$N$6</f>
        <v>Horas Extras</v>
      </c>
      <c r="C265" s="152">
        <f>LOOKUP(C257,Nomina!$B$7:$B$51,Nomina!$N$7:$N$51)</f>
        <v>0</v>
      </c>
      <c r="D265" s="142"/>
      <c r="E265" s="151" t="s">
        <v>71</v>
      </c>
      <c r="F265" s="152">
        <f>LOOKUP(C257,Nomina!$B$7:$B$51,Nomina!$Z$7:$Z$51)</f>
        <v>0</v>
      </c>
    </row>
    <row r="266" spans="1:6" ht="18.75" customHeight="1" x14ac:dyDescent="0.2">
      <c r="B266" s="149" t="str">
        <f>+Nomina!$O$6</f>
        <v>Comisiones</v>
      </c>
      <c r="C266" s="152">
        <f>LOOKUP(C257,Nomina!$B$7:$B$51,Nomina!$O$7:$O$51)</f>
        <v>0</v>
      </c>
      <c r="D266" s="142"/>
      <c r="E266" s="149" t="str">
        <f>CONCATENATE(Nomina!$K$6," - ",Nomina!$K19)</f>
        <v xml:space="preserve">Faltas - </v>
      </c>
      <c r="F266" s="152">
        <f>LOOKUP(C257,Nomina!$B$7:$B$51,Nomina!$W$7:$W$51)</f>
        <v>0</v>
      </c>
    </row>
    <row r="267" spans="1:6" ht="18.75" customHeight="1" x14ac:dyDescent="0.2">
      <c r="B267" s="149" t="str">
        <f>+Nomina!$T$6</f>
        <v>Subsidio</v>
      </c>
      <c r="C267" s="152">
        <f>LOOKUP(C257,Nomina!$B$7:$B$51,Nomina!$T$7:$T$51)</f>
        <v>0</v>
      </c>
      <c r="D267" s="142"/>
      <c r="E267" s="149"/>
      <c r="F267" s="153"/>
    </row>
    <row r="268" spans="1:6" ht="18.75" customHeight="1" x14ac:dyDescent="0.2">
      <c r="B268" s="149" t="str">
        <f>+Nomina!$Q$6</f>
        <v xml:space="preserve">Bono x Asistencia </v>
      </c>
      <c r="C268" s="152">
        <f>LOOKUP(C257,Nomina!$B$7:$B$51,Nomina!$Q$7:$Q$51)</f>
        <v>0</v>
      </c>
      <c r="D268" s="142"/>
      <c r="E268" s="149"/>
      <c r="F268" s="153"/>
    </row>
    <row r="269" spans="1:6" ht="18.75" customHeight="1" x14ac:dyDescent="0.2">
      <c r="B269" s="149" t="str">
        <f>+Nomina!$R$6</f>
        <v>Bono x Puntualidad</v>
      </c>
      <c r="C269" s="152">
        <f>LOOKUP(C257,Nomina!$B$7:$B$51,Nomina!$R$7:$R$51)</f>
        <v>0</v>
      </c>
      <c r="D269" s="142"/>
      <c r="E269" s="149"/>
      <c r="F269" s="153"/>
    </row>
    <row r="270" spans="1:6" ht="6" customHeight="1" x14ac:dyDescent="0.2">
      <c r="A270" s="148"/>
      <c r="B270" s="148"/>
      <c r="C270" s="148"/>
      <c r="D270" s="148"/>
      <c r="E270" s="148"/>
      <c r="F270" s="154"/>
    </row>
    <row r="271" spans="1:6" ht="18.75" customHeight="1" thickBot="1" x14ac:dyDescent="0.25">
      <c r="B271" s="155" t="s">
        <v>33</v>
      </c>
      <c r="C271" s="156">
        <f>(LOOKUP(C257,Nomina!$B$7:$B$51,Nomina!$P$7:$P$51)+LOOKUP(C257,Nomina!$B$7:$B$51,Nomina!$U$7:$U$51))</f>
        <v>0</v>
      </c>
      <c r="D271" s="142"/>
      <c r="E271" s="138" t="s">
        <v>72</v>
      </c>
      <c r="F271" s="152">
        <f>LOOKUP(C257,Nomina!$B$7:$B$51,Nomina!$AA$7:$AA$51)</f>
        <v>0</v>
      </c>
    </row>
    <row r="272" spans="1:6" ht="18.75" customHeight="1" thickBot="1" x14ac:dyDescent="0.25">
      <c r="B272" s="157" t="s">
        <v>90</v>
      </c>
      <c r="C272" s="158">
        <f>+C271-F271</f>
        <v>0</v>
      </c>
      <c r="D272" s="142"/>
      <c r="E272" s="159"/>
      <c r="F272" s="159"/>
    </row>
    <row r="273" spans="2:6" ht="16.5" customHeight="1" thickBot="1" x14ac:dyDescent="0.25">
      <c r="B273" s="160"/>
      <c r="C273" s="161"/>
      <c r="D273" s="162"/>
      <c r="E273" s="163"/>
      <c r="F273" s="163"/>
    </row>
    <row r="274" spans="2:6" ht="16.5" customHeight="1" x14ac:dyDescent="0.2">
      <c r="B274" s="164"/>
      <c r="C274" s="164"/>
      <c r="D274" s="142"/>
      <c r="E274" s="164"/>
      <c r="F274" s="159"/>
    </row>
    <row r="275" spans="2:6" ht="21.75" customHeight="1" x14ac:dyDescent="0.2">
      <c r="B275" s="196" t="s">
        <v>152</v>
      </c>
      <c r="C275" s="197"/>
      <c r="D275" s="197"/>
      <c r="E275" s="197"/>
      <c r="F275" s="197"/>
    </row>
    <row r="276" spans="2:6" ht="18" customHeight="1" x14ac:dyDescent="0.2">
      <c r="B276" s="138" t="s">
        <v>155</v>
      </c>
      <c r="C276" s="191">
        <f>+Nomina!$L$1</f>
        <v>0</v>
      </c>
      <c r="D276" s="192"/>
      <c r="E276" s="192"/>
      <c r="F276" s="193"/>
    </row>
    <row r="277" spans="2:6" ht="3.75" customHeight="1" x14ac:dyDescent="0.2">
      <c r="B277" s="139"/>
      <c r="C277" s="139"/>
      <c r="D277" s="139"/>
      <c r="E277" s="139"/>
      <c r="F277" s="139"/>
    </row>
    <row r="278" spans="2:6" ht="18.75" customHeight="1" x14ac:dyDescent="0.2">
      <c r="B278" s="140" t="s">
        <v>151</v>
      </c>
      <c r="C278" s="141">
        <v>14</v>
      </c>
      <c r="D278" s="142"/>
      <c r="E278" s="143" t="s">
        <v>153</v>
      </c>
      <c r="F278" s="144">
        <f>+Nomina!$L$3</f>
        <v>45292</v>
      </c>
    </row>
    <row r="279" spans="2:6" ht="18.75" customHeight="1" x14ac:dyDescent="0.2">
      <c r="B279" s="138" t="s">
        <v>150</v>
      </c>
      <c r="C279" s="145" t="str">
        <f>LOOKUP(C278,Nomina!$B$7:$B$51,Nomina!$C$7:$C$51)&amp;(LOOKUP(C278,Nomina!$B$7:$B$51,Nomina!$D$7:$D$51))</f>
        <v/>
      </c>
      <c r="D279" s="142"/>
      <c r="E279" s="143" t="s">
        <v>154</v>
      </c>
      <c r="F279" s="144">
        <f>+Nomina!$N$3</f>
        <v>45306</v>
      </c>
    </row>
    <row r="280" spans="2:6" ht="18.75" customHeight="1" x14ac:dyDescent="0.2">
      <c r="B280" s="138" t="s">
        <v>143</v>
      </c>
      <c r="C280" s="146">
        <f>LOOKUP(C278,Nomina!$B$7:$B$51,Nomina!$E$7:$E$51)</f>
        <v>0</v>
      </c>
      <c r="D280" s="142"/>
      <c r="E280" s="143" t="s">
        <v>149</v>
      </c>
      <c r="F280" s="147">
        <f>LOOKUP(C278,Nomina!$B$7:$B$51,Nomina!$I$7:$I$51)</f>
        <v>0</v>
      </c>
    </row>
    <row r="281" spans="2:6" ht="6" customHeight="1" x14ac:dyDescent="0.2">
      <c r="C281" s="148"/>
      <c r="D281" s="142"/>
      <c r="E281" s="148"/>
      <c r="F281" s="148"/>
    </row>
    <row r="282" spans="2:6" ht="18.75" customHeight="1" x14ac:dyDescent="0.2">
      <c r="B282" s="194" t="s">
        <v>84</v>
      </c>
      <c r="C282" s="194"/>
      <c r="D282" s="142"/>
      <c r="E282" s="195" t="s">
        <v>85</v>
      </c>
      <c r="F282" s="195"/>
    </row>
    <row r="283" spans="2:6" ht="5.25" customHeight="1" x14ac:dyDescent="0.2"/>
    <row r="284" spans="2:6" ht="18.75" customHeight="1" x14ac:dyDescent="0.2">
      <c r="B284" s="149" t="str">
        <f>+Nomina!$L$6</f>
        <v>Dias a Pagar</v>
      </c>
      <c r="C284" s="150">
        <f>LOOKUP($C278,Nomina!$B$7:$B$51,Nomina!$L$7:$L$51)</f>
        <v>15</v>
      </c>
      <c r="D284" s="142"/>
      <c r="E284" s="151" t="s">
        <v>13</v>
      </c>
      <c r="F284" s="152">
        <f>LOOKUP(C278,Nomina!$B$7:$B$51,Nomina!$X$7:$X$51)</f>
        <v>0</v>
      </c>
    </row>
    <row r="285" spans="2:6" ht="18.75" customHeight="1" x14ac:dyDescent="0.2">
      <c r="B285" s="149" t="str">
        <f>+Nomina!$M$6</f>
        <v>Sueldo</v>
      </c>
      <c r="C285" s="152">
        <f>LOOKUP(C278,Nomina!$B$7:$B$51,Nomina!$M$7:$M$51)</f>
        <v>0</v>
      </c>
      <c r="D285" s="142"/>
      <c r="E285" s="151" t="s">
        <v>3</v>
      </c>
      <c r="F285" s="152">
        <f>LOOKUP(C278,Nomina!$B$7:$B$51,Nomina!$Y$7:$Y$51)</f>
        <v>0</v>
      </c>
    </row>
    <row r="286" spans="2:6" ht="18.75" customHeight="1" x14ac:dyDescent="0.2">
      <c r="B286" s="149" t="str">
        <f>+Nomina!$N$6</f>
        <v>Horas Extras</v>
      </c>
      <c r="C286" s="152">
        <f>LOOKUP(C278,Nomina!$B$7:$B$51,Nomina!$N$7:$N$51)</f>
        <v>0</v>
      </c>
      <c r="D286" s="142"/>
      <c r="E286" s="151" t="s">
        <v>71</v>
      </c>
      <c r="F286" s="152">
        <f>LOOKUP(C278,Nomina!$B$7:$B$51,Nomina!$Z$7:$Z$51)</f>
        <v>0</v>
      </c>
    </row>
    <row r="287" spans="2:6" ht="18.75" customHeight="1" x14ac:dyDescent="0.2">
      <c r="B287" s="149" t="str">
        <f>+Nomina!$O$6</f>
        <v>Comisiones</v>
      </c>
      <c r="C287" s="152">
        <f>LOOKUP(C278,Nomina!$B$7:$B$51,Nomina!$O$7:$O$51)</f>
        <v>0</v>
      </c>
      <c r="D287" s="142"/>
      <c r="E287" s="149" t="str">
        <f>CONCATENATE(Nomina!$K$6," - ",Nomina!$K20)</f>
        <v xml:space="preserve">Faltas - </v>
      </c>
      <c r="F287" s="152">
        <f>LOOKUP(C278,Nomina!$B$7:$B$51,Nomina!$W$7:$W$51)</f>
        <v>0</v>
      </c>
    </row>
    <row r="288" spans="2:6" ht="18.75" customHeight="1" x14ac:dyDescent="0.2">
      <c r="B288" s="149" t="str">
        <f>+Nomina!$T$6</f>
        <v>Subsidio</v>
      </c>
      <c r="C288" s="152">
        <f>LOOKUP(C278,Nomina!$B$7:$B$51,Nomina!$T$7:$T$51)</f>
        <v>0</v>
      </c>
      <c r="D288" s="142"/>
      <c r="E288" s="149"/>
      <c r="F288" s="153"/>
    </row>
    <row r="289" spans="1:6" ht="18.75" customHeight="1" x14ac:dyDescent="0.2">
      <c r="B289" s="149" t="str">
        <f>+Nomina!$Q$6</f>
        <v xml:space="preserve">Bono x Asistencia </v>
      </c>
      <c r="C289" s="152">
        <f>LOOKUP(C278,Nomina!$B$7:$B$51,Nomina!$Q$7:$Q$51)</f>
        <v>0</v>
      </c>
      <c r="D289" s="142"/>
      <c r="E289" s="149"/>
      <c r="F289" s="153"/>
    </row>
    <row r="290" spans="1:6" ht="18.75" customHeight="1" x14ac:dyDescent="0.2">
      <c r="B290" s="149" t="str">
        <f>+Nomina!$R$6</f>
        <v>Bono x Puntualidad</v>
      </c>
      <c r="C290" s="152">
        <f>LOOKUP(C278,Nomina!$B$7:$B$51,Nomina!$R$7:$R$51)</f>
        <v>0</v>
      </c>
      <c r="D290" s="142"/>
      <c r="E290" s="149"/>
      <c r="F290" s="153"/>
    </row>
    <row r="291" spans="1:6" ht="6" customHeight="1" x14ac:dyDescent="0.2">
      <c r="A291" s="148"/>
      <c r="B291" s="148"/>
      <c r="C291" s="148"/>
      <c r="D291" s="148"/>
      <c r="E291" s="148"/>
      <c r="F291" s="154"/>
    </row>
    <row r="292" spans="1:6" ht="18.75" customHeight="1" thickBot="1" x14ac:dyDescent="0.25">
      <c r="B292" s="155" t="s">
        <v>33</v>
      </c>
      <c r="C292" s="156">
        <f>(LOOKUP(C278,Nomina!$B$7:$B$51,Nomina!$P$7:$P$51)+LOOKUP(C278,Nomina!$B$7:$B$51,Nomina!$U$7:$U$51))</f>
        <v>0</v>
      </c>
      <c r="D292" s="142"/>
      <c r="E292" s="138" t="s">
        <v>72</v>
      </c>
      <c r="F292" s="152">
        <f>LOOKUP(C278,Nomina!$B$7:$B$51,Nomina!$AA$7:$AA$51)</f>
        <v>0</v>
      </c>
    </row>
    <row r="293" spans="1:6" ht="18.75" customHeight="1" thickBot="1" x14ac:dyDescent="0.25">
      <c r="B293" s="157" t="s">
        <v>90</v>
      </c>
      <c r="C293" s="158">
        <f>+C292-F292</f>
        <v>0</v>
      </c>
      <c r="D293" s="142"/>
      <c r="E293" s="159"/>
      <c r="F293" s="159"/>
    </row>
    <row r="294" spans="1:6" ht="16.5" customHeight="1" thickBot="1" x14ac:dyDescent="0.25">
      <c r="B294" s="160"/>
      <c r="C294" s="161"/>
      <c r="D294" s="162"/>
      <c r="E294" s="163"/>
      <c r="F294" s="163"/>
    </row>
    <row r="295" spans="1:6" ht="16.5" customHeight="1" x14ac:dyDescent="0.2">
      <c r="B295" s="164"/>
      <c r="C295" s="164"/>
      <c r="D295" s="142"/>
      <c r="E295" s="164"/>
      <c r="F295" s="159"/>
    </row>
    <row r="296" spans="1:6" ht="21.75" customHeight="1" x14ac:dyDescent="0.2">
      <c r="B296" s="196" t="s">
        <v>152</v>
      </c>
      <c r="C296" s="197"/>
      <c r="D296" s="197"/>
      <c r="E296" s="197"/>
      <c r="F296" s="197"/>
    </row>
    <row r="297" spans="1:6" ht="18" customHeight="1" x14ac:dyDescent="0.2">
      <c r="B297" s="138" t="s">
        <v>155</v>
      </c>
      <c r="C297" s="191">
        <f>+Nomina!$L$1</f>
        <v>0</v>
      </c>
      <c r="D297" s="192"/>
      <c r="E297" s="192"/>
      <c r="F297" s="193"/>
    </row>
    <row r="298" spans="1:6" ht="3.75" customHeight="1" x14ac:dyDescent="0.2">
      <c r="B298" s="139"/>
      <c r="C298" s="139"/>
      <c r="D298" s="139"/>
      <c r="E298" s="139"/>
      <c r="F298" s="139"/>
    </row>
    <row r="299" spans="1:6" ht="18.75" customHeight="1" x14ac:dyDescent="0.2">
      <c r="B299" s="140" t="s">
        <v>151</v>
      </c>
      <c r="C299" s="141">
        <v>15</v>
      </c>
      <c r="D299" s="142"/>
      <c r="E299" s="143" t="s">
        <v>153</v>
      </c>
      <c r="F299" s="144">
        <f>+Nomina!$L$3</f>
        <v>45292</v>
      </c>
    </row>
    <row r="300" spans="1:6" ht="18.75" customHeight="1" x14ac:dyDescent="0.2">
      <c r="B300" s="138" t="s">
        <v>150</v>
      </c>
      <c r="C300" s="145" t="str">
        <f>LOOKUP(C299,Nomina!$B$7:$B$51,Nomina!$C$7:$C$51)&amp;(LOOKUP(C299,Nomina!$B$7:$B$51,Nomina!$D$7:$D$51))</f>
        <v/>
      </c>
      <c r="D300" s="142"/>
      <c r="E300" s="143" t="s">
        <v>154</v>
      </c>
      <c r="F300" s="144">
        <f>+Nomina!$N$3</f>
        <v>45306</v>
      </c>
    </row>
    <row r="301" spans="1:6" ht="18.75" customHeight="1" x14ac:dyDescent="0.2">
      <c r="B301" s="138" t="s">
        <v>143</v>
      </c>
      <c r="C301" s="146">
        <f>LOOKUP(C299,Nomina!$B$7:$B$51,Nomina!$E$7:$E$51)</f>
        <v>0</v>
      </c>
      <c r="D301" s="142"/>
      <c r="E301" s="143" t="s">
        <v>149</v>
      </c>
      <c r="F301" s="147">
        <f>LOOKUP(C299,Nomina!$B$7:$B$51,Nomina!$I$7:$I$51)</f>
        <v>0</v>
      </c>
    </row>
    <row r="302" spans="1:6" ht="6" customHeight="1" x14ac:dyDescent="0.2">
      <c r="C302" s="148"/>
      <c r="D302" s="142"/>
      <c r="E302" s="148"/>
      <c r="F302" s="148"/>
    </row>
    <row r="303" spans="1:6" ht="18.75" customHeight="1" x14ac:dyDescent="0.2">
      <c r="B303" s="194" t="s">
        <v>84</v>
      </c>
      <c r="C303" s="194"/>
      <c r="D303" s="142"/>
      <c r="E303" s="195" t="s">
        <v>85</v>
      </c>
      <c r="F303" s="195"/>
    </row>
    <row r="304" spans="1:6" ht="5.25" customHeight="1" x14ac:dyDescent="0.2"/>
    <row r="305" spans="1:6" ht="18.75" customHeight="1" x14ac:dyDescent="0.2">
      <c r="B305" s="149" t="str">
        <f>+Nomina!$L$6</f>
        <v>Dias a Pagar</v>
      </c>
      <c r="C305" s="150">
        <f>LOOKUP($C299,Nomina!$B$7:$B$51,Nomina!$L$7:$L$51)</f>
        <v>15</v>
      </c>
      <c r="D305" s="142"/>
      <c r="E305" s="151" t="s">
        <v>13</v>
      </c>
      <c r="F305" s="152">
        <f>LOOKUP(C299,Nomina!$B$7:$B$51,Nomina!$X$7:$X$51)</f>
        <v>0</v>
      </c>
    </row>
    <row r="306" spans="1:6" ht="18.75" customHeight="1" x14ac:dyDescent="0.2">
      <c r="B306" s="149" t="str">
        <f>+Nomina!$M$6</f>
        <v>Sueldo</v>
      </c>
      <c r="C306" s="152">
        <f>LOOKUP(C299,Nomina!$B$7:$B$51,Nomina!$M$7:$M$51)</f>
        <v>0</v>
      </c>
      <c r="D306" s="142"/>
      <c r="E306" s="151" t="s">
        <v>3</v>
      </c>
      <c r="F306" s="152">
        <f>LOOKUP(C299,Nomina!$B$7:$B$51,Nomina!$Y$7:$Y$51)</f>
        <v>0</v>
      </c>
    </row>
    <row r="307" spans="1:6" ht="18.75" customHeight="1" x14ac:dyDescent="0.2">
      <c r="B307" s="149" t="str">
        <f>+Nomina!$N$6</f>
        <v>Horas Extras</v>
      </c>
      <c r="C307" s="152">
        <f>LOOKUP(C299,Nomina!$B$7:$B$51,Nomina!$N$7:$N$51)</f>
        <v>0</v>
      </c>
      <c r="D307" s="142"/>
      <c r="E307" s="151" t="s">
        <v>71</v>
      </c>
      <c r="F307" s="152">
        <f>LOOKUP(C299,Nomina!$B$7:$B$51,Nomina!$Z$7:$Z$51)</f>
        <v>0</v>
      </c>
    </row>
    <row r="308" spans="1:6" ht="18.75" customHeight="1" x14ac:dyDescent="0.2">
      <c r="B308" s="149" t="str">
        <f>+Nomina!$O$6</f>
        <v>Comisiones</v>
      </c>
      <c r="C308" s="152">
        <f>LOOKUP(C299,Nomina!$B$7:$B$51,Nomina!$O$7:$O$51)</f>
        <v>0</v>
      </c>
      <c r="D308" s="142"/>
      <c r="E308" s="149" t="str">
        <f>CONCATENATE(Nomina!$K$6," - ",Nomina!$K21)</f>
        <v xml:space="preserve">Faltas - </v>
      </c>
      <c r="F308" s="152">
        <f>LOOKUP(C299,Nomina!$B$7:$B$51,Nomina!$W$7:$W$51)</f>
        <v>0</v>
      </c>
    </row>
    <row r="309" spans="1:6" ht="18.75" customHeight="1" x14ac:dyDescent="0.2">
      <c r="B309" s="149" t="str">
        <f>+Nomina!$T$6</f>
        <v>Subsidio</v>
      </c>
      <c r="C309" s="152">
        <f>LOOKUP(C299,Nomina!$B$7:$B$51,Nomina!$T$7:$T$51)</f>
        <v>0</v>
      </c>
      <c r="D309" s="142"/>
      <c r="E309" s="149"/>
      <c r="F309" s="153"/>
    </row>
    <row r="310" spans="1:6" ht="18.75" customHeight="1" x14ac:dyDescent="0.2">
      <c r="B310" s="149" t="str">
        <f>+Nomina!$Q$6</f>
        <v xml:space="preserve">Bono x Asistencia </v>
      </c>
      <c r="C310" s="152">
        <f>LOOKUP(C299,Nomina!$B$7:$B$51,Nomina!$Q$7:$Q$51)</f>
        <v>0</v>
      </c>
      <c r="D310" s="142"/>
      <c r="E310" s="149"/>
      <c r="F310" s="153"/>
    </row>
    <row r="311" spans="1:6" ht="18.75" customHeight="1" x14ac:dyDescent="0.2">
      <c r="B311" s="149" t="str">
        <f>+Nomina!$R$6</f>
        <v>Bono x Puntualidad</v>
      </c>
      <c r="C311" s="152">
        <f>LOOKUP(C299,Nomina!$B$7:$B$51,Nomina!$R$7:$R$51)</f>
        <v>0</v>
      </c>
      <c r="D311" s="142"/>
      <c r="E311" s="149"/>
      <c r="F311" s="153"/>
    </row>
    <row r="312" spans="1:6" ht="6" customHeight="1" x14ac:dyDescent="0.2">
      <c r="A312" s="148"/>
      <c r="B312" s="148"/>
      <c r="C312" s="148"/>
      <c r="D312" s="148"/>
      <c r="E312" s="148"/>
      <c r="F312" s="154"/>
    </row>
    <row r="313" spans="1:6" ht="18.75" customHeight="1" thickBot="1" x14ac:dyDescent="0.25">
      <c r="B313" s="155" t="s">
        <v>33</v>
      </c>
      <c r="C313" s="156">
        <f>(LOOKUP(C299,Nomina!$B$7:$B$51,Nomina!$P$7:$P$51)+LOOKUP(C299,Nomina!$B$7:$B$51,Nomina!$U$7:$U$51))</f>
        <v>0</v>
      </c>
      <c r="D313" s="142"/>
      <c r="E313" s="138" t="s">
        <v>72</v>
      </c>
      <c r="F313" s="152">
        <f>LOOKUP(C299,Nomina!$B$7:$B$51,Nomina!$AA$7:$AA$51)</f>
        <v>0</v>
      </c>
    </row>
    <row r="314" spans="1:6" ht="18.75" customHeight="1" thickBot="1" x14ac:dyDescent="0.25">
      <c r="B314" s="157" t="s">
        <v>90</v>
      </c>
      <c r="C314" s="158">
        <f>+C313-F313</f>
        <v>0</v>
      </c>
      <c r="D314" s="142"/>
      <c r="E314" s="159"/>
      <c r="F314" s="159"/>
    </row>
    <row r="315" spans="1:6" ht="16.5" customHeight="1" thickBot="1" x14ac:dyDescent="0.25">
      <c r="B315" s="160"/>
      <c r="C315" s="161"/>
      <c r="D315" s="162"/>
      <c r="E315" s="163"/>
      <c r="F315" s="163"/>
    </row>
    <row r="316" spans="1:6" ht="16.5" customHeight="1" x14ac:dyDescent="0.2">
      <c r="B316" s="164"/>
      <c r="C316" s="164"/>
      <c r="D316" s="142"/>
      <c r="E316" s="164"/>
      <c r="F316" s="159"/>
    </row>
    <row r="317" spans="1:6" ht="21.75" customHeight="1" x14ac:dyDescent="0.2">
      <c r="B317" s="196" t="s">
        <v>152</v>
      </c>
      <c r="C317" s="197"/>
      <c r="D317" s="197"/>
      <c r="E317" s="197"/>
      <c r="F317" s="197"/>
    </row>
    <row r="318" spans="1:6" ht="18" customHeight="1" x14ac:dyDescent="0.2">
      <c r="B318" s="138" t="s">
        <v>155</v>
      </c>
      <c r="C318" s="191">
        <f>+Nomina!$L$1</f>
        <v>0</v>
      </c>
      <c r="D318" s="192"/>
      <c r="E318" s="192"/>
      <c r="F318" s="193"/>
    </row>
    <row r="319" spans="1:6" ht="3.75" customHeight="1" x14ac:dyDescent="0.2">
      <c r="B319" s="139"/>
      <c r="C319" s="139"/>
      <c r="D319" s="139"/>
      <c r="E319" s="139"/>
      <c r="F319" s="139"/>
    </row>
    <row r="320" spans="1:6" ht="18.75" customHeight="1" x14ac:dyDescent="0.2">
      <c r="B320" s="140" t="s">
        <v>151</v>
      </c>
      <c r="C320" s="141">
        <v>16</v>
      </c>
      <c r="D320" s="142"/>
      <c r="E320" s="143" t="s">
        <v>153</v>
      </c>
      <c r="F320" s="144">
        <f>+Nomina!$L$3</f>
        <v>45292</v>
      </c>
    </row>
    <row r="321" spans="1:6" ht="18.75" customHeight="1" x14ac:dyDescent="0.2">
      <c r="B321" s="138" t="s">
        <v>150</v>
      </c>
      <c r="C321" s="145" t="str">
        <f>LOOKUP(C320,Nomina!$B$7:$B$51,Nomina!$C$7:$C$51)&amp;(LOOKUP(C320,Nomina!$B$7:$B$51,Nomina!$D$7:$D$51))</f>
        <v/>
      </c>
      <c r="D321" s="142"/>
      <c r="E321" s="143" t="s">
        <v>154</v>
      </c>
      <c r="F321" s="144">
        <f>+Nomina!$N$3</f>
        <v>45306</v>
      </c>
    </row>
    <row r="322" spans="1:6" ht="18.75" customHeight="1" x14ac:dyDescent="0.2">
      <c r="B322" s="138" t="s">
        <v>143</v>
      </c>
      <c r="C322" s="146">
        <f>LOOKUP(C320,Nomina!$B$7:$B$51,Nomina!$E$7:$E$51)</f>
        <v>0</v>
      </c>
      <c r="D322" s="142"/>
      <c r="E322" s="143" t="s">
        <v>149</v>
      </c>
      <c r="F322" s="147">
        <f>LOOKUP(C320,Nomina!$B$7:$B$51,Nomina!$I$7:$I$51)</f>
        <v>0</v>
      </c>
    </row>
    <row r="323" spans="1:6" ht="6" customHeight="1" x14ac:dyDescent="0.2">
      <c r="C323" s="148"/>
      <c r="D323" s="142"/>
      <c r="E323" s="148"/>
      <c r="F323" s="148"/>
    </row>
    <row r="324" spans="1:6" ht="18.75" customHeight="1" x14ac:dyDescent="0.2">
      <c r="B324" s="194" t="s">
        <v>84</v>
      </c>
      <c r="C324" s="194"/>
      <c r="D324" s="142"/>
      <c r="E324" s="195" t="s">
        <v>85</v>
      </c>
      <c r="F324" s="195"/>
    </row>
    <row r="325" spans="1:6" ht="5.25" customHeight="1" x14ac:dyDescent="0.2"/>
    <row r="326" spans="1:6" ht="18.75" customHeight="1" x14ac:dyDescent="0.2">
      <c r="B326" s="149" t="str">
        <f>+Nomina!$L$6</f>
        <v>Dias a Pagar</v>
      </c>
      <c r="C326" s="150">
        <f>LOOKUP($C320,Nomina!$B$7:$B$51,Nomina!$L$7:$L$51)</f>
        <v>15</v>
      </c>
      <c r="D326" s="142"/>
      <c r="E326" s="151" t="s">
        <v>13</v>
      </c>
      <c r="F326" s="152">
        <f>LOOKUP(C320,Nomina!$B$7:$B$51,Nomina!$X$7:$X$51)</f>
        <v>0</v>
      </c>
    </row>
    <row r="327" spans="1:6" ht="18.75" customHeight="1" x14ac:dyDescent="0.2">
      <c r="B327" s="149" t="str">
        <f>+Nomina!$M$6</f>
        <v>Sueldo</v>
      </c>
      <c r="C327" s="152">
        <f>LOOKUP(C320,Nomina!$B$7:$B$51,Nomina!$M$7:$M$51)</f>
        <v>0</v>
      </c>
      <c r="D327" s="142"/>
      <c r="E327" s="151" t="s">
        <v>3</v>
      </c>
      <c r="F327" s="152">
        <f>LOOKUP(C320,Nomina!$B$7:$B$51,Nomina!$Y$7:$Y$51)</f>
        <v>0</v>
      </c>
    </row>
    <row r="328" spans="1:6" ht="18.75" customHeight="1" x14ac:dyDescent="0.2">
      <c r="B328" s="149" t="str">
        <f>+Nomina!$N$6</f>
        <v>Horas Extras</v>
      </c>
      <c r="C328" s="152">
        <f>LOOKUP(C320,Nomina!$B$7:$B$51,Nomina!$N$7:$N$51)</f>
        <v>0</v>
      </c>
      <c r="D328" s="142"/>
      <c r="E328" s="151" t="s">
        <v>71</v>
      </c>
      <c r="F328" s="152">
        <f>LOOKUP(C320,Nomina!$B$7:$B$51,Nomina!$Z$7:$Z$51)</f>
        <v>0</v>
      </c>
    </row>
    <row r="329" spans="1:6" ht="18.75" customHeight="1" x14ac:dyDescent="0.2">
      <c r="B329" s="149" t="str">
        <f>+Nomina!$O$6</f>
        <v>Comisiones</v>
      </c>
      <c r="C329" s="152">
        <f>LOOKUP(C320,Nomina!$B$7:$B$51,Nomina!$O$7:$O$51)</f>
        <v>0</v>
      </c>
      <c r="D329" s="142"/>
      <c r="E329" s="149" t="str">
        <f>CONCATENATE(Nomina!$K$6," - ",Nomina!$K22)</f>
        <v xml:space="preserve">Faltas - </v>
      </c>
      <c r="F329" s="152">
        <f>LOOKUP(C320,Nomina!$B$7:$B$51,Nomina!$W$7:$W$51)</f>
        <v>0</v>
      </c>
    </row>
    <row r="330" spans="1:6" ht="18.75" customHeight="1" x14ac:dyDescent="0.2">
      <c r="B330" s="149" t="str">
        <f>+Nomina!$T$6</f>
        <v>Subsidio</v>
      </c>
      <c r="C330" s="152">
        <f>LOOKUP(C320,Nomina!$B$7:$B$51,Nomina!$T$7:$T$51)</f>
        <v>0</v>
      </c>
      <c r="D330" s="142"/>
      <c r="E330" s="149"/>
      <c r="F330" s="153"/>
    </row>
    <row r="331" spans="1:6" ht="18.75" customHeight="1" x14ac:dyDescent="0.2">
      <c r="B331" s="149" t="str">
        <f>+Nomina!$Q$6</f>
        <v xml:space="preserve">Bono x Asistencia </v>
      </c>
      <c r="C331" s="152">
        <f>LOOKUP(C320,Nomina!$B$7:$B$51,Nomina!$Q$7:$Q$51)</f>
        <v>0</v>
      </c>
      <c r="D331" s="142"/>
      <c r="E331" s="149"/>
      <c r="F331" s="153"/>
    </row>
    <row r="332" spans="1:6" ht="18.75" customHeight="1" x14ac:dyDescent="0.2">
      <c r="B332" s="149" t="str">
        <f>+Nomina!$R$6</f>
        <v>Bono x Puntualidad</v>
      </c>
      <c r="C332" s="152">
        <f>LOOKUP(C320,Nomina!$B$7:$B$51,Nomina!$R$7:$R$51)</f>
        <v>0</v>
      </c>
      <c r="D332" s="142"/>
      <c r="E332" s="149"/>
      <c r="F332" s="153"/>
    </row>
    <row r="333" spans="1:6" ht="6" customHeight="1" x14ac:dyDescent="0.2">
      <c r="A333" s="148"/>
      <c r="B333" s="148"/>
      <c r="C333" s="148"/>
      <c r="D333" s="148"/>
      <c r="E333" s="148"/>
      <c r="F333" s="154"/>
    </row>
    <row r="334" spans="1:6" ht="18.75" customHeight="1" thickBot="1" x14ac:dyDescent="0.25">
      <c r="B334" s="155" t="s">
        <v>33</v>
      </c>
      <c r="C334" s="156">
        <f>(LOOKUP(C320,Nomina!$B$7:$B$51,Nomina!$P$7:$P$51)+LOOKUP(C320,Nomina!$B$7:$B$51,Nomina!$U$7:$U$51))</f>
        <v>0</v>
      </c>
      <c r="D334" s="142"/>
      <c r="E334" s="138" t="s">
        <v>72</v>
      </c>
      <c r="F334" s="152">
        <f>LOOKUP(C320,Nomina!$B$7:$B$51,Nomina!$AA$7:$AA$51)</f>
        <v>0</v>
      </c>
    </row>
    <row r="335" spans="1:6" ht="18.75" customHeight="1" thickBot="1" x14ac:dyDescent="0.25">
      <c r="B335" s="157" t="s">
        <v>90</v>
      </c>
      <c r="C335" s="158">
        <f>+C334-F334</f>
        <v>0</v>
      </c>
      <c r="D335" s="142"/>
      <c r="E335" s="159"/>
      <c r="F335" s="159"/>
    </row>
    <row r="336" spans="1:6" ht="16.5" customHeight="1" thickBot="1" x14ac:dyDescent="0.25">
      <c r="B336" s="160"/>
      <c r="C336" s="161"/>
      <c r="D336" s="162"/>
      <c r="E336" s="163"/>
      <c r="F336" s="163"/>
    </row>
    <row r="337" spans="2:6" ht="16.5" customHeight="1" x14ac:dyDescent="0.2">
      <c r="B337" s="164"/>
      <c r="C337" s="164"/>
      <c r="D337" s="142"/>
      <c r="E337" s="164"/>
      <c r="F337" s="159"/>
    </row>
    <row r="338" spans="2:6" ht="21.75" customHeight="1" x14ac:dyDescent="0.2">
      <c r="B338" s="196" t="s">
        <v>152</v>
      </c>
      <c r="C338" s="197"/>
      <c r="D338" s="197"/>
      <c r="E338" s="197"/>
      <c r="F338" s="197"/>
    </row>
    <row r="339" spans="2:6" ht="18" customHeight="1" x14ac:dyDescent="0.2">
      <c r="B339" s="138" t="s">
        <v>155</v>
      </c>
      <c r="C339" s="191">
        <f>+Nomina!$L$1</f>
        <v>0</v>
      </c>
      <c r="D339" s="192"/>
      <c r="E339" s="192"/>
      <c r="F339" s="193"/>
    </row>
    <row r="340" spans="2:6" ht="3.75" customHeight="1" x14ac:dyDescent="0.2">
      <c r="B340" s="139"/>
      <c r="C340" s="139"/>
      <c r="D340" s="139"/>
      <c r="E340" s="139"/>
      <c r="F340" s="139"/>
    </row>
    <row r="341" spans="2:6" ht="18.75" customHeight="1" x14ac:dyDescent="0.2">
      <c r="B341" s="140" t="s">
        <v>151</v>
      </c>
      <c r="C341" s="141">
        <v>17</v>
      </c>
      <c r="D341" s="142"/>
      <c r="E341" s="143" t="s">
        <v>153</v>
      </c>
      <c r="F341" s="144">
        <f>+Nomina!$L$3</f>
        <v>45292</v>
      </c>
    </row>
    <row r="342" spans="2:6" ht="18.75" customHeight="1" x14ac:dyDescent="0.2">
      <c r="B342" s="138" t="s">
        <v>150</v>
      </c>
      <c r="C342" s="145" t="str">
        <f>LOOKUP(C341,Nomina!$B$7:$B$51,Nomina!$C$7:$C$51)&amp;(LOOKUP(C341,Nomina!$B$7:$B$51,Nomina!$D$7:$D$51))</f>
        <v/>
      </c>
      <c r="D342" s="142"/>
      <c r="E342" s="143" t="s">
        <v>154</v>
      </c>
      <c r="F342" s="144">
        <f>+Nomina!$N$3</f>
        <v>45306</v>
      </c>
    </row>
    <row r="343" spans="2:6" ht="18.75" customHeight="1" x14ac:dyDescent="0.2">
      <c r="B343" s="138" t="s">
        <v>143</v>
      </c>
      <c r="C343" s="146">
        <f>LOOKUP(C341,Nomina!$B$7:$B$51,Nomina!$E$7:$E$51)</f>
        <v>0</v>
      </c>
      <c r="D343" s="142"/>
      <c r="E343" s="143" t="s">
        <v>149</v>
      </c>
      <c r="F343" s="147">
        <f>LOOKUP(C341,Nomina!$B$7:$B$51,Nomina!$I$7:$I$51)</f>
        <v>0</v>
      </c>
    </row>
    <row r="344" spans="2:6" ht="6" customHeight="1" x14ac:dyDescent="0.2">
      <c r="C344" s="148"/>
      <c r="D344" s="142"/>
      <c r="E344" s="148"/>
      <c r="F344" s="148"/>
    </row>
    <row r="345" spans="2:6" ht="18.75" customHeight="1" x14ac:dyDescent="0.2">
      <c r="B345" s="194" t="s">
        <v>84</v>
      </c>
      <c r="C345" s="194"/>
      <c r="D345" s="142"/>
      <c r="E345" s="195" t="s">
        <v>85</v>
      </c>
      <c r="F345" s="195"/>
    </row>
    <row r="346" spans="2:6" ht="5.25" customHeight="1" x14ac:dyDescent="0.2"/>
    <row r="347" spans="2:6" ht="18.75" customHeight="1" x14ac:dyDescent="0.2">
      <c r="B347" s="149" t="str">
        <f>+Nomina!$L$6</f>
        <v>Dias a Pagar</v>
      </c>
      <c r="C347" s="150">
        <f>LOOKUP($C341,Nomina!$B$7:$B$51,Nomina!$L$7:$L$51)</f>
        <v>15</v>
      </c>
      <c r="D347" s="142"/>
      <c r="E347" s="151" t="s">
        <v>13</v>
      </c>
      <c r="F347" s="152">
        <f>LOOKUP(C341,Nomina!$B$7:$B$51,Nomina!$X$7:$X$51)</f>
        <v>0</v>
      </c>
    </row>
    <row r="348" spans="2:6" ht="18.75" customHeight="1" x14ac:dyDescent="0.2">
      <c r="B348" s="149" t="str">
        <f>+Nomina!$M$6</f>
        <v>Sueldo</v>
      </c>
      <c r="C348" s="152">
        <f>LOOKUP(C341,Nomina!$B$7:$B$51,Nomina!$M$7:$M$51)</f>
        <v>0</v>
      </c>
      <c r="D348" s="142"/>
      <c r="E348" s="151" t="s">
        <v>3</v>
      </c>
      <c r="F348" s="152">
        <f>LOOKUP(C341,Nomina!$B$7:$B$51,Nomina!$Y$7:$Y$51)</f>
        <v>0</v>
      </c>
    </row>
    <row r="349" spans="2:6" ht="18.75" customHeight="1" x14ac:dyDescent="0.2">
      <c r="B349" s="149" t="str">
        <f>+Nomina!$N$6</f>
        <v>Horas Extras</v>
      </c>
      <c r="C349" s="152">
        <f>LOOKUP(C341,Nomina!$B$7:$B$51,Nomina!$N$7:$N$51)</f>
        <v>0</v>
      </c>
      <c r="D349" s="142"/>
      <c r="E349" s="151" t="s">
        <v>71</v>
      </c>
      <c r="F349" s="152">
        <f>LOOKUP(C341,Nomina!$B$7:$B$51,Nomina!$Z$7:$Z$51)</f>
        <v>0</v>
      </c>
    </row>
    <row r="350" spans="2:6" ht="18.75" customHeight="1" x14ac:dyDescent="0.2">
      <c r="B350" s="149" t="str">
        <f>+Nomina!$O$6</f>
        <v>Comisiones</v>
      </c>
      <c r="C350" s="152">
        <f>LOOKUP(C341,Nomina!$B$7:$B$51,Nomina!$O$7:$O$51)</f>
        <v>0</v>
      </c>
      <c r="D350" s="142"/>
      <c r="E350" s="149" t="str">
        <f>CONCATENATE(Nomina!$K$6," - ",Nomina!$K23)</f>
        <v xml:space="preserve">Faltas - </v>
      </c>
      <c r="F350" s="152">
        <f>LOOKUP(C341,Nomina!$B$7:$B$51,Nomina!$W$7:$W$51)</f>
        <v>0</v>
      </c>
    </row>
    <row r="351" spans="2:6" ht="18.75" customHeight="1" x14ac:dyDescent="0.2">
      <c r="B351" s="149" t="str">
        <f>+Nomina!$T$6</f>
        <v>Subsidio</v>
      </c>
      <c r="C351" s="152">
        <f>LOOKUP(C341,Nomina!$B$7:$B$51,Nomina!$T$7:$T$51)</f>
        <v>0</v>
      </c>
      <c r="D351" s="142"/>
      <c r="E351" s="149"/>
      <c r="F351" s="153"/>
    </row>
    <row r="352" spans="2:6" ht="18.75" customHeight="1" x14ac:dyDescent="0.2">
      <c r="B352" s="149" t="str">
        <f>+Nomina!$Q$6</f>
        <v xml:space="preserve">Bono x Asistencia </v>
      </c>
      <c r="C352" s="152">
        <f>LOOKUP(C341,Nomina!$B$7:$B$51,Nomina!$Q$7:$Q$51)</f>
        <v>0</v>
      </c>
      <c r="D352" s="142"/>
      <c r="E352" s="149"/>
      <c r="F352" s="153"/>
    </row>
    <row r="353" spans="1:6" ht="18.75" customHeight="1" x14ac:dyDescent="0.2">
      <c r="B353" s="149" t="str">
        <f>+Nomina!$R$6</f>
        <v>Bono x Puntualidad</v>
      </c>
      <c r="C353" s="152">
        <f>LOOKUP(C341,Nomina!$B$7:$B$51,Nomina!$R$7:$R$51)</f>
        <v>0</v>
      </c>
      <c r="D353" s="142"/>
      <c r="E353" s="149"/>
      <c r="F353" s="153"/>
    </row>
    <row r="354" spans="1:6" ht="6" customHeight="1" x14ac:dyDescent="0.2">
      <c r="A354" s="148"/>
      <c r="B354" s="148"/>
      <c r="C354" s="148"/>
      <c r="D354" s="148"/>
      <c r="E354" s="148"/>
      <c r="F354" s="154"/>
    </row>
    <row r="355" spans="1:6" ht="18.75" customHeight="1" thickBot="1" x14ac:dyDescent="0.25">
      <c r="B355" s="155" t="s">
        <v>33</v>
      </c>
      <c r="C355" s="156">
        <f>(LOOKUP(C341,Nomina!$B$7:$B$51,Nomina!$P$7:$P$51)+LOOKUP(C341,Nomina!$B$7:$B$51,Nomina!$U$7:$U$51))</f>
        <v>0</v>
      </c>
      <c r="D355" s="142"/>
      <c r="E355" s="138" t="s">
        <v>72</v>
      </c>
      <c r="F355" s="152">
        <f>LOOKUP(C341,Nomina!$B$7:$B$51,Nomina!$AA$7:$AA$51)</f>
        <v>0</v>
      </c>
    </row>
    <row r="356" spans="1:6" ht="18.75" customHeight="1" thickBot="1" x14ac:dyDescent="0.25">
      <c r="B356" s="157" t="s">
        <v>90</v>
      </c>
      <c r="C356" s="158">
        <f>+C355-F355</f>
        <v>0</v>
      </c>
      <c r="D356" s="142"/>
      <c r="E356" s="159"/>
      <c r="F356" s="159"/>
    </row>
    <row r="357" spans="1:6" ht="16.5" customHeight="1" thickBot="1" x14ac:dyDescent="0.25">
      <c r="B357" s="160"/>
      <c r="C357" s="161"/>
      <c r="D357" s="162"/>
      <c r="E357" s="163"/>
      <c r="F357" s="163"/>
    </row>
    <row r="358" spans="1:6" ht="16.5" customHeight="1" x14ac:dyDescent="0.2">
      <c r="B358" s="164"/>
      <c r="C358" s="164"/>
      <c r="D358" s="142"/>
      <c r="E358" s="164"/>
      <c r="F358" s="159"/>
    </row>
    <row r="359" spans="1:6" ht="21.75" customHeight="1" x14ac:dyDescent="0.2">
      <c r="B359" s="196" t="s">
        <v>152</v>
      </c>
      <c r="C359" s="197"/>
      <c r="D359" s="197"/>
      <c r="E359" s="197"/>
      <c r="F359" s="197"/>
    </row>
    <row r="360" spans="1:6" ht="18" customHeight="1" x14ac:dyDescent="0.2">
      <c r="B360" s="138" t="s">
        <v>155</v>
      </c>
      <c r="C360" s="191">
        <f>+Nomina!$L$1</f>
        <v>0</v>
      </c>
      <c r="D360" s="192"/>
      <c r="E360" s="192"/>
      <c r="F360" s="193"/>
    </row>
    <row r="361" spans="1:6" ht="3.75" customHeight="1" x14ac:dyDescent="0.2">
      <c r="B361" s="139"/>
      <c r="C361" s="139"/>
      <c r="D361" s="139"/>
      <c r="E361" s="139"/>
      <c r="F361" s="139"/>
    </row>
    <row r="362" spans="1:6" ht="18.75" customHeight="1" x14ac:dyDescent="0.2">
      <c r="B362" s="140" t="s">
        <v>151</v>
      </c>
      <c r="C362" s="141">
        <v>18</v>
      </c>
      <c r="D362" s="142"/>
      <c r="E362" s="143" t="s">
        <v>153</v>
      </c>
      <c r="F362" s="144">
        <f>+Nomina!$L$3</f>
        <v>45292</v>
      </c>
    </row>
    <row r="363" spans="1:6" ht="18.75" customHeight="1" x14ac:dyDescent="0.2">
      <c r="B363" s="138" t="s">
        <v>150</v>
      </c>
      <c r="C363" s="145" t="str">
        <f>LOOKUP(C362,Nomina!$B$7:$B$51,Nomina!$C$7:$C$51)&amp;(LOOKUP(C362,Nomina!$B$7:$B$51,Nomina!$D$7:$D$51))</f>
        <v/>
      </c>
      <c r="D363" s="142"/>
      <c r="E363" s="143" t="s">
        <v>154</v>
      </c>
      <c r="F363" s="144">
        <f>+Nomina!$N$3</f>
        <v>45306</v>
      </c>
    </row>
    <row r="364" spans="1:6" ht="18.75" customHeight="1" x14ac:dyDescent="0.2">
      <c r="B364" s="138" t="s">
        <v>143</v>
      </c>
      <c r="C364" s="146">
        <f>LOOKUP(C362,Nomina!$B$7:$B$51,Nomina!$E$7:$E$51)</f>
        <v>0</v>
      </c>
      <c r="D364" s="142"/>
      <c r="E364" s="143" t="s">
        <v>149</v>
      </c>
      <c r="F364" s="147">
        <f>LOOKUP(C362,Nomina!$B$7:$B$51,Nomina!$I$7:$I$51)</f>
        <v>0</v>
      </c>
    </row>
    <row r="365" spans="1:6" ht="6" customHeight="1" x14ac:dyDescent="0.2">
      <c r="C365" s="148"/>
      <c r="D365" s="142"/>
      <c r="E365" s="148"/>
      <c r="F365" s="148"/>
    </row>
    <row r="366" spans="1:6" ht="18.75" customHeight="1" x14ac:dyDescent="0.2">
      <c r="B366" s="194" t="s">
        <v>84</v>
      </c>
      <c r="C366" s="194"/>
      <c r="D366" s="142"/>
      <c r="E366" s="195" t="s">
        <v>85</v>
      </c>
      <c r="F366" s="195"/>
    </row>
    <row r="367" spans="1:6" ht="5.25" customHeight="1" x14ac:dyDescent="0.2"/>
    <row r="368" spans="1:6" ht="18.75" customHeight="1" x14ac:dyDescent="0.2">
      <c r="B368" s="149" t="str">
        <f>+Nomina!$L$6</f>
        <v>Dias a Pagar</v>
      </c>
      <c r="C368" s="150">
        <f>LOOKUP($C362,Nomina!$B$7:$B$51,Nomina!$L$7:$L$51)</f>
        <v>15</v>
      </c>
      <c r="D368" s="142"/>
      <c r="E368" s="151" t="s">
        <v>13</v>
      </c>
      <c r="F368" s="152">
        <f>LOOKUP(C362,Nomina!$B$7:$B$51,Nomina!$X$7:$X$51)</f>
        <v>0</v>
      </c>
    </row>
    <row r="369" spans="1:6" ht="18.75" customHeight="1" x14ac:dyDescent="0.2">
      <c r="B369" s="149" t="str">
        <f>+Nomina!$M$6</f>
        <v>Sueldo</v>
      </c>
      <c r="C369" s="152">
        <f>LOOKUP(C362,Nomina!$B$7:$B$51,Nomina!$M$7:$M$51)</f>
        <v>0</v>
      </c>
      <c r="D369" s="142"/>
      <c r="E369" s="151" t="s">
        <v>3</v>
      </c>
      <c r="F369" s="152">
        <f>LOOKUP(C362,Nomina!$B$7:$B$51,Nomina!$Y$7:$Y$51)</f>
        <v>0</v>
      </c>
    </row>
    <row r="370" spans="1:6" ht="18.75" customHeight="1" x14ac:dyDescent="0.2">
      <c r="B370" s="149" t="str">
        <f>+Nomina!$N$6</f>
        <v>Horas Extras</v>
      </c>
      <c r="C370" s="152">
        <f>LOOKUP(C362,Nomina!$B$7:$B$51,Nomina!$N$7:$N$51)</f>
        <v>0</v>
      </c>
      <c r="D370" s="142"/>
      <c r="E370" s="151" t="s">
        <v>71</v>
      </c>
      <c r="F370" s="152">
        <f>LOOKUP(C362,Nomina!$B$7:$B$51,Nomina!$Z$7:$Z$51)</f>
        <v>0</v>
      </c>
    </row>
    <row r="371" spans="1:6" ht="18.75" customHeight="1" x14ac:dyDescent="0.2">
      <c r="B371" s="149" t="str">
        <f>+Nomina!$O$6</f>
        <v>Comisiones</v>
      </c>
      <c r="C371" s="152">
        <f>LOOKUP(C362,Nomina!$B$7:$B$51,Nomina!$O$7:$O$51)</f>
        <v>0</v>
      </c>
      <c r="D371" s="142"/>
      <c r="E371" s="149" t="str">
        <f>CONCATENATE(Nomina!$K$6," - ",Nomina!$K24)</f>
        <v xml:space="preserve">Faltas - </v>
      </c>
      <c r="F371" s="152">
        <f>LOOKUP(C362,Nomina!$B$7:$B$51,Nomina!$W$7:$W$51)</f>
        <v>0</v>
      </c>
    </row>
    <row r="372" spans="1:6" ht="18.75" customHeight="1" x14ac:dyDescent="0.2">
      <c r="B372" s="149" t="str">
        <f>+Nomina!$T$6</f>
        <v>Subsidio</v>
      </c>
      <c r="C372" s="152">
        <f>LOOKUP(C362,Nomina!$B$7:$B$51,Nomina!$T$7:$T$51)</f>
        <v>0</v>
      </c>
      <c r="D372" s="142"/>
      <c r="E372" s="149"/>
      <c r="F372" s="153"/>
    </row>
    <row r="373" spans="1:6" ht="18.75" customHeight="1" x14ac:dyDescent="0.2">
      <c r="B373" s="149" t="str">
        <f>+Nomina!$Q$6</f>
        <v xml:space="preserve">Bono x Asistencia </v>
      </c>
      <c r="C373" s="152">
        <f>LOOKUP(C362,Nomina!$B$7:$B$51,Nomina!$Q$7:$Q$51)</f>
        <v>0</v>
      </c>
      <c r="D373" s="142"/>
      <c r="E373" s="149"/>
      <c r="F373" s="153"/>
    </row>
    <row r="374" spans="1:6" ht="18.75" customHeight="1" x14ac:dyDescent="0.2">
      <c r="B374" s="149" t="str">
        <f>+Nomina!$R$6</f>
        <v>Bono x Puntualidad</v>
      </c>
      <c r="C374" s="152">
        <f>LOOKUP(C362,Nomina!$B$7:$B$51,Nomina!$R$7:$R$51)</f>
        <v>0</v>
      </c>
      <c r="D374" s="142"/>
      <c r="E374" s="149"/>
      <c r="F374" s="153"/>
    </row>
    <row r="375" spans="1:6" ht="6" customHeight="1" x14ac:dyDescent="0.2">
      <c r="A375" s="148"/>
      <c r="B375" s="148"/>
      <c r="C375" s="148"/>
      <c r="D375" s="148"/>
      <c r="E375" s="148"/>
      <c r="F375" s="154"/>
    </row>
    <row r="376" spans="1:6" ht="18.75" customHeight="1" thickBot="1" x14ac:dyDescent="0.25">
      <c r="B376" s="155" t="s">
        <v>33</v>
      </c>
      <c r="C376" s="156">
        <f>(LOOKUP(C362,Nomina!$B$7:$B$51,Nomina!$P$7:$P$51)+LOOKUP(C362,Nomina!$B$7:$B$51,Nomina!$U$7:$U$51))</f>
        <v>0</v>
      </c>
      <c r="D376" s="142"/>
      <c r="E376" s="138" t="s">
        <v>72</v>
      </c>
      <c r="F376" s="152">
        <f>LOOKUP(C362,Nomina!$B$7:$B$51,Nomina!$AA$7:$AA$51)</f>
        <v>0</v>
      </c>
    </row>
    <row r="377" spans="1:6" ht="18.75" customHeight="1" thickBot="1" x14ac:dyDescent="0.25">
      <c r="B377" s="157" t="s">
        <v>90</v>
      </c>
      <c r="C377" s="158">
        <f>+C376-F376</f>
        <v>0</v>
      </c>
      <c r="D377" s="142"/>
      <c r="E377" s="159"/>
      <c r="F377" s="159"/>
    </row>
    <row r="378" spans="1:6" ht="16.5" customHeight="1" thickBot="1" x14ac:dyDescent="0.25">
      <c r="B378" s="160"/>
      <c r="C378" s="161"/>
      <c r="D378" s="162"/>
      <c r="E378" s="163"/>
      <c r="F378" s="163"/>
    </row>
    <row r="379" spans="1:6" ht="16.5" customHeight="1" x14ac:dyDescent="0.2">
      <c r="B379" s="164"/>
      <c r="C379" s="164"/>
      <c r="D379" s="142"/>
      <c r="E379" s="164"/>
      <c r="F379" s="159"/>
    </row>
    <row r="380" spans="1:6" ht="21.75" customHeight="1" x14ac:dyDescent="0.2">
      <c r="B380" s="196" t="s">
        <v>152</v>
      </c>
      <c r="C380" s="197"/>
      <c r="D380" s="197"/>
      <c r="E380" s="197"/>
      <c r="F380" s="197"/>
    </row>
    <row r="381" spans="1:6" ht="18" customHeight="1" x14ac:dyDescent="0.2">
      <c r="B381" s="138" t="s">
        <v>155</v>
      </c>
      <c r="C381" s="191">
        <f>+Nomina!$L$1</f>
        <v>0</v>
      </c>
      <c r="D381" s="192"/>
      <c r="E381" s="192"/>
      <c r="F381" s="193"/>
    </row>
    <row r="382" spans="1:6" ht="3.75" customHeight="1" x14ac:dyDescent="0.2">
      <c r="B382" s="139"/>
      <c r="C382" s="139"/>
      <c r="D382" s="139"/>
      <c r="E382" s="139"/>
      <c r="F382" s="139"/>
    </row>
    <row r="383" spans="1:6" ht="18.75" customHeight="1" x14ac:dyDescent="0.2">
      <c r="B383" s="140" t="s">
        <v>151</v>
      </c>
      <c r="C383" s="141">
        <v>19</v>
      </c>
      <c r="D383" s="142"/>
      <c r="E383" s="143" t="s">
        <v>153</v>
      </c>
      <c r="F383" s="144">
        <f>+Nomina!$L$3</f>
        <v>45292</v>
      </c>
    </row>
    <row r="384" spans="1:6" ht="18.75" customHeight="1" x14ac:dyDescent="0.2">
      <c r="B384" s="138" t="s">
        <v>150</v>
      </c>
      <c r="C384" s="145" t="str">
        <f>LOOKUP(C383,Nomina!$B$7:$B$51,Nomina!$C$7:$C$51)&amp;(LOOKUP(C383,Nomina!$B$7:$B$51,Nomina!$D$7:$D$51))</f>
        <v/>
      </c>
      <c r="D384" s="142"/>
      <c r="E384" s="143" t="s">
        <v>154</v>
      </c>
      <c r="F384" s="144">
        <f>+Nomina!$N$3</f>
        <v>45306</v>
      </c>
    </row>
    <row r="385" spans="1:6" ht="18.75" customHeight="1" x14ac:dyDescent="0.2">
      <c r="B385" s="138" t="s">
        <v>143</v>
      </c>
      <c r="C385" s="146">
        <f>LOOKUP(C383,Nomina!$B$7:$B$51,Nomina!$E$7:$E$51)</f>
        <v>0</v>
      </c>
      <c r="D385" s="142"/>
      <c r="E385" s="143" t="s">
        <v>149</v>
      </c>
      <c r="F385" s="147">
        <f>LOOKUP(C383,Nomina!$B$7:$B$51,Nomina!$I$7:$I$51)</f>
        <v>0</v>
      </c>
    </row>
    <row r="386" spans="1:6" ht="6" customHeight="1" x14ac:dyDescent="0.2">
      <c r="C386" s="148"/>
      <c r="D386" s="142"/>
      <c r="E386" s="148"/>
      <c r="F386" s="148"/>
    </row>
    <row r="387" spans="1:6" ht="18.75" customHeight="1" x14ac:dyDescent="0.2">
      <c r="B387" s="194" t="s">
        <v>84</v>
      </c>
      <c r="C387" s="194"/>
      <c r="D387" s="142"/>
      <c r="E387" s="195" t="s">
        <v>85</v>
      </c>
      <c r="F387" s="195"/>
    </row>
    <row r="388" spans="1:6" ht="5.25" customHeight="1" x14ac:dyDescent="0.2"/>
    <row r="389" spans="1:6" ht="18.75" customHeight="1" x14ac:dyDescent="0.2">
      <c r="B389" s="149" t="str">
        <f>+Nomina!$L$6</f>
        <v>Dias a Pagar</v>
      </c>
      <c r="C389" s="150">
        <f>LOOKUP($C383,Nomina!$B$7:$B$51,Nomina!$L$7:$L$51)</f>
        <v>15</v>
      </c>
      <c r="D389" s="142"/>
      <c r="E389" s="151" t="s">
        <v>13</v>
      </c>
      <c r="F389" s="152">
        <f>LOOKUP(C383,Nomina!$B$7:$B$51,Nomina!$X$7:$X$51)</f>
        <v>0</v>
      </c>
    </row>
    <row r="390" spans="1:6" ht="18.75" customHeight="1" x14ac:dyDescent="0.2">
      <c r="B390" s="149" t="str">
        <f>+Nomina!$M$6</f>
        <v>Sueldo</v>
      </c>
      <c r="C390" s="152">
        <f>LOOKUP(C383,Nomina!$B$7:$B$51,Nomina!$M$7:$M$51)</f>
        <v>0</v>
      </c>
      <c r="D390" s="142"/>
      <c r="E390" s="151" t="s">
        <v>3</v>
      </c>
      <c r="F390" s="152">
        <f>LOOKUP(C383,Nomina!$B$7:$B$51,Nomina!$Y$7:$Y$51)</f>
        <v>0</v>
      </c>
    </row>
    <row r="391" spans="1:6" ht="18.75" customHeight="1" x14ac:dyDescent="0.2">
      <c r="B391" s="149" t="str">
        <f>+Nomina!$N$6</f>
        <v>Horas Extras</v>
      </c>
      <c r="C391" s="152">
        <f>LOOKUP(C383,Nomina!$B$7:$B$51,Nomina!$N$7:$N$51)</f>
        <v>0</v>
      </c>
      <c r="D391" s="142"/>
      <c r="E391" s="151" t="s">
        <v>71</v>
      </c>
      <c r="F391" s="152">
        <f>LOOKUP(C383,Nomina!$B$7:$B$51,Nomina!$Z$7:$Z$51)</f>
        <v>0</v>
      </c>
    </row>
    <row r="392" spans="1:6" ht="18.75" customHeight="1" x14ac:dyDescent="0.2">
      <c r="B392" s="149" t="str">
        <f>+Nomina!$O$6</f>
        <v>Comisiones</v>
      </c>
      <c r="C392" s="152">
        <f>LOOKUP(C383,Nomina!$B$7:$B$51,Nomina!$O$7:$O$51)</f>
        <v>0</v>
      </c>
      <c r="D392" s="142"/>
      <c r="E392" s="149" t="str">
        <f>CONCATENATE(Nomina!$K$6," - ",Nomina!$K25)</f>
        <v xml:space="preserve">Faltas - </v>
      </c>
      <c r="F392" s="152">
        <f>LOOKUP(C383,Nomina!$B$7:$B$51,Nomina!$W$7:$W$51)</f>
        <v>0</v>
      </c>
    </row>
    <row r="393" spans="1:6" ht="18.75" customHeight="1" x14ac:dyDescent="0.2">
      <c r="B393" s="149" t="str">
        <f>+Nomina!$T$6</f>
        <v>Subsidio</v>
      </c>
      <c r="C393" s="152">
        <f>LOOKUP(C383,Nomina!$B$7:$B$51,Nomina!$T$7:$T$51)</f>
        <v>0</v>
      </c>
      <c r="D393" s="142"/>
      <c r="E393" s="149"/>
      <c r="F393" s="153"/>
    </row>
    <row r="394" spans="1:6" ht="18.75" customHeight="1" x14ac:dyDescent="0.2">
      <c r="B394" s="149" t="str">
        <f>+Nomina!$Q$6</f>
        <v xml:space="preserve">Bono x Asistencia </v>
      </c>
      <c r="C394" s="152">
        <f>LOOKUP(C383,Nomina!$B$7:$B$51,Nomina!$Q$7:$Q$51)</f>
        <v>0</v>
      </c>
      <c r="D394" s="142"/>
      <c r="E394" s="149"/>
      <c r="F394" s="153"/>
    </row>
    <row r="395" spans="1:6" ht="18.75" customHeight="1" x14ac:dyDescent="0.2">
      <c r="B395" s="149" t="str">
        <f>+Nomina!$R$6</f>
        <v>Bono x Puntualidad</v>
      </c>
      <c r="C395" s="152">
        <f>LOOKUP(C383,Nomina!$B$7:$B$51,Nomina!$R$7:$R$51)</f>
        <v>0</v>
      </c>
      <c r="D395" s="142"/>
      <c r="E395" s="149"/>
      <c r="F395" s="153"/>
    </row>
    <row r="396" spans="1:6" ht="6" customHeight="1" x14ac:dyDescent="0.2">
      <c r="A396" s="148"/>
      <c r="B396" s="148"/>
      <c r="C396" s="148"/>
      <c r="D396" s="148"/>
      <c r="E396" s="148"/>
      <c r="F396" s="154"/>
    </row>
    <row r="397" spans="1:6" ht="18.75" customHeight="1" thickBot="1" x14ac:dyDescent="0.25">
      <c r="B397" s="155" t="s">
        <v>33</v>
      </c>
      <c r="C397" s="156">
        <f>(LOOKUP(C383,Nomina!$B$7:$B$51,Nomina!$P$7:$P$51)+LOOKUP(C383,Nomina!$B$7:$B$51,Nomina!$U$7:$U$51))</f>
        <v>0</v>
      </c>
      <c r="D397" s="142"/>
      <c r="E397" s="138" t="s">
        <v>72</v>
      </c>
      <c r="F397" s="152">
        <f>LOOKUP(C383,Nomina!$B$7:$B$51,Nomina!$AA$7:$AA$51)</f>
        <v>0</v>
      </c>
    </row>
    <row r="398" spans="1:6" ht="18.75" customHeight="1" thickBot="1" x14ac:dyDescent="0.25">
      <c r="B398" s="157" t="s">
        <v>90</v>
      </c>
      <c r="C398" s="158">
        <f>+C397-F397</f>
        <v>0</v>
      </c>
      <c r="D398" s="142"/>
      <c r="E398" s="159"/>
      <c r="F398" s="159"/>
    </row>
    <row r="399" spans="1:6" ht="16.5" customHeight="1" thickBot="1" x14ac:dyDescent="0.25">
      <c r="B399" s="160"/>
      <c r="C399" s="161"/>
      <c r="D399" s="162"/>
      <c r="E399" s="163"/>
      <c r="F399" s="163"/>
    </row>
    <row r="400" spans="1:6" ht="16.5" customHeight="1" x14ac:dyDescent="0.2">
      <c r="B400" s="164"/>
      <c r="C400" s="164"/>
      <c r="D400" s="142"/>
      <c r="E400" s="164"/>
      <c r="F400" s="159"/>
    </row>
    <row r="401" spans="2:6" ht="21.75" customHeight="1" x14ac:dyDescent="0.2">
      <c r="B401" s="196" t="s">
        <v>152</v>
      </c>
      <c r="C401" s="197"/>
      <c r="D401" s="197"/>
      <c r="E401" s="197"/>
      <c r="F401" s="197"/>
    </row>
    <row r="402" spans="2:6" ht="18" customHeight="1" x14ac:dyDescent="0.2">
      <c r="B402" s="138" t="s">
        <v>155</v>
      </c>
      <c r="C402" s="191">
        <f>+Nomina!$L$1</f>
        <v>0</v>
      </c>
      <c r="D402" s="192"/>
      <c r="E402" s="192"/>
      <c r="F402" s="193"/>
    </row>
    <row r="403" spans="2:6" ht="3.75" customHeight="1" x14ac:dyDescent="0.2">
      <c r="B403" s="139"/>
      <c r="C403" s="139"/>
      <c r="D403" s="139"/>
      <c r="E403" s="139"/>
      <c r="F403" s="139"/>
    </row>
    <row r="404" spans="2:6" ht="18.75" customHeight="1" x14ac:dyDescent="0.2">
      <c r="B404" s="140" t="s">
        <v>151</v>
      </c>
      <c r="C404" s="141">
        <v>20</v>
      </c>
      <c r="D404" s="142"/>
      <c r="E404" s="143" t="s">
        <v>153</v>
      </c>
      <c r="F404" s="144">
        <f>+Nomina!$L$3</f>
        <v>45292</v>
      </c>
    </row>
    <row r="405" spans="2:6" ht="18.75" customHeight="1" x14ac:dyDescent="0.2">
      <c r="B405" s="138" t="s">
        <v>150</v>
      </c>
      <c r="C405" s="145" t="str">
        <f>LOOKUP(C404,Nomina!$B$7:$B$51,Nomina!$C$7:$C$51)&amp;(LOOKUP(C404,Nomina!$B$7:$B$51,Nomina!$D$7:$D$51))</f>
        <v/>
      </c>
      <c r="D405" s="142"/>
      <c r="E405" s="143" t="s">
        <v>154</v>
      </c>
      <c r="F405" s="144">
        <f>+Nomina!$N$3</f>
        <v>45306</v>
      </c>
    </row>
    <row r="406" spans="2:6" ht="18.75" customHeight="1" x14ac:dyDescent="0.2">
      <c r="B406" s="138" t="s">
        <v>143</v>
      </c>
      <c r="C406" s="146">
        <f>LOOKUP(C404,Nomina!$B$7:$B$51,Nomina!$E$7:$E$51)</f>
        <v>0</v>
      </c>
      <c r="D406" s="142"/>
      <c r="E406" s="143" t="s">
        <v>149</v>
      </c>
      <c r="F406" s="147">
        <f>LOOKUP(C404,Nomina!$B$7:$B$51,Nomina!$I$7:$I$51)</f>
        <v>0</v>
      </c>
    </row>
    <row r="407" spans="2:6" ht="6" customHeight="1" x14ac:dyDescent="0.2">
      <c r="C407" s="148"/>
      <c r="D407" s="142"/>
      <c r="E407" s="148"/>
      <c r="F407" s="148"/>
    </row>
    <row r="408" spans="2:6" ht="18.75" customHeight="1" x14ac:dyDescent="0.2">
      <c r="B408" s="194" t="s">
        <v>84</v>
      </c>
      <c r="C408" s="194"/>
      <c r="D408" s="142"/>
      <c r="E408" s="195" t="s">
        <v>85</v>
      </c>
      <c r="F408" s="195"/>
    </row>
    <row r="409" spans="2:6" ht="5.25" customHeight="1" x14ac:dyDescent="0.2"/>
    <row r="410" spans="2:6" ht="18.75" customHeight="1" x14ac:dyDescent="0.2">
      <c r="B410" s="149" t="str">
        <f>+Nomina!$L$6</f>
        <v>Dias a Pagar</v>
      </c>
      <c r="C410" s="150">
        <f>LOOKUP($C404,Nomina!$B$7:$B$51,Nomina!$L$7:$L$51)</f>
        <v>15</v>
      </c>
      <c r="D410" s="142"/>
      <c r="E410" s="151" t="s">
        <v>13</v>
      </c>
      <c r="F410" s="152">
        <f>LOOKUP(C404,Nomina!$B$7:$B$51,Nomina!$X$7:$X$51)</f>
        <v>0</v>
      </c>
    </row>
    <row r="411" spans="2:6" ht="18.75" customHeight="1" x14ac:dyDescent="0.2">
      <c r="B411" s="149" t="str">
        <f>+Nomina!$M$6</f>
        <v>Sueldo</v>
      </c>
      <c r="C411" s="152">
        <f>LOOKUP(C404,Nomina!$B$7:$B$51,Nomina!$M$7:$M$51)</f>
        <v>0</v>
      </c>
      <c r="D411" s="142"/>
      <c r="E411" s="151" t="s">
        <v>3</v>
      </c>
      <c r="F411" s="152">
        <f>LOOKUP(C404,Nomina!$B$7:$B$51,Nomina!$Y$7:$Y$51)</f>
        <v>0</v>
      </c>
    </row>
    <row r="412" spans="2:6" ht="18.75" customHeight="1" x14ac:dyDescent="0.2">
      <c r="B412" s="149" t="str">
        <f>+Nomina!$N$6</f>
        <v>Horas Extras</v>
      </c>
      <c r="C412" s="152">
        <f>LOOKUP(C404,Nomina!$B$7:$B$51,Nomina!$N$7:$N$51)</f>
        <v>0</v>
      </c>
      <c r="D412" s="142"/>
      <c r="E412" s="151" t="s">
        <v>71</v>
      </c>
      <c r="F412" s="152">
        <f>LOOKUP(C404,Nomina!$B$7:$B$51,Nomina!$Z$7:$Z$51)</f>
        <v>0</v>
      </c>
    </row>
    <row r="413" spans="2:6" ht="18.75" customHeight="1" x14ac:dyDescent="0.2">
      <c r="B413" s="149" t="str">
        <f>+Nomina!$O$6</f>
        <v>Comisiones</v>
      </c>
      <c r="C413" s="152">
        <f>LOOKUP(C404,Nomina!$B$7:$B$51,Nomina!$O$7:$O$51)</f>
        <v>0</v>
      </c>
      <c r="D413" s="142"/>
      <c r="E413" s="149" t="str">
        <f>CONCATENATE(Nomina!$K$6," - ",Nomina!$K26)</f>
        <v xml:space="preserve">Faltas - </v>
      </c>
      <c r="F413" s="152">
        <f>LOOKUP(C404,Nomina!$B$7:$B$51,Nomina!$W$7:$W$51)</f>
        <v>0</v>
      </c>
    </row>
    <row r="414" spans="2:6" ht="18.75" customHeight="1" x14ac:dyDescent="0.2">
      <c r="B414" s="149" t="str">
        <f>+Nomina!$T$6</f>
        <v>Subsidio</v>
      </c>
      <c r="C414" s="152">
        <f>LOOKUP(C404,Nomina!$B$7:$B$51,Nomina!$T$7:$T$51)</f>
        <v>0</v>
      </c>
      <c r="D414" s="142"/>
      <c r="E414" s="149"/>
      <c r="F414" s="153"/>
    </row>
    <row r="415" spans="2:6" ht="18.75" customHeight="1" x14ac:dyDescent="0.2">
      <c r="B415" s="149" t="str">
        <f>+Nomina!$Q$6</f>
        <v xml:space="preserve">Bono x Asistencia </v>
      </c>
      <c r="C415" s="152">
        <f>LOOKUP(C404,Nomina!$B$7:$B$51,Nomina!$Q$7:$Q$51)</f>
        <v>0</v>
      </c>
      <c r="D415" s="142"/>
      <c r="E415" s="149"/>
      <c r="F415" s="153"/>
    </row>
    <row r="416" spans="2:6" ht="18.75" customHeight="1" x14ac:dyDescent="0.2">
      <c r="B416" s="149" t="str">
        <f>+Nomina!$R$6</f>
        <v>Bono x Puntualidad</v>
      </c>
      <c r="C416" s="152">
        <f>LOOKUP(C404,Nomina!$B$7:$B$51,Nomina!$R$7:$R$51)</f>
        <v>0</v>
      </c>
      <c r="D416" s="142"/>
      <c r="E416" s="149"/>
      <c r="F416" s="153"/>
    </row>
    <row r="417" spans="1:6" ht="6" customHeight="1" x14ac:dyDescent="0.2">
      <c r="A417" s="148"/>
      <c r="B417" s="148"/>
      <c r="C417" s="148"/>
      <c r="D417" s="148"/>
      <c r="E417" s="148"/>
      <c r="F417" s="154"/>
    </row>
    <row r="418" spans="1:6" ht="18.75" customHeight="1" thickBot="1" x14ac:dyDescent="0.25">
      <c r="B418" s="155" t="s">
        <v>33</v>
      </c>
      <c r="C418" s="156">
        <f>(LOOKUP(C404,Nomina!$B$7:$B$51,Nomina!$P$7:$P$51)+LOOKUP(C404,Nomina!$B$7:$B$51,Nomina!$U$7:$U$51))</f>
        <v>0</v>
      </c>
      <c r="D418" s="142"/>
      <c r="E418" s="138" t="s">
        <v>72</v>
      </c>
      <c r="F418" s="152">
        <f>LOOKUP(C404,Nomina!$B$7:$B$51,Nomina!$AA$7:$AA$51)</f>
        <v>0</v>
      </c>
    </row>
    <row r="419" spans="1:6" ht="18.75" customHeight="1" thickBot="1" x14ac:dyDescent="0.25">
      <c r="B419" s="157" t="s">
        <v>90</v>
      </c>
      <c r="C419" s="158">
        <f>+C418-F418</f>
        <v>0</v>
      </c>
      <c r="D419" s="142"/>
      <c r="E419" s="159"/>
      <c r="F419" s="159"/>
    </row>
    <row r="420" spans="1:6" ht="16.5" customHeight="1" thickBot="1" x14ac:dyDescent="0.25">
      <c r="B420" s="160"/>
      <c r="C420" s="161"/>
      <c r="D420" s="162"/>
      <c r="E420" s="163"/>
      <c r="F420" s="163"/>
    </row>
    <row r="421" spans="1:6" ht="16.5" customHeight="1" x14ac:dyDescent="0.2">
      <c r="B421" s="164"/>
      <c r="C421" s="164"/>
      <c r="D421" s="142"/>
      <c r="E421" s="164"/>
      <c r="F421" s="159"/>
    </row>
    <row r="422" spans="1:6" ht="21.75" customHeight="1" x14ac:dyDescent="0.2">
      <c r="B422" s="196" t="s">
        <v>152</v>
      </c>
      <c r="C422" s="197"/>
      <c r="D422" s="197"/>
      <c r="E422" s="197"/>
      <c r="F422" s="197"/>
    </row>
    <row r="423" spans="1:6" ht="18" customHeight="1" x14ac:dyDescent="0.2">
      <c r="B423" s="138" t="s">
        <v>155</v>
      </c>
      <c r="C423" s="191">
        <f>+Nomina!$L$1</f>
        <v>0</v>
      </c>
      <c r="D423" s="192"/>
      <c r="E423" s="192"/>
      <c r="F423" s="193"/>
    </row>
    <row r="424" spans="1:6" ht="3.75" customHeight="1" x14ac:dyDescent="0.2">
      <c r="B424" s="139"/>
      <c r="C424" s="139"/>
      <c r="D424" s="139"/>
      <c r="E424" s="139"/>
      <c r="F424" s="139"/>
    </row>
    <row r="425" spans="1:6" ht="18.75" customHeight="1" x14ac:dyDescent="0.2">
      <c r="B425" s="140" t="s">
        <v>151</v>
      </c>
      <c r="C425" s="141">
        <v>21</v>
      </c>
      <c r="D425" s="142"/>
      <c r="E425" s="143" t="s">
        <v>153</v>
      </c>
      <c r="F425" s="144">
        <f>+Nomina!$L$3</f>
        <v>45292</v>
      </c>
    </row>
    <row r="426" spans="1:6" ht="18.75" customHeight="1" x14ac:dyDescent="0.2">
      <c r="B426" s="138" t="s">
        <v>150</v>
      </c>
      <c r="C426" s="145" t="str">
        <f>LOOKUP(C425,Nomina!$B$7:$B$51,Nomina!$C$7:$C$51)&amp;(LOOKUP(C425,Nomina!$B$7:$B$51,Nomina!$D$7:$D$51))</f>
        <v/>
      </c>
      <c r="D426" s="142"/>
      <c r="E426" s="143" t="s">
        <v>154</v>
      </c>
      <c r="F426" s="144">
        <f>+Nomina!$N$3</f>
        <v>45306</v>
      </c>
    </row>
    <row r="427" spans="1:6" ht="18.75" customHeight="1" x14ac:dyDescent="0.2">
      <c r="B427" s="138" t="s">
        <v>143</v>
      </c>
      <c r="C427" s="146">
        <f>LOOKUP(C425,Nomina!$B$7:$B$51,Nomina!$E$7:$E$51)</f>
        <v>0</v>
      </c>
      <c r="D427" s="142"/>
      <c r="E427" s="143" t="s">
        <v>149</v>
      </c>
      <c r="F427" s="147">
        <f>LOOKUP(C425,Nomina!$B$7:$B$51,Nomina!$I$7:$I$51)</f>
        <v>0</v>
      </c>
    </row>
    <row r="428" spans="1:6" ht="6" customHeight="1" x14ac:dyDescent="0.2">
      <c r="C428" s="148"/>
      <c r="D428" s="142"/>
      <c r="E428" s="148"/>
      <c r="F428" s="148"/>
    </row>
    <row r="429" spans="1:6" ht="18.75" customHeight="1" x14ac:dyDescent="0.2">
      <c r="B429" s="194" t="s">
        <v>84</v>
      </c>
      <c r="C429" s="194"/>
      <c r="D429" s="142"/>
      <c r="E429" s="195" t="s">
        <v>85</v>
      </c>
      <c r="F429" s="195"/>
    </row>
    <row r="430" spans="1:6" ht="5.25" customHeight="1" x14ac:dyDescent="0.2"/>
    <row r="431" spans="1:6" ht="18.75" customHeight="1" x14ac:dyDescent="0.2">
      <c r="B431" s="149" t="str">
        <f>+Nomina!$L$6</f>
        <v>Dias a Pagar</v>
      </c>
      <c r="C431" s="150">
        <f>LOOKUP($C425,Nomina!$B$7:$B$51,Nomina!$L$7:$L$51)</f>
        <v>15</v>
      </c>
      <c r="D431" s="142"/>
      <c r="E431" s="151" t="s">
        <v>13</v>
      </c>
      <c r="F431" s="152">
        <f>LOOKUP(C425,Nomina!$B$7:$B$51,Nomina!$X$7:$X$51)</f>
        <v>0</v>
      </c>
    </row>
    <row r="432" spans="1:6" ht="18.75" customHeight="1" x14ac:dyDescent="0.2">
      <c r="B432" s="149" t="str">
        <f>+Nomina!$M$6</f>
        <v>Sueldo</v>
      </c>
      <c r="C432" s="152">
        <f>LOOKUP(C425,Nomina!$B$7:$B$51,Nomina!$M$7:$M$51)</f>
        <v>0</v>
      </c>
      <c r="D432" s="142"/>
      <c r="E432" s="151" t="s">
        <v>3</v>
      </c>
      <c r="F432" s="152">
        <f>LOOKUP(C425,Nomina!$B$7:$B$51,Nomina!$Y$7:$Y$51)</f>
        <v>0</v>
      </c>
    </row>
    <row r="433" spans="1:6" ht="18.75" customHeight="1" x14ac:dyDescent="0.2">
      <c r="B433" s="149" t="str">
        <f>+Nomina!$N$6</f>
        <v>Horas Extras</v>
      </c>
      <c r="C433" s="152">
        <f>LOOKUP(C425,Nomina!$B$7:$B$51,Nomina!$N$7:$N$51)</f>
        <v>0</v>
      </c>
      <c r="D433" s="142"/>
      <c r="E433" s="151" t="s">
        <v>71</v>
      </c>
      <c r="F433" s="152">
        <f>LOOKUP(C425,Nomina!$B$7:$B$51,Nomina!$Z$7:$Z$51)</f>
        <v>0</v>
      </c>
    </row>
    <row r="434" spans="1:6" ht="18.75" customHeight="1" x14ac:dyDescent="0.2">
      <c r="B434" s="149" t="str">
        <f>+Nomina!$O$6</f>
        <v>Comisiones</v>
      </c>
      <c r="C434" s="152">
        <f>LOOKUP(C425,Nomina!$B$7:$B$51,Nomina!$O$7:$O$51)</f>
        <v>0</v>
      </c>
      <c r="D434" s="142"/>
      <c r="E434" s="149" t="str">
        <f>CONCATENATE(Nomina!$K$6," - ",Nomina!$K27)</f>
        <v xml:space="preserve">Faltas - </v>
      </c>
      <c r="F434" s="152">
        <f>LOOKUP(C425,Nomina!$B$7:$B$51,Nomina!$W$7:$W$51)</f>
        <v>0</v>
      </c>
    </row>
    <row r="435" spans="1:6" ht="18.75" customHeight="1" x14ac:dyDescent="0.2">
      <c r="B435" s="149" t="str">
        <f>+Nomina!$T$6</f>
        <v>Subsidio</v>
      </c>
      <c r="C435" s="152">
        <f>LOOKUP(C425,Nomina!$B$7:$B$51,Nomina!$T$7:$T$51)</f>
        <v>0</v>
      </c>
      <c r="D435" s="142"/>
      <c r="E435" s="149"/>
      <c r="F435" s="153"/>
    </row>
    <row r="436" spans="1:6" ht="18.75" customHeight="1" x14ac:dyDescent="0.2">
      <c r="B436" s="149" t="str">
        <f>+Nomina!$Q$6</f>
        <v xml:space="preserve">Bono x Asistencia </v>
      </c>
      <c r="C436" s="152">
        <f>LOOKUP(C425,Nomina!$B$7:$B$51,Nomina!$Q$7:$Q$51)</f>
        <v>0</v>
      </c>
      <c r="D436" s="142"/>
      <c r="E436" s="149"/>
      <c r="F436" s="153"/>
    </row>
    <row r="437" spans="1:6" ht="18.75" customHeight="1" x14ac:dyDescent="0.2">
      <c r="B437" s="149" t="str">
        <f>+Nomina!$R$6</f>
        <v>Bono x Puntualidad</v>
      </c>
      <c r="C437" s="152">
        <f>LOOKUP(C425,Nomina!$B$7:$B$51,Nomina!$R$7:$R$51)</f>
        <v>0</v>
      </c>
      <c r="D437" s="142"/>
      <c r="E437" s="149"/>
      <c r="F437" s="153"/>
    </row>
    <row r="438" spans="1:6" ht="6" customHeight="1" x14ac:dyDescent="0.2">
      <c r="A438" s="148"/>
      <c r="B438" s="148"/>
      <c r="C438" s="148"/>
      <c r="D438" s="148"/>
      <c r="E438" s="148"/>
      <c r="F438" s="154"/>
    </row>
    <row r="439" spans="1:6" ht="18.75" customHeight="1" thickBot="1" x14ac:dyDescent="0.25">
      <c r="B439" s="155" t="s">
        <v>33</v>
      </c>
      <c r="C439" s="156">
        <f>(LOOKUP(C425,Nomina!$B$7:$B$51,Nomina!$P$7:$P$51)+LOOKUP(C425,Nomina!$B$7:$B$51,Nomina!$U$7:$U$51))</f>
        <v>0</v>
      </c>
      <c r="D439" s="142"/>
      <c r="E439" s="138" t="s">
        <v>72</v>
      </c>
      <c r="F439" s="152">
        <f>LOOKUP(C425,Nomina!$B$7:$B$51,Nomina!$AA$7:$AA$51)</f>
        <v>0</v>
      </c>
    </row>
    <row r="440" spans="1:6" ht="18.75" customHeight="1" thickBot="1" x14ac:dyDescent="0.25">
      <c r="B440" s="157" t="s">
        <v>90</v>
      </c>
      <c r="C440" s="158">
        <f>+C439-F439</f>
        <v>0</v>
      </c>
      <c r="D440" s="142"/>
      <c r="E440" s="159"/>
      <c r="F440" s="159"/>
    </row>
    <row r="441" spans="1:6" ht="16.5" customHeight="1" thickBot="1" x14ac:dyDescent="0.25">
      <c r="B441" s="160"/>
      <c r="C441" s="161"/>
      <c r="D441" s="162"/>
      <c r="E441" s="163"/>
      <c r="F441" s="163"/>
    </row>
    <row r="442" spans="1:6" ht="16.5" customHeight="1" x14ac:dyDescent="0.2">
      <c r="B442" s="164"/>
      <c r="C442" s="164"/>
      <c r="D442" s="142"/>
      <c r="E442" s="164"/>
      <c r="F442" s="159"/>
    </row>
    <row r="443" spans="1:6" ht="21.75" customHeight="1" x14ac:dyDescent="0.2">
      <c r="B443" s="196" t="s">
        <v>152</v>
      </c>
      <c r="C443" s="197"/>
      <c r="D443" s="197"/>
      <c r="E443" s="197"/>
      <c r="F443" s="197"/>
    </row>
    <row r="444" spans="1:6" ht="18" customHeight="1" x14ac:dyDescent="0.2">
      <c r="B444" s="138" t="s">
        <v>155</v>
      </c>
      <c r="C444" s="191">
        <f>+Nomina!$L$1</f>
        <v>0</v>
      </c>
      <c r="D444" s="192"/>
      <c r="E444" s="192"/>
      <c r="F444" s="193"/>
    </row>
    <row r="445" spans="1:6" ht="3.75" customHeight="1" x14ac:dyDescent="0.2">
      <c r="B445" s="139"/>
      <c r="C445" s="139"/>
      <c r="D445" s="139"/>
      <c r="E445" s="139"/>
      <c r="F445" s="139"/>
    </row>
    <row r="446" spans="1:6" ht="18.75" customHeight="1" x14ac:dyDescent="0.2">
      <c r="B446" s="140" t="s">
        <v>151</v>
      </c>
      <c r="C446" s="141">
        <v>22</v>
      </c>
      <c r="D446" s="142"/>
      <c r="E446" s="143" t="s">
        <v>153</v>
      </c>
      <c r="F446" s="144">
        <f>+Nomina!$L$3</f>
        <v>45292</v>
      </c>
    </row>
    <row r="447" spans="1:6" ht="18.75" customHeight="1" x14ac:dyDescent="0.2">
      <c r="B447" s="138" t="s">
        <v>150</v>
      </c>
      <c r="C447" s="145" t="str">
        <f>LOOKUP(C446,Nomina!$B$7:$B$51,Nomina!$C$7:$C$51)&amp;(LOOKUP(C446,Nomina!$B$7:$B$51,Nomina!$D$7:$D$51))</f>
        <v/>
      </c>
      <c r="D447" s="142"/>
      <c r="E447" s="143" t="s">
        <v>154</v>
      </c>
      <c r="F447" s="144">
        <f>+Nomina!$N$3</f>
        <v>45306</v>
      </c>
    </row>
    <row r="448" spans="1:6" ht="18.75" customHeight="1" x14ac:dyDescent="0.2">
      <c r="B448" s="138" t="s">
        <v>143</v>
      </c>
      <c r="C448" s="146">
        <f>LOOKUP(C446,Nomina!$B$7:$B$51,Nomina!$E$7:$E$51)</f>
        <v>0</v>
      </c>
      <c r="D448" s="142"/>
      <c r="E448" s="143" t="s">
        <v>149</v>
      </c>
      <c r="F448" s="147">
        <f>LOOKUP(C446,Nomina!$B$7:$B$51,Nomina!$I$7:$I$51)</f>
        <v>0</v>
      </c>
    </row>
    <row r="449" spans="1:6" ht="6" customHeight="1" x14ac:dyDescent="0.2">
      <c r="C449" s="148"/>
      <c r="D449" s="142"/>
      <c r="E449" s="148"/>
      <c r="F449" s="148"/>
    </row>
    <row r="450" spans="1:6" ht="18.75" customHeight="1" x14ac:dyDescent="0.2">
      <c r="B450" s="194" t="s">
        <v>84</v>
      </c>
      <c r="C450" s="194"/>
      <c r="D450" s="142"/>
      <c r="E450" s="195" t="s">
        <v>85</v>
      </c>
      <c r="F450" s="195"/>
    </row>
    <row r="451" spans="1:6" ht="5.25" customHeight="1" x14ac:dyDescent="0.2"/>
    <row r="452" spans="1:6" ht="18.75" customHeight="1" x14ac:dyDescent="0.2">
      <c r="B452" s="149" t="str">
        <f>+Nomina!$L$6</f>
        <v>Dias a Pagar</v>
      </c>
      <c r="C452" s="150">
        <f>LOOKUP($C446,Nomina!$B$7:$B$51,Nomina!$L$7:$L$51)</f>
        <v>15</v>
      </c>
      <c r="D452" s="142"/>
      <c r="E452" s="151" t="s">
        <v>13</v>
      </c>
      <c r="F452" s="152">
        <f>LOOKUP(C446,Nomina!$B$7:$B$51,Nomina!$X$7:$X$51)</f>
        <v>0</v>
      </c>
    </row>
    <row r="453" spans="1:6" ht="18.75" customHeight="1" x14ac:dyDescent="0.2">
      <c r="B453" s="149" t="str">
        <f>+Nomina!$M$6</f>
        <v>Sueldo</v>
      </c>
      <c r="C453" s="152">
        <f>LOOKUP(C446,Nomina!$B$7:$B$51,Nomina!$M$7:$M$51)</f>
        <v>0</v>
      </c>
      <c r="D453" s="142"/>
      <c r="E453" s="151" t="s">
        <v>3</v>
      </c>
      <c r="F453" s="152">
        <f>LOOKUP(C446,Nomina!$B$7:$B$51,Nomina!$Y$7:$Y$51)</f>
        <v>0</v>
      </c>
    </row>
    <row r="454" spans="1:6" ht="18.75" customHeight="1" x14ac:dyDescent="0.2">
      <c r="B454" s="149" t="str">
        <f>+Nomina!$N$6</f>
        <v>Horas Extras</v>
      </c>
      <c r="C454" s="152">
        <f>LOOKUP(C446,Nomina!$B$7:$B$51,Nomina!$N$7:$N$51)</f>
        <v>0</v>
      </c>
      <c r="D454" s="142"/>
      <c r="E454" s="151" t="s">
        <v>71</v>
      </c>
      <c r="F454" s="152">
        <f>LOOKUP(C446,Nomina!$B$7:$B$51,Nomina!$Z$7:$Z$51)</f>
        <v>0</v>
      </c>
    </row>
    <row r="455" spans="1:6" ht="18.75" customHeight="1" x14ac:dyDescent="0.2">
      <c r="B455" s="149" t="str">
        <f>+Nomina!$O$6</f>
        <v>Comisiones</v>
      </c>
      <c r="C455" s="152">
        <f>LOOKUP(C446,Nomina!$B$7:$B$51,Nomina!$O$7:$O$51)</f>
        <v>0</v>
      </c>
      <c r="D455" s="142"/>
      <c r="E455" s="149" t="str">
        <f>CONCATENATE(Nomina!$K$6," - ",Nomina!$K28)</f>
        <v xml:space="preserve">Faltas - </v>
      </c>
      <c r="F455" s="152">
        <f>LOOKUP(C446,Nomina!$B$7:$B$51,Nomina!$W$7:$W$51)</f>
        <v>0</v>
      </c>
    </row>
    <row r="456" spans="1:6" ht="18.75" customHeight="1" x14ac:dyDescent="0.2">
      <c r="B456" s="149" t="str">
        <f>+Nomina!$T$6</f>
        <v>Subsidio</v>
      </c>
      <c r="C456" s="152">
        <f>LOOKUP(C446,Nomina!$B$7:$B$51,Nomina!$T$7:$T$51)</f>
        <v>0</v>
      </c>
      <c r="D456" s="142"/>
      <c r="E456" s="149"/>
      <c r="F456" s="153"/>
    </row>
    <row r="457" spans="1:6" ht="18.75" customHeight="1" x14ac:dyDescent="0.2">
      <c r="B457" s="149" t="str">
        <f>+Nomina!$Q$6</f>
        <v xml:space="preserve">Bono x Asistencia </v>
      </c>
      <c r="C457" s="152">
        <f>LOOKUP(C446,Nomina!$B$7:$B$51,Nomina!$Q$7:$Q$51)</f>
        <v>0</v>
      </c>
      <c r="D457" s="142"/>
      <c r="E457" s="149"/>
      <c r="F457" s="153"/>
    </row>
    <row r="458" spans="1:6" ht="18.75" customHeight="1" x14ac:dyDescent="0.2">
      <c r="B458" s="149" t="str">
        <f>+Nomina!$R$6</f>
        <v>Bono x Puntualidad</v>
      </c>
      <c r="C458" s="152">
        <f>LOOKUP(C446,Nomina!$B$7:$B$51,Nomina!$R$7:$R$51)</f>
        <v>0</v>
      </c>
      <c r="D458" s="142"/>
      <c r="E458" s="149"/>
      <c r="F458" s="153"/>
    </row>
    <row r="459" spans="1:6" ht="6" customHeight="1" x14ac:dyDescent="0.2">
      <c r="A459" s="148"/>
      <c r="B459" s="148"/>
      <c r="C459" s="148"/>
      <c r="D459" s="148"/>
      <c r="E459" s="148"/>
      <c r="F459" s="154"/>
    </row>
    <row r="460" spans="1:6" ht="18.75" customHeight="1" thickBot="1" x14ac:dyDescent="0.25">
      <c r="B460" s="155" t="s">
        <v>33</v>
      </c>
      <c r="C460" s="156">
        <f>(LOOKUP(C446,Nomina!$B$7:$B$51,Nomina!$P$7:$P$51)+LOOKUP(C446,Nomina!$B$7:$B$51,Nomina!$U$7:$U$51))</f>
        <v>0</v>
      </c>
      <c r="D460" s="142"/>
      <c r="E460" s="138" t="s">
        <v>72</v>
      </c>
      <c r="F460" s="152">
        <f>LOOKUP(C446,Nomina!$B$7:$B$51,Nomina!$AA$7:$AA$51)</f>
        <v>0</v>
      </c>
    </row>
    <row r="461" spans="1:6" ht="18.75" customHeight="1" thickBot="1" x14ac:dyDescent="0.25">
      <c r="B461" s="157" t="s">
        <v>90</v>
      </c>
      <c r="C461" s="158">
        <f>+C460-F460</f>
        <v>0</v>
      </c>
      <c r="D461" s="142"/>
      <c r="E461" s="159"/>
      <c r="F461" s="159"/>
    </row>
    <row r="462" spans="1:6" ht="16.5" customHeight="1" thickBot="1" x14ac:dyDescent="0.25">
      <c r="B462" s="160"/>
      <c r="C462" s="161"/>
      <c r="D462" s="162"/>
      <c r="E462" s="163"/>
      <c r="F462" s="163"/>
    </row>
    <row r="463" spans="1:6" ht="16.5" customHeight="1" x14ac:dyDescent="0.2">
      <c r="B463" s="164"/>
      <c r="C463" s="164"/>
      <c r="D463" s="142"/>
      <c r="E463" s="164"/>
      <c r="F463" s="159"/>
    </row>
    <row r="464" spans="1:6" ht="21.75" customHeight="1" x14ac:dyDescent="0.2">
      <c r="B464" s="196" t="s">
        <v>152</v>
      </c>
      <c r="C464" s="197"/>
      <c r="D464" s="197"/>
      <c r="E464" s="197"/>
      <c r="F464" s="197"/>
    </row>
    <row r="465" spans="1:6" ht="18" customHeight="1" x14ac:dyDescent="0.2">
      <c r="B465" s="138" t="s">
        <v>155</v>
      </c>
      <c r="C465" s="191">
        <f>+Nomina!$L$1</f>
        <v>0</v>
      </c>
      <c r="D465" s="192"/>
      <c r="E465" s="192"/>
      <c r="F465" s="193"/>
    </row>
    <row r="466" spans="1:6" ht="3.75" customHeight="1" x14ac:dyDescent="0.2">
      <c r="B466" s="139"/>
      <c r="C466" s="139"/>
      <c r="D466" s="139"/>
      <c r="E466" s="139"/>
      <c r="F466" s="139"/>
    </row>
    <row r="467" spans="1:6" ht="18.75" customHeight="1" x14ac:dyDescent="0.2">
      <c r="B467" s="140" t="s">
        <v>151</v>
      </c>
      <c r="C467" s="141">
        <v>23</v>
      </c>
      <c r="D467" s="142"/>
      <c r="E467" s="143" t="s">
        <v>153</v>
      </c>
      <c r="F467" s="144">
        <f>+Nomina!$L$3</f>
        <v>45292</v>
      </c>
    </row>
    <row r="468" spans="1:6" ht="18.75" customHeight="1" x14ac:dyDescent="0.2">
      <c r="B468" s="138" t="s">
        <v>150</v>
      </c>
      <c r="C468" s="145" t="str">
        <f>LOOKUP(C467,Nomina!$B$7:$B$51,Nomina!$C$7:$C$51)&amp;(LOOKUP(C467,Nomina!$B$7:$B$51,Nomina!$D$7:$D$51))</f>
        <v/>
      </c>
      <c r="D468" s="142"/>
      <c r="E468" s="143" t="s">
        <v>154</v>
      </c>
      <c r="F468" s="144">
        <f>+Nomina!$N$3</f>
        <v>45306</v>
      </c>
    </row>
    <row r="469" spans="1:6" ht="18.75" customHeight="1" x14ac:dyDescent="0.2">
      <c r="B469" s="138" t="s">
        <v>143</v>
      </c>
      <c r="C469" s="146">
        <f>LOOKUP(C467,Nomina!$B$7:$B$51,Nomina!$E$7:$E$51)</f>
        <v>0</v>
      </c>
      <c r="D469" s="142"/>
      <c r="E469" s="143" t="s">
        <v>149</v>
      </c>
      <c r="F469" s="147">
        <f>LOOKUP(C467,Nomina!$B$7:$B$51,Nomina!$I$7:$I$51)</f>
        <v>0</v>
      </c>
    </row>
    <row r="470" spans="1:6" ht="6" customHeight="1" x14ac:dyDescent="0.2">
      <c r="C470" s="148"/>
      <c r="D470" s="142"/>
      <c r="E470" s="148"/>
      <c r="F470" s="148"/>
    </row>
    <row r="471" spans="1:6" ht="18.75" customHeight="1" x14ac:dyDescent="0.2">
      <c r="B471" s="194" t="s">
        <v>84</v>
      </c>
      <c r="C471" s="194"/>
      <c r="D471" s="142"/>
      <c r="E471" s="195" t="s">
        <v>85</v>
      </c>
      <c r="F471" s="195"/>
    </row>
    <row r="472" spans="1:6" ht="5.25" customHeight="1" x14ac:dyDescent="0.2"/>
    <row r="473" spans="1:6" ht="18.75" customHeight="1" x14ac:dyDescent="0.2">
      <c r="B473" s="149" t="str">
        <f>+Nomina!$L$6</f>
        <v>Dias a Pagar</v>
      </c>
      <c r="C473" s="150">
        <f>LOOKUP($C467,Nomina!$B$7:$B$51,Nomina!$L$7:$L$51)</f>
        <v>15</v>
      </c>
      <c r="D473" s="142"/>
      <c r="E473" s="151" t="s">
        <v>13</v>
      </c>
      <c r="F473" s="152">
        <f>LOOKUP(C467,Nomina!$B$7:$B$51,Nomina!$X$7:$X$51)</f>
        <v>0</v>
      </c>
    </row>
    <row r="474" spans="1:6" ht="18.75" customHeight="1" x14ac:dyDescent="0.2">
      <c r="B474" s="149" t="str">
        <f>+Nomina!$M$6</f>
        <v>Sueldo</v>
      </c>
      <c r="C474" s="152">
        <f>LOOKUP(C467,Nomina!$B$7:$B$51,Nomina!$M$7:$M$51)</f>
        <v>0</v>
      </c>
      <c r="D474" s="142"/>
      <c r="E474" s="151" t="s">
        <v>3</v>
      </c>
      <c r="F474" s="152">
        <f>LOOKUP(C467,Nomina!$B$7:$B$51,Nomina!$Y$7:$Y$51)</f>
        <v>0</v>
      </c>
    </row>
    <row r="475" spans="1:6" ht="18.75" customHeight="1" x14ac:dyDescent="0.2">
      <c r="B475" s="149" t="str">
        <f>+Nomina!$N$6</f>
        <v>Horas Extras</v>
      </c>
      <c r="C475" s="152">
        <f>LOOKUP(C467,Nomina!$B$7:$B$51,Nomina!$N$7:$N$51)</f>
        <v>0</v>
      </c>
      <c r="D475" s="142"/>
      <c r="E475" s="151" t="s">
        <v>71</v>
      </c>
      <c r="F475" s="152">
        <f>LOOKUP(C467,Nomina!$B$7:$B$51,Nomina!$Z$7:$Z$51)</f>
        <v>0</v>
      </c>
    </row>
    <row r="476" spans="1:6" ht="18.75" customHeight="1" x14ac:dyDescent="0.2">
      <c r="B476" s="149" t="str">
        <f>+Nomina!$O$6</f>
        <v>Comisiones</v>
      </c>
      <c r="C476" s="152">
        <f>LOOKUP(C467,Nomina!$B$7:$B$51,Nomina!$O$7:$O$51)</f>
        <v>0</v>
      </c>
      <c r="D476" s="142"/>
      <c r="E476" s="149" t="str">
        <f>CONCATENATE(Nomina!$K$6," - ",Nomina!$K29)</f>
        <v xml:space="preserve">Faltas - </v>
      </c>
      <c r="F476" s="152">
        <f>LOOKUP(C467,Nomina!$B$7:$B$51,Nomina!$W$7:$W$51)</f>
        <v>0</v>
      </c>
    </row>
    <row r="477" spans="1:6" ht="18.75" customHeight="1" x14ac:dyDescent="0.2">
      <c r="B477" s="149" t="str">
        <f>+Nomina!$T$6</f>
        <v>Subsidio</v>
      </c>
      <c r="C477" s="152">
        <f>LOOKUP(C467,Nomina!$B$7:$B$51,Nomina!$T$7:$T$51)</f>
        <v>0</v>
      </c>
      <c r="D477" s="142"/>
      <c r="E477" s="149"/>
      <c r="F477" s="153"/>
    </row>
    <row r="478" spans="1:6" ht="18.75" customHeight="1" x14ac:dyDescent="0.2">
      <c r="B478" s="149" t="str">
        <f>+Nomina!$Q$6</f>
        <v xml:space="preserve">Bono x Asistencia </v>
      </c>
      <c r="C478" s="152">
        <f>LOOKUP(C467,Nomina!$B$7:$B$51,Nomina!$Q$7:$Q$51)</f>
        <v>0</v>
      </c>
      <c r="D478" s="142"/>
      <c r="E478" s="149"/>
      <c r="F478" s="153"/>
    </row>
    <row r="479" spans="1:6" ht="18.75" customHeight="1" x14ac:dyDescent="0.2">
      <c r="B479" s="149" t="str">
        <f>+Nomina!$R$6</f>
        <v>Bono x Puntualidad</v>
      </c>
      <c r="C479" s="152">
        <f>LOOKUP(C467,Nomina!$B$7:$B$51,Nomina!$R$7:$R$51)</f>
        <v>0</v>
      </c>
      <c r="D479" s="142"/>
      <c r="E479" s="149"/>
      <c r="F479" s="153"/>
    </row>
    <row r="480" spans="1:6" ht="6" customHeight="1" x14ac:dyDescent="0.2">
      <c r="A480" s="148"/>
      <c r="B480" s="148"/>
      <c r="C480" s="148"/>
      <c r="D480" s="148"/>
      <c r="E480" s="148"/>
      <c r="F480" s="154"/>
    </row>
    <row r="481" spans="2:6" ht="18.75" customHeight="1" thickBot="1" x14ac:dyDescent="0.25">
      <c r="B481" s="155" t="s">
        <v>33</v>
      </c>
      <c r="C481" s="156">
        <f>(LOOKUP(C467,Nomina!$B$7:$B$51,Nomina!$P$7:$P$51)+LOOKUP(C467,Nomina!$B$7:$B$51,Nomina!$U$7:$U$51))</f>
        <v>0</v>
      </c>
      <c r="D481" s="142"/>
      <c r="E481" s="138" t="s">
        <v>72</v>
      </c>
      <c r="F481" s="152">
        <f>LOOKUP(C467,Nomina!$B$7:$B$51,Nomina!$AA$7:$AA$51)</f>
        <v>0</v>
      </c>
    </row>
    <row r="482" spans="2:6" ht="18.75" customHeight="1" thickBot="1" x14ac:dyDescent="0.25">
      <c r="B482" s="157" t="s">
        <v>90</v>
      </c>
      <c r="C482" s="158">
        <f>+C481-F481</f>
        <v>0</v>
      </c>
      <c r="D482" s="142"/>
      <c r="E482" s="159"/>
      <c r="F482" s="159"/>
    </row>
    <row r="483" spans="2:6" ht="16.5" customHeight="1" thickBot="1" x14ac:dyDescent="0.25">
      <c r="B483" s="160"/>
      <c r="C483" s="161"/>
      <c r="D483" s="162"/>
      <c r="E483" s="163"/>
      <c r="F483" s="163"/>
    </row>
    <row r="484" spans="2:6" ht="16.5" customHeight="1" x14ac:dyDescent="0.2">
      <c r="B484" s="164"/>
      <c r="C484" s="164"/>
      <c r="D484" s="142"/>
      <c r="E484" s="164"/>
      <c r="F484" s="159"/>
    </row>
    <row r="485" spans="2:6" ht="21.75" customHeight="1" x14ac:dyDescent="0.2">
      <c r="B485" s="196" t="s">
        <v>152</v>
      </c>
      <c r="C485" s="197"/>
      <c r="D485" s="197"/>
      <c r="E485" s="197"/>
      <c r="F485" s="197"/>
    </row>
    <row r="486" spans="2:6" ht="18" customHeight="1" x14ac:dyDescent="0.2">
      <c r="B486" s="138" t="s">
        <v>155</v>
      </c>
      <c r="C486" s="191">
        <f>+Nomina!$L$1</f>
        <v>0</v>
      </c>
      <c r="D486" s="192"/>
      <c r="E486" s="192"/>
      <c r="F486" s="193"/>
    </row>
    <row r="487" spans="2:6" ht="3.75" customHeight="1" x14ac:dyDescent="0.2">
      <c r="B487" s="139"/>
      <c r="C487" s="139"/>
      <c r="D487" s="139"/>
      <c r="E487" s="139"/>
      <c r="F487" s="139"/>
    </row>
    <row r="488" spans="2:6" ht="18.75" customHeight="1" x14ac:dyDescent="0.2">
      <c r="B488" s="140" t="s">
        <v>151</v>
      </c>
      <c r="C488" s="141">
        <v>24</v>
      </c>
      <c r="D488" s="142"/>
      <c r="E488" s="143" t="s">
        <v>153</v>
      </c>
      <c r="F488" s="144">
        <f>+Nomina!$L$3</f>
        <v>45292</v>
      </c>
    </row>
    <row r="489" spans="2:6" ht="18.75" customHeight="1" x14ac:dyDescent="0.2">
      <c r="B489" s="138" t="s">
        <v>150</v>
      </c>
      <c r="C489" s="145" t="str">
        <f>LOOKUP(C488,Nomina!$B$7:$B$51,Nomina!$C$7:$C$51)&amp;(LOOKUP(C488,Nomina!$B$7:$B$51,Nomina!$D$7:$D$51))</f>
        <v/>
      </c>
      <c r="D489" s="142"/>
      <c r="E489" s="143" t="s">
        <v>154</v>
      </c>
      <c r="F489" s="144">
        <f>+Nomina!$N$3</f>
        <v>45306</v>
      </c>
    </row>
    <row r="490" spans="2:6" ht="18.75" customHeight="1" x14ac:dyDescent="0.2">
      <c r="B490" s="138" t="s">
        <v>143</v>
      </c>
      <c r="C490" s="146">
        <f>LOOKUP(C488,Nomina!$B$7:$B$51,Nomina!$E$7:$E$51)</f>
        <v>0</v>
      </c>
      <c r="D490" s="142"/>
      <c r="E490" s="143" t="s">
        <v>149</v>
      </c>
      <c r="F490" s="147">
        <f>LOOKUP(C488,Nomina!$B$7:$B$51,Nomina!$I$7:$I$51)</f>
        <v>0</v>
      </c>
    </row>
    <row r="491" spans="2:6" ht="6" customHeight="1" x14ac:dyDescent="0.2">
      <c r="C491" s="148"/>
      <c r="D491" s="142"/>
      <c r="E491" s="148"/>
      <c r="F491" s="148"/>
    </row>
    <row r="492" spans="2:6" ht="18.75" customHeight="1" x14ac:dyDescent="0.2">
      <c r="B492" s="194" t="s">
        <v>84</v>
      </c>
      <c r="C492" s="194"/>
      <c r="D492" s="142"/>
      <c r="E492" s="195" t="s">
        <v>85</v>
      </c>
      <c r="F492" s="195"/>
    </row>
    <row r="493" spans="2:6" ht="5.25" customHeight="1" x14ac:dyDescent="0.2"/>
    <row r="494" spans="2:6" ht="18.75" customHeight="1" x14ac:dyDescent="0.2">
      <c r="B494" s="149" t="str">
        <f>+Nomina!$L$6</f>
        <v>Dias a Pagar</v>
      </c>
      <c r="C494" s="150">
        <f>LOOKUP($C488,Nomina!$B$7:$B$51,Nomina!$L$7:$L$51)</f>
        <v>15</v>
      </c>
      <c r="D494" s="142"/>
      <c r="E494" s="151" t="s">
        <v>13</v>
      </c>
      <c r="F494" s="152">
        <f>LOOKUP(C488,Nomina!$B$7:$B$51,Nomina!$X$7:$X$51)</f>
        <v>0</v>
      </c>
    </row>
    <row r="495" spans="2:6" ht="18.75" customHeight="1" x14ac:dyDescent="0.2">
      <c r="B495" s="149" t="str">
        <f>+Nomina!$M$6</f>
        <v>Sueldo</v>
      </c>
      <c r="C495" s="152">
        <f>LOOKUP(C488,Nomina!$B$7:$B$51,Nomina!$M$7:$M$51)</f>
        <v>0</v>
      </c>
      <c r="D495" s="142"/>
      <c r="E495" s="151" t="s">
        <v>3</v>
      </c>
      <c r="F495" s="152">
        <f>LOOKUP(C488,Nomina!$B$7:$B$51,Nomina!$Y$7:$Y$51)</f>
        <v>0</v>
      </c>
    </row>
    <row r="496" spans="2:6" ht="18.75" customHeight="1" x14ac:dyDescent="0.2">
      <c r="B496" s="149" t="str">
        <f>+Nomina!$N$6</f>
        <v>Horas Extras</v>
      </c>
      <c r="C496" s="152">
        <f>LOOKUP(C488,Nomina!$B$7:$B$51,Nomina!$N$7:$N$51)</f>
        <v>0</v>
      </c>
      <c r="D496" s="142"/>
      <c r="E496" s="151" t="s">
        <v>71</v>
      </c>
      <c r="F496" s="152">
        <f>LOOKUP(C488,Nomina!$B$7:$B$51,Nomina!$Z$7:$Z$51)</f>
        <v>0</v>
      </c>
    </row>
    <row r="497" spans="1:6" ht="18.75" customHeight="1" x14ac:dyDescent="0.2">
      <c r="B497" s="149" t="str">
        <f>+Nomina!$O$6</f>
        <v>Comisiones</v>
      </c>
      <c r="C497" s="152">
        <f>LOOKUP(C488,Nomina!$B$7:$B$51,Nomina!$O$7:$O$51)</f>
        <v>0</v>
      </c>
      <c r="D497" s="142"/>
      <c r="E497" s="149" t="str">
        <f>CONCATENATE(Nomina!$K$6," - ",Nomina!$K30)</f>
        <v xml:space="preserve">Faltas - </v>
      </c>
      <c r="F497" s="152">
        <f>LOOKUP(C488,Nomina!$B$7:$B$51,Nomina!$W$7:$W$51)</f>
        <v>0</v>
      </c>
    </row>
    <row r="498" spans="1:6" ht="18.75" customHeight="1" x14ac:dyDescent="0.2">
      <c r="B498" s="149" t="str">
        <f>+Nomina!$T$6</f>
        <v>Subsidio</v>
      </c>
      <c r="C498" s="152">
        <f>LOOKUP(C488,Nomina!$B$7:$B$51,Nomina!$T$7:$T$51)</f>
        <v>0</v>
      </c>
      <c r="D498" s="142"/>
      <c r="E498" s="149"/>
      <c r="F498" s="153"/>
    </row>
    <row r="499" spans="1:6" ht="18.75" customHeight="1" x14ac:dyDescent="0.2">
      <c r="B499" s="149" t="str">
        <f>+Nomina!$Q$6</f>
        <v xml:space="preserve">Bono x Asistencia </v>
      </c>
      <c r="C499" s="152">
        <f>LOOKUP(C488,Nomina!$B$7:$B$51,Nomina!$Q$7:$Q$51)</f>
        <v>0</v>
      </c>
      <c r="D499" s="142"/>
      <c r="E499" s="149"/>
      <c r="F499" s="153"/>
    </row>
    <row r="500" spans="1:6" ht="18.75" customHeight="1" x14ac:dyDescent="0.2">
      <c r="B500" s="149" t="str">
        <f>+Nomina!$R$6</f>
        <v>Bono x Puntualidad</v>
      </c>
      <c r="C500" s="152">
        <f>LOOKUP(C488,Nomina!$B$7:$B$51,Nomina!$R$7:$R$51)</f>
        <v>0</v>
      </c>
      <c r="D500" s="142"/>
      <c r="E500" s="149"/>
      <c r="F500" s="153"/>
    </row>
    <row r="501" spans="1:6" ht="6" customHeight="1" x14ac:dyDescent="0.2">
      <c r="A501" s="148"/>
      <c r="B501" s="148"/>
      <c r="C501" s="148"/>
      <c r="D501" s="148"/>
      <c r="E501" s="148"/>
      <c r="F501" s="154"/>
    </row>
    <row r="502" spans="1:6" ht="18.75" customHeight="1" thickBot="1" x14ac:dyDescent="0.25">
      <c r="B502" s="155" t="s">
        <v>33</v>
      </c>
      <c r="C502" s="156">
        <f>(LOOKUP(C488,Nomina!$B$7:$B$51,Nomina!$P$7:$P$51)+LOOKUP(C488,Nomina!$B$7:$B$51,Nomina!$U$7:$U$51))</f>
        <v>0</v>
      </c>
      <c r="D502" s="142"/>
      <c r="E502" s="138" t="s">
        <v>72</v>
      </c>
      <c r="F502" s="152">
        <f>LOOKUP(C488,Nomina!$B$7:$B$51,Nomina!$AA$7:$AA$51)</f>
        <v>0</v>
      </c>
    </row>
    <row r="503" spans="1:6" ht="18.75" customHeight="1" thickBot="1" x14ac:dyDescent="0.25">
      <c r="B503" s="157" t="s">
        <v>90</v>
      </c>
      <c r="C503" s="158">
        <f>+C502-F502</f>
        <v>0</v>
      </c>
      <c r="D503" s="142"/>
      <c r="E503" s="159"/>
      <c r="F503" s="159"/>
    </row>
    <row r="504" spans="1:6" ht="16.5" customHeight="1" thickBot="1" x14ac:dyDescent="0.25">
      <c r="B504" s="160"/>
      <c r="C504" s="161"/>
      <c r="D504" s="162"/>
      <c r="E504" s="163"/>
      <c r="F504" s="163"/>
    </row>
    <row r="505" spans="1:6" ht="16.5" customHeight="1" x14ac:dyDescent="0.2">
      <c r="B505" s="164"/>
      <c r="C505" s="164"/>
      <c r="D505" s="142"/>
      <c r="E505" s="164"/>
      <c r="F505" s="159"/>
    </row>
    <row r="506" spans="1:6" ht="21.75" customHeight="1" x14ac:dyDescent="0.2">
      <c r="B506" s="196" t="s">
        <v>152</v>
      </c>
      <c r="C506" s="197"/>
      <c r="D506" s="197"/>
      <c r="E506" s="197"/>
      <c r="F506" s="197"/>
    </row>
    <row r="507" spans="1:6" ht="18" customHeight="1" x14ac:dyDescent="0.2">
      <c r="B507" s="138" t="s">
        <v>155</v>
      </c>
      <c r="C507" s="191">
        <f>+Nomina!$L$1</f>
        <v>0</v>
      </c>
      <c r="D507" s="192"/>
      <c r="E507" s="192"/>
      <c r="F507" s="193"/>
    </row>
    <row r="508" spans="1:6" ht="3.75" customHeight="1" x14ac:dyDescent="0.2">
      <c r="B508" s="139"/>
      <c r="C508" s="139"/>
      <c r="D508" s="139"/>
      <c r="E508" s="139"/>
      <c r="F508" s="139"/>
    </row>
    <row r="509" spans="1:6" ht="18.75" customHeight="1" x14ac:dyDescent="0.2">
      <c r="B509" s="140" t="s">
        <v>151</v>
      </c>
      <c r="C509" s="141">
        <v>25</v>
      </c>
      <c r="D509" s="142"/>
      <c r="E509" s="143" t="s">
        <v>153</v>
      </c>
      <c r="F509" s="144">
        <f>+Nomina!$L$3</f>
        <v>45292</v>
      </c>
    </row>
    <row r="510" spans="1:6" ht="18.75" customHeight="1" x14ac:dyDescent="0.2">
      <c r="B510" s="138" t="s">
        <v>150</v>
      </c>
      <c r="C510" s="145" t="str">
        <f>LOOKUP(C509,Nomina!$B$7:$B$51,Nomina!$C$7:$C$51)&amp;(LOOKUP(C509,Nomina!$B$7:$B$51,Nomina!$D$7:$D$51))</f>
        <v/>
      </c>
      <c r="D510" s="142"/>
      <c r="E510" s="143" t="s">
        <v>154</v>
      </c>
      <c r="F510" s="144">
        <f>+Nomina!$N$3</f>
        <v>45306</v>
      </c>
    </row>
    <row r="511" spans="1:6" ht="18.75" customHeight="1" x14ac:dyDescent="0.2">
      <c r="B511" s="138" t="s">
        <v>143</v>
      </c>
      <c r="C511" s="146">
        <f>LOOKUP(C509,Nomina!$B$7:$B$51,Nomina!$E$7:$E$51)</f>
        <v>0</v>
      </c>
      <c r="D511" s="142"/>
      <c r="E511" s="143" t="s">
        <v>149</v>
      </c>
      <c r="F511" s="147">
        <f>LOOKUP(C509,Nomina!$B$7:$B$51,Nomina!$I$7:$I$51)</f>
        <v>0</v>
      </c>
    </row>
    <row r="512" spans="1:6" ht="6" customHeight="1" x14ac:dyDescent="0.2">
      <c r="C512" s="148"/>
      <c r="D512" s="142"/>
      <c r="E512" s="148"/>
      <c r="F512" s="148"/>
    </row>
    <row r="513" spans="1:6" ht="18.75" customHeight="1" x14ac:dyDescent="0.2">
      <c r="B513" s="194" t="s">
        <v>84</v>
      </c>
      <c r="C513" s="194"/>
      <c r="D513" s="142"/>
      <c r="E513" s="195" t="s">
        <v>85</v>
      </c>
      <c r="F513" s="195"/>
    </row>
    <row r="514" spans="1:6" ht="5.25" customHeight="1" x14ac:dyDescent="0.2"/>
    <row r="515" spans="1:6" ht="18.75" customHeight="1" x14ac:dyDescent="0.2">
      <c r="B515" s="149" t="str">
        <f>+Nomina!$L$6</f>
        <v>Dias a Pagar</v>
      </c>
      <c r="C515" s="150">
        <f>LOOKUP($C509,Nomina!$B$7:$B$51,Nomina!$L$7:$L$51)</f>
        <v>15</v>
      </c>
      <c r="D515" s="142"/>
      <c r="E515" s="151" t="s">
        <v>13</v>
      </c>
      <c r="F515" s="152">
        <f>LOOKUP(C509,Nomina!$B$7:$B$51,Nomina!$X$7:$X$51)</f>
        <v>0</v>
      </c>
    </row>
    <row r="516" spans="1:6" ht="18.75" customHeight="1" x14ac:dyDescent="0.2">
      <c r="B516" s="149" t="str">
        <f>+Nomina!$M$6</f>
        <v>Sueldo</v>
      </c>
      <c r="C516" s="152">
        <f>LOOKUP(C509,Nomina!$B$7:$B$51,Nomina!$M$7:$M$51)</f>
        <v>0</v>
      </c>
      <c r="D516" s="142"/>
      <c r="E516" s="151" t="s">
        <v>3</v>
      </c>
      <c r="F516" s="152">
        <f>LOOKUP(C509,Nomina!$B$7:$B$51,Nomina!$Y$7:$Y$51)</f>
        <v>0</v>
      </c>
    </row>
    <row r="517" spans="1:6" ht="18.75" customHeight="1" x14ac:dyDescent="0.2">
      <c r="B517" s="149" t="str">
        <f>+Nomina!$N$6</f>
        <v>Horas Extras</v>
      </c>
      <c r="C517" s="152">
        <f>LOOKUP(C509,Nomina!$B$7:$B$51,Nomina!$N$7:$N$51)</f>
        <v>0</v>
      </c>
      <c r="D517" s="142"/>
      <c r="E517" s="151" t="s">
        <v>71</v>
      </c>
      <c r="F517" s="152">
        <f>LOOKUP(C509,Nomina!$B$7:$B$51,Nomina!$Z$7:$Z$51)</f>
        <v>0</v>
      </c>
    </row>
    <row r="518" spans="1:6" ht="18.75" customHeight="1" x14ac:dyDescent="0.2">
      <c r="B518" s="149" t="str">
        <f>+Nomina!$O$6</f>
        <v>Comisiones</v>
      </c>
      <c r="C518" s="152">
        <f>LOOKUP(C509,Nomina!$B$7:$B$51,Nomina!$O$7:$O$51)</f>
        <v>0</v>
      </c>
      <c r="D518" s="142"/>
      <c r="E518" s="149" t="str">
        <f>CONCATENATE(Nomina!$K$6," - ",Nomina!$K31)</f>
        <v xml:space="preserve">Faltas - </v>
      </c>
      <c r="F518" s="152">
        <f>LOOKUP(C509,Nomina!$B$7:$B$51,Nomina!$W$7:$W$51)</f>
        <v>0</v>
      </c>
    </row>
    <row r="519" spans="1:6" ht="18.75" customHeight="1" x14ac:dyDescent="0.2">
      <c r="B519" s="149" t="str">
        <f>+Nomina!$T$6</f>
        <v>Subsidio</v>
      </c>
      <c r="C519" s="152">
        <f>LOOKUP(C509,Nomina!$B$7:$B$51,Nomina!$T$7:$T$51)</f>
        <v>0</v>
      </c>
      <c r="D519" s="142"/>
      <c r="E519" s="149"/>
      <c r="F519" s="153"/>
    </row>
    <row r="520" spans="1:6" ht="18.75" customHeight="1" x14ac:dyDescent="0.2">
      <c r="B520" s="149" t="str">
        <f>+Nomina!$Q$6</f>
        <v xml:space="preserve">Bono x Asistencia </v>
      </c>
      <c r="C520" s="152">
        <f>LOOKUP(C509,Nomina!$B$7:$B$51,Nomina!$Q$7:$Q$51)</f>
        <v>0</v>
      </c>
      <c r="D520" s="142"/>
      <c r="E520" s="149"/>
      <c r="F520" s="153"/>
    </row>
    <row r="521" spans="1:6" ht="18.75" customHeight="1" x14ac:dyDescent="0.2">
      <c r="B521" s="149" t="str">
        <f>+Nomina!$R$6</f>
        <v>Bono x Puntualidad</v>
      </c>
      <c r="C521" s="152">
        <f>LOOKUP(C509,Nomina!$B$7:$B$51,Nomina!$R$7:$R$51)</f>
        <v>0</v>
      </c>
      <c r="D521" s="142"/>
      <c r="E521" s="149"/>
      <c r="F521" s="153"/>
    </row>
    <row r="522" spans="1:6" ht="6" customHeight="1" x14ac:dyDescent="0.2">
      <c r="A522" s="148"/>
      <c r="B522" s="148"/>
      <c r="C522" s="148"/>
      <c r="D522" s="148"/>
      <c r="E522" s="148"/>
      <c r="F522" s="154"/>
    </row>
    <row r="523" spans="1:6" ht="18.75" customHeight="1" thickBot="1" x14ac:dyDescent="0.25">
      <c r="B523" s="155" t="s">
        <v>33</v>
      </c>
      <c r="C523" s="156">
        <f>(LOOKUP(C509,Nomina!$B$7:$B$51,Nomina!$P$7:$P$51)+LOOKUP(C509,Nomina!$B$7:$B$51,Nomina!$U$7:$U$51))</f>
        <v>0</v>
      </c>
      <c r="D523" s="142"/>
      <c r="E523" s="138" t="s">
        <v>72</v>
      </c>
      <c r="F523" s="152">
        <f>LOOKUP(C509,Nomina!$B$7:$B$51,Nomina!$AA$7:$AA$51)</f>
        <v>0</v>
      </c>
    </row>
    <row r="524" spans="1:6" ht="18.75" customHeight="1" thickBot="1" x14ac:dyDescent="0.25">
      <c r="B524" s="157" t="s">
        <v>90</v>
      </c>
      <c r="C524" s="158">
        <f>+C523-F523</f>
        <v>0</v>
      </c>
      <c r="D524" s="142"/>
      <c r="E524" s="159"/>
      <c r="F524" s="159"/>
    </row>
    <row r="525" spans="1:6" ht="16.5" customHeight="1" thickBot="1" x14ac:dyDescent="0.25">
      <c r="B525" s="160"/>
      <c r="C525" s="161"/>
      <c r="D525" s="162"/>
      <c r="E525" s="163"/>
      <c r="F525" s="163"/>
    </row>
    <row r="526" spans="1:6" ht="16.5" customHeight="1" x14ac:dyDescent="0.2">
      <c r="B526" s="164"/>
      <c r="C526" s="164"/>
      <c r="D526" s="142"/>
      <c r="E526" s="164"/>
      <c r="F526" s="159"/>
    </row>
    <row r="527" spans="1:6" ht="21.75" customHeight="1" x14ac:dyDescent="0.2">
      <c r="B527" s="196" t="s">
        <v>152</v>
      </c>
      <c r="C527" s="197"/>
      <c r="D527" s="197"/>
      <c r="E527" s="197"/>
      <c r="F527" s="197"/>
    </row>
    <row r="528" spans="1:6" ht="18" customHeight="1" x14ac:dyDescent="0.2">
      <c r="B528" s="138" t="s">
        <v>155</v>
      </c>
      <c r="C528" s="191">
        <f>+Nomina!$L$1</f>
        <v>0</v>
      </c>
      <c r="D528" s="192"/>
      <c r="E528" s="192"/>
      <c r="F528" s="193"/>
    </row>
    <row r="529" spans="1:6" ht="3.75" customHeight="1" x14ac:dyDescent="0.2">
      <c r="B529" s="139"/>
      <c r="C529" s="139"/>
      <c r="D529" s="139"/>
      <c r="E529" s="139"/>
      <c r="F529" s="139"/>
    </row>
    <row r="530" spans="1:6" ht="18.75" customHeight="1" x14ac:dyDescent="0.2">
      <c r="B530" s="140" t="s">
        <v>151</v>
      </c>
      <c r="C530" s="141">
        <v>26</v>
      </c>
      <c r="D530" s="142"/>
      <c r="E530" s="143" t="s">
        <v>153</v>
      </c>
      <c r="F530" s="144">
        <f>+Nomina!$L$3</f>
        <v>45292</v>
      </c>
    </row>
    <row r="531" spans="1:6" ht="18.75" customHeight="1" x14ac:dyDescent="0.2">
      <c r="B531" s="138" t="s">
        <v>150</v>
      </c>
      <c r="C531" s="145" t="str">
        <f>LOOKUP(C530,Nomina!$B$7:$B$51,Nomina!$C$7:$C$51)&amp;(LOOKUP(C530,Nomina!$B$7:$B$51,Nomina!$D$7:$D$51))</f>
        <v/>
      </c>
      <c r="D531" s="142"/>
      <c r="E531" s="143" t="s">
        <v>154</v>
      </c>
      <c r="F531" s="144">
        <f>+Nomina!$N$3</f>
        <v>45306</v>
      </c>
    </row>
    <row r="532" spans="1:6" ht="18.75" customHeight="1" x14ac:dyDescent="0.2">
      <c r="B532" s="138" t="s">
        <v>143</v>
      </c>
      <c r="C532" s="146">
        <f>LOOKUP(C530,Nomina!$B$7:$B$51,Nomina!$E$7:$E$51)</f>
        <v>0</v>
      </c>
      <c r="D532" s="142"/>
      <c r="E532" s="143" t="s">
        <v>149</v>
      </c>
      <c r="F532" s="147">
        <f>LOOKUP(C530,Nomina!$B$7:$B$51,Nomina!$I$7:$I$51)</f>
        <v>0</v>
      </c>
    </row>
    <row r="533" spans="1:6" ht="6" customHeight="1" x14ac:dyDescent="0.2">
      <c r="C533" s="148"/>
      <c r="D533" s="142"/>
      <c r="E533" s="148"/>
      <c r="F533" s="148"/>
    </row>
    <row r="534" spans="1:6" ht="18.75" customHeight="1" x14ac:dyDescent="0.2">
      <c r="B534" s="194" t="s">
        <v>84</v>
      </c>
      <c r="C534" s="194"/>
      <c r="D534" s="142"/>
      <c r="E534" s="195" t="s">
        <v>85</v>
      </c>
      <c r="F534" s="195"/>
    </row>
    <row r="535" spans="1:6" ht="5.25" customHeight="1" x14ac:dyDescent="0.2"/>
    <row r="536" spans="1:6" ht="18.75" customHeight="1" x14ac:dyDescent="0.2">
      <c r="B536" s="149" t="str">
        <f>+Nomina!$L$6</f>
        <v>Dias a Pagar</v>
      </c>
      <c r="C536" s="150">
        <f>LOOKUP($C530,Nomina!$B$7:$B$51,Nomina!$L$7:$L$51)</f>
        <v>15</v>
      </c>
      <c r="D536" s="142"/>
      <c r="E536" s="151" t="s">
        <v>13</v>
      </c>
      <c r="F536" s="152">
        <f>LOOKUP(C530,Nomina!$B$7:$B$51,Nomina!$X$7:$X$51)</f>
        <v>0</v>
      </c>
    </row>
    <row r="537" spans="1:6" ht="18.75" customHeight="1" x14ac:dyDescent="0.2">
      <c r="B537" s="149" t="str">
        <f>+Nomina!$M$6</f>
        <v>Sueldo</v>
      </c>
      <c r="C537" s="152">
        <f>LOOKUP(C530,Nomina!$B$7:$B$51,Nomina!$M$7:$M$51)</f>
        <v>0</v>
      </c>
      <c r="D537" s="142"/>
      <c r="E537" s="151" t="s">
        <v>3</v>
      </c>
      <c r="F537" s="152">
        <f>LOOKUP(C530,Nomina!$B$7:$B$51,Nomina!$Y$7:$Y$51)</f>
        <v>0</v>
      </c>
    </row>
    <row r="538" spans="1:6" ht="18.75" customHeight="1" x14ac:dyDescent="0.2">
      <c r="B538" s="149" t="str">
        <f>+Nomina!$N$6</f>
        <v>Horas Extras</v>
      </c>
      <c r="C538" s="152">
        <f>LOOKUP(C530,Nomina!$B$7:$B$51,Nomina!$N$7:$N$51)</f>
        <v>0</v>
      </c>
      <c r="D538" s="142"/>
      <c r="E538" s="151" t="s">
        <v>71</v>
      </c>
      <c r="F538" s="152">
        <f>LOOKUP(C530,Nomina!$B$7:$B$51,Nomina!$Z$7:$Z$51)</f>
        <v>0</v>
      </c>
    </row>
    <row r="539" spans="1:6" ht="18.75" customHeight="1" x14ac:dyDescent="0.2">
      <c r="B539" s="149" t="str">
        <f>+Nomina!$O$6</f>
        <v>Comisiones</v>
      </c>
      <c r="C539" s="152">
        <f>LOOKUP(C530,Nomina!$B$7:$B$51,Nomina!$O$7:$O$51)</f>
        <v>0</v>
      </c>
      <c r="D539" s="142"/>
      <c r="E539" s="149" t="str">
        <f>CONCATENATE(Nomina!$K$6," - ",Nomina!$K32)</f>
        <v xml:space="preserve">Faltas - </v>
      </c>
      <c r="F539" s="152">
        <f>LOOKUP(C530,Nomina!$B$7:$B$51,Nomina!$W$7:$W$51)</f>
        <v>0</v>
      </c>
    </row>
    <row r="540" spans="1:6" ht="18.75" customHeight="1" x14ac:dyDescent="0.2">
      <c r="B540" s="149" t="str">
        <f>+Nomina!$T$6</f>
        <v>Subsidio</v>
      </c>
      <c r="C540" s="152">
        <f>LOOKUP(C530,Nomina!$B$7:$B$51,Nomina!$T$7:$T$51)</f>
        <v>0</v>
      </c>
      <c r="D540" s="142"/>
      <c r="E540" s="149"/>
      <c r="F540" s="153"/>
    </row>
    <row r="541" spans="1:6" ht="18.75" customHeight="1" x14ac:dyDescent="0.2">
      <c r="B541" s="149" t="str">
        <f>+Nomina!$Q$6</f>
        <v xml:space="preserve">Bono x Asistencia </v>
      </c>
      <c r="C541" s="152">
        <f>LOOKUP(C530,Nomina!$B$7:$B$51,Nomina!$Q$7:$Q$51)</f>
        <v>0</v>
      </c>
      <c r="D541" s="142"/>
      <c r="E541" s="149"/>
      <c r="F541" s="153"/>
    </row>
    <row r="542" spans="1:6" ht="18.75" customHeight="1" x14ac:dyDescent="0.2">
      <c r="B542" s="149" t="str">
        <f>+Nomina!$R$6</f>
        <v>Bono x Puntualidad</v>
      </c>
      <c r="C542" s="152">
        <f>LOOKUP(C530,Nomina!$B$7:$B$51,Nomina!$R$7:$R$51)</f>
        <v>0</v>
      </c>
      <c r="D542" s="142"/>
      <c r="E542" s="149"/>
      <c r="F542" s="153"/>
    </row>
    <row r="543" spans="1:6" ht="6" customHeight="1" x14ac:dyDescent="0.2">
      <c r="A543" s="148"/>
      <c r="B543" s="148"/>
      <c r="C543" s="148"/>
      <c r="D543" s="148"/>
      <c r="E543" s="148"/>
      <c r="F543" s="154"/>
    </row>
    <row r="544" spans="1:6" ht="18.75" customHeight="1" thickBot="1" x14ac:dyDescent="0.25">
      <c r="B544" s="155" t="s">
        <v>33</v>
      </c>
      <c r="C544" s="156">
        <f>(LOOKUP(C530,Nomina!$B$7:$B$51,Nomina!$P$7:$P$51)+LOOKUP(C530,Nomina!$B$7:$B$51,Nomina!$U$7:$U$51))</f>
        <v>0</v>
      </c>
      <c r="D544" s="142"/>
      <c r="E544" s="138" t="s">
        <v>72</v>
      </c>
      <c r="F544" s="152">
        <f>LOOKUP(C530,Nomina!$B$7:$B$51,Nomina!$AA$7:$AA$51)</f>
        <v>0</v>
      </c>
    </row>
    <row r="545" spans="2:6" ht="18.75" customHeight="1" thickBot="1" x14ac:dyDescent="0.25">
      <c r="B545" s="157" t="s">
        <v>90</v>
      </c>
      <c r="C545" s="158">
        <f>+C544-F544</f>
        <v>0</v>
      </c>
      <c r="D545" s="142"/>
      <c r="E545" s="159"/>
      <c r="F545" s="159"/>
    </row>
    <row r="546" spans="2:6" ht="16.5" customHeight="1" thickBot="1" x14ac:dyDescent="0.25">
      <c r="B546" s="160"/>
      <c r="C546" s="161"/>
      <c r="D546" s="162"/>
      <c r="E546" s="163"/>
      <c r="F546" s="163"/>
    </row>
    <row r="547" spans="2:6" ht="16.5" customHeight="1" x14ac:dyDescent="0.2">
      <c r="B547" s="164"/>
      <c r="C547" s="164"/>
      <c r="D547" s="142"/>
      <c r="E547" s="164"/>
      <c r="F547" s="159"/>
    </row>
    <row r="548" spans="2:6" ht="21.75" customHeight="1" x14ac:dyDescent="0.2">
      <c r="B548" s="196" t="s">
        <v>152</v>
      </c>
      <c r="C548" s="197"/>
      <c r="D548" s="197"/>
      <c r="E548" s="197"/>
      <c r="F548" s="197"/>
    </row>
    <row r="549" spans="2:6" ht="18" customHeight="1" x14ac:dyDescent="0.2">
      <c r="B549" s="138" t="s">
        <v>155</v>
      </c>
      <c r="C549" s="191">
        <f>+Nomina!$L$1</f>
        <v>0</v>
      </c>
      <c r="D549" s="192"/>
      <c r="E549" s="192"/>
      <c r="F549" s="193"/>
    </row>
    <row r="550" spans="2:6" ht="3.75" customHeight="1" x14ac:dyDescent="0.2">
      <c r="B550" s="139"/>
      <c r="C550" s="139"/>
      <c r="D550" s="139"/>
      <c r="E550" s="139"/>
      <c r="F550" s="139"/>
    </row>
    <row r="551" spans="2:6" ht="18.75" customHeight="1" x14ac:dyDescent="0.2">
      <c r="B551" s="140" t="s">
        <v>151</v>
      </c>
      <c r="C551" s="141">
        <v>27</v>
      </c>
      <c r="D551" s="142"/>
      <c r="E551" s="143" t="s">
        <v>153</v>
      </c>
      <c r="F551" s="144">
        <f>+Nomina!$L$3</f>
        <v>45292</v>
      </c>
    </row>
    <row r="552" spans="2:6" ht="18.75" customHeight="1" x14ac:dyDescent="0.2">
      <c r="B552" s="138" t="s">
        <v>150</v>
      </c>
      <c r="C552" s="145" t="str">
        <f>LOOKUP(C551,Nomina!$B$7:$B$51,Nomina!$C$7:$C$51)&amp;(LOOKUP(C551,Nomina!$B$7:$B$51,Nomina!$D$7:$D$51))</f>
        <v/>
      </c>
      <c r="D552" s="142"/>
      <c r="E552" s="143" t="s">
        <v>154</v>
      </c>
      <c r="F552" s="144">
        <f>+Nomina!$N$3</f>
        <v>45306</v>
      </c>
    </row>
    <row r="553" spans="2:6" ht="18.75" customHeight="1" x14ac:dyDescent="0.2">
      <c r="B553" s="138" t="s">
        <v>143</v>
      </c>
      <c r="C553" s="146">
        <f>LOOKUP(C551,Nomina!$B$7:$B$51,Nomina!$E$7:$E$51)</f>
        <v>0</v>
      </c>
      <c r="D553" s="142"/>
      <c r="E553" s="143" t="s">
        <v>149</v>
      </c>
      <c r="F553" s="147">
        <f>LOOKUP(C551,Nomina!$B$7:$B$51,Nomina!$I$7:$I$51)</f>
        <v>0</v>
      </c>
    </row>
    <row r="554" spans="2:6" ht="6" customHeight="1" x14ac:dyDescent="0.2">
      <c r="C554" s="148"/>
      <c r="D554" s="142"/>
      <c r="E554" s="148"/>
      <c r="F554" s="148"/>
    </row>
    <row r="555" spans="2:6" ht="18.75" customHeight="1" x14ac:dyDescent="0.2">
      <c r="B555" s="194" t="s">
        <v>84</v>
      </c>
      <c r="C555" s="194"/>
      <c r="D555" s="142"/>
      <c r="E555" s="195" t="s">
        <v>85</v>
      </c>
      <c r="F555" s="195"/>
    </row>
    <row r="556" spans="2:6" ht="5.25" customHeight="1" x14ac:dyDescent="0.2"/>
    <row r="557" spans="2:6" ht="18.75" customHeight="1" x14ac:dyDescent="0.2">
      <c r="B557" s="149" t="str">
        <f>+Nomina!$L$6</f>
        <v>Dias a Pagar</v>
      </c>
      <c r="C557" s="150">
        <f>LOOKUP($C551,Nomina!$B$7:$B$51,Nomina!$L$7:$L$51)</f>
        <v>15</v>
      </c>
      <c r="D557" s="142"/>
      <c r="E557" s="151" t="s">
        <v>13</v>
      </c>
      <c r="F557" s="152">
        <f>LOOKUP(C551,Nomina!$B$7:$B$51,Nomina!$X$7:$X$51)</f>
        <v>0</v>
      </c>
    </row>
    <row r="558" spans="2:6" ht="18.75" customHeight="1" x14ac:dyDescent="0.2">
      <c r="B558" s="149" t="str">
        <f>+Nomina!$M$6</f>
        <v>Sueldo</v>
      </c>
      <c r="C558" s="152">
        <f>LOOKUP(C551,Nomina!$B$7:$B$51,Nomina!$M$7:$M$51)</f>
        <v>0</v>
      </c>
      <c r="D558" s="142"/>
      <c r="E558" s="151" t="s">
        <v>3</v>
      </c>
      <c r="F558" s="152">
        <f>LOOKUP(C551,Nomina!$B$7:$B$51,Nomina!$Y$7:$Y$51)</f>
        <v>0</v>
      </c>
    </row>
    <row r="559" spans="2:6" ht="18.75" customHeight="1" x14ac:dyDescent="0.2">
      <c r="B559" s="149" t="str">
        <f>+Nomina!$N$6</f>
        <v>Horas Extras</v>
      </c>
      <c r="C559" s="152">
        <f>LOOKUP(C551,Nomina!$B$7:$B$51,Nomina!$N$7:$N$51)</f>
        <v>0</v>
      </c>
      <c r="D559" s="142"/>
      <c r="E559" s="151" t="s">
        <v>71</v>
      </c>
      <c r="F559" s="152">
        <f>LOOKUP(C551,Nomina!$B$7:$B$51,Nomina!$Z$7:$Z$51)</f>
        <v>0</v>
      </c>
    </row>
    <row r="560" spans="2:6" ht="18.75" customHeight="1" x14ac:dyDescent="0.2">
      <c r="B560" s="149" t="str">
        <f>+Nomina!$O$6</f>
        <v>Comisiones</v>
      </c>
      <c r="C560" s="152">
        <f>LOOKUP(C551,Nomina!$B$7:$B$51,Nomina!$O$7:$O$51)</f>
        <v>0</v>
      </c>
      <c r="D560" s="142"/>
      <c r="E560" s="149" t="str">
        <f>CONCATENATE(Nomina!$K$6," - ",Nomina!$K33)</f>
        <v xml:space="preserve">Faltas - </v>
      </c>
      <c r="F560" s="152">
        <f>LOOKUP(C551,Nomina!$B$7:$B$51,Nomina!$W$7:$W$51)</f>
        <v>0</v>
      </c>
    </row>
    <row r="561" spans="1:6" ht="18.75" customHeight="1" x14ac:dyDescent="0.2">
      <c r="B561" s="149" t="str">
        <f>+Nomina!$T$6</f>
        <v>Subsidio</v>
      </c>
      <c r="C561" s="152">
        <f>LOOKUP(C551,Nomina!$B$7:$B$51,Nomina!$T$7:$T$51)</f>
        <v>0</v>
      </c>
      <c r="D561" s="142"/>
      <c r="E561" s="149"/>
      <c r="F561" s="153"/>
    </row>
    <row r="562" spans="1:6" ht="18.75" customHeight="1" x14ac:dyDescent="0.2">
      <c r="B562" s="149" t="str">
        <f>+Nomina!$Q$6</f>
        <v xml:space="preserve">Bono x Asistencia </v>
      </c>
      <c r="C562" s="152">
        <f>LOOKUP(C551,Nomina!$B$7:$B$51,Nomina!$Q$7:$Q$51)</f>
        <v>0</v>
      </c>
      <c r="D562" s="142"/>
      <c r="E562" s="149"/>
      <c r="F562" s="153"/>
    </row>
    <row r="563" spans="1:6" ht="18.75" customHeight="1" x14ac:dyDescent="0.2">
      <c r="B563" s="149" t="str">
        <f>+Nomina!$R$6</f>
        <v>Bono x Puntualidad</v>
      </c>
      <c r="C563" s="152">
        <f>LOOKUP(C551,Nomina!$B$7:$B$51,Nomina!$R$7:$R$51)</f>
        <v>0</v>
      </c>
      <c r="D563" s="142"/>
      <c r="E563" s="149"/>
      <c r="F563" s="153"/>
    </row>
    <row r="564" spans="1:6" ht="6" customHeight="1" x14ac:dyDescent="0.2">
      <c r="A564" s="148"/>
      <c r="B564" s="148"/>
      <c r="C564" s="148"/>
      <c r="D564" s="148"/>
      <c r="E564" s="148"/>
      <c r="F564" s="154"/>
    </row>
    <row r="565" spans="1:6" ht="18.75" customHeight="1" thickBot="1" x14ac:dyDescent="0.25">
      <c r="B565" s="155" t="s">
        <v>33</v>
      </c>
      <c r="C565" s="156">
        <f>(LOOKUP(C551,Nomina!$B$7:$B$51,Nomina!$P$7:$P$51)+LOOKUP(C551,Nomina!$B$7:$B$51,Nomina!$U$7:$U$51))</f>
        <v>0</v>
      </c>
      <c r="D565" s="142"/>
      <c r="E565" s="138" t="s">
        <v>72</v>
      </c>
      <c r="F565" s="152">
        <f>LOOKUP(C551,Nomina!$B$7:$B$51,Nomina!$AA$7:$AA$51)</f>
        <v>0</v>
      </c>
    </row>
    <row r="566" spans="1:6" ht="18.75" customHeight="1" thickBot="1" x14ac:dyDescent="0.25">
      <c r="B566" s="157" t="s">
        <v>90</v>
      </c>
      <c r="C566" s="158">
        <f>+C565-F565</f>
        <v>0</v>
      </c>
      <c r="D566" s="142"/>
      <c r="E566" s="159"/>
      <c r="F566" s="159"/>
    </row>
    <row r="567" spans="1:6" ht="16.5" customHeight="1" thickBot="1" x14ac:dyDescent="0.25">
      <c r="B567" s="160"/>
      <c r="C567" s="161"/>
      <c r="D567" s="162"/>
      <c r="E567" s="163"/>
      <c r="F567" s="163"/>
    </row>
    <row r="568" spans="1:6" ht="16.5" customHeight="1" x14ac:dyDescent="0.2">
      <c r="B568" s="164"/>
      <c r="C568" s="164"/>
      <c r="D568" s="142"/>
      <c r="E568" s="164"/>
      <c r="F568" s="159"/>
    </row>
    <row r="569" spans="1:6" ht="21.75" customHeight="1" x14ac:dyDescent="0.2">
      <c r="B569" s="196" t="s">
        <v>152</v>
      </c>
      <c r="C569" s="197"/>
      <c r="D569" s="197"/>
      <c r="E569" s="197"/>
      <c r="F569" s="197"/>
    </row>
    <row r="570" spans="1:6" ht="18" customHeight="1" x14ac:dyDescent="0.2">
      <c r="B570" s="138" t="s">
        <v>155</v>
      </c>
      <c r="C570" s="191">
        <f>+Nomina!$L$1</f>
        <v>0</v>
      </c>
      <c r="D570" s="192"/>
      <c r="E570" s="192"/>
      <c r="F570" s="193"/>
    </row>
    <row r="571" spans="1:6" ht="3.75" customHeight="1" x14ac:dyDescent="0.2">
      <c r="B571" s="139"/>
      <c r="C571" s="139"/>
      <c r="D571" s="139"/>
      <c r="E571" s="139"/>
      <c r="F571" s="139"/>
    </row>
    <row r="572" spans="1:6" ht="18.75" customHeight="1" x14ac:dyDescent="0.2">
      <c r="B572" s="140" t="s">
        <v>151</v>
      </c>
      <c r="C572" s="141">
        <v>28</v>
      </c>
      <c r="D572" s="142"/>
      <c r="E572" s="143" t="s">
        <v>153</v>
      </c>
      <c r="F572" s="144">
        <f>+Nomina!$L$3</f>
        <v>45292</v>
      </c>
    </row>
    <row r="573" spans="1:6" ht="18.75" customHeight="1" x14ac:dyDescent="0.2">
      <c r="B573" s="138" t="s">
        <v>150</v>
      </c>
      <c r="C573" s="145" t="str">
        <f>LOOKUP(C572,Nomina!$B$7:$B$51,Nomina!$C$7:$C$51)&amp;(LOOKUP(C572,Nomina!$B$7:$B$51,Nomina!$D$7:$D$51))</f>
        <v/>
      </c>
      <c r="D573" s="142"/>
      <c r="E573" s="143" t="s">
        <v>154</v>
      </c>
      <c r="F573" s="144">
        <f>+Nomina!$N$3</f>
        <v>45306</v>
      </c>
    </row>
    <row r="574" spans="1:6" ht="18.75" customHeight="1" x14ac:dyDescent="0.2">
      <c r="B574" s="138" t="s">
        <v>143</v>
      </c>
      <c r="C574" s="146">
        <f>LOOKUP(C572,Nomina!$B$7:$B$51,Nomina!$E$7:$E$51)</f>
        <v>0</v>
      </c>
      <c r="D574" s="142"/>
      <c r="E574" s="143" t="s">
        <v>149</v>
      </c>
      <c r="F574" s="147">
        <f>LOOKUP(C572,Nomina!$B$7:$B$51,Nomina!$I$7:$I$51)</f>
        <v>0</v>
      </c>
    </row>
    <row r="575" spans="1:6" ht="6" customHeight="1" x14ac:dyDescent="0.2">
      <c r="C575" s="148"/>
      <c r="D575" s="142"/>
      <c r="E575" s="148"/>
      <c r="F575" s="148"/>
    </row>
    <row r="576" spans="1:6" ht="18.75" customHeight="1" x14ac:dyDescent="0.2">
      <c r="B576" s="194" t="s">
        <v>84</v>
      </c>
      <c r="C576" s="194"/>
      <c r="D576" s="142"/>
      <c r="E576" s="195" t="s">
        <v>85</v>
      </c>
      <c r="F576" s="195"/>
    </row>
    <row r="577" spans="1:6" ht="5.25" customHeight="1" x14ac:dyDescent="0.2"/>
    <row r="578" spans="1:6" ht="18.75" customHeight="1" x14ac:dyDescent="0.2">
      <c r="B578" s="149" t="str">
        <f>+Nomina!$L$6</f>
        <v>Dias a Pagar</v>
      </c>
      <c r="C578" s="150">
        <f>LOOKUP($C572,Nomina!$B$7:$B$51,Nomina!$L$7:$L$51)</f>
        <v>15</v>
      </c>
      <c r="D578" s="142"/>
      <c r="E578" s="151" t="s">
        <v>13</v>
      </c>
      <c r="F578" s="152">
        <f>LOOKUP(C572,Nomina!$B$7:$B$51,Nomina!$X$7:$X$51)</f>
        <v>0</v>
      </c>
    </row>
    <row r="579" spans="1:6" ht="18.75" customHeight="1" x14ac:dyDescent="0.2">
      <c r="B579" s="149" t="str">
        <f>+Nomina!$M$6</f>
        <v>Sueldo</v>
      </c>
      <c r="C579" s="152">
        <f>LOOKUP(C572,Nomina!$B$7:$B$51,Nomina!$M$7:$M$51)</f>
        <v>0</v>
      </c>
      <c r="D579" s="142"/>
      <c r="E579" s="151" t="s">
        <v>3</v>
      </c>
      <c r="F579" s="152">
        <f>LOOKUP(C572,Nomina!$B$7:$B$51,Nomina!$Y$7:$Y$51)</f>
        <v>0</v>
      </c>
    </row>
    <row r="580" spans="1:6" ht="18.75" customHeight="1" x14ac:dyDescent="0.2">
      <c r="B580" s="149" t="str">
        <f>+Nomina!$N$6</f>
        <v>Horas Extras</v>
      </c>
      <c r="C580" s="152">
        <f>LOOKUP(C572,Nomina!$B$7:$B$51,Nomina!$N$7:$N$51)</f>
        <v>0</v>
      </c>
      <c r="D580" s="142"/>
      <c r="E580" s="151" t="s">
        <v>71</v>
      </c>
      <c r="F580" s="152">
        <f>LOOKUP(C572,Nomina!$B$7:$B$51,Nomina!$Z$7:$Z$51)</f>
        <v>0</v>
      </c>
    </row>
    <row r="581" spans="1:6" ht="18.75" customHeight="1" x14ac:dyDescent="0.2">
      <c r="B581" s="149" t="str">
        <f>+Nomina!$O$6</f>
        <v>Comisiones</v>
      </c>
      <c r="C581" s="152">
        <f>LOOKUP(C572,Nomina!$B$7:$B$51,Nomina!$O$7:$O$51)</f>
        <v>0</v>
      </c>
      <c r="D581" s="142"/>
      <c r="E581" s="149" t="str">
        <f>CONCATENATE(Nomina!$K$6," - ",Nomina!$K34)</f>
        <v xml:space="preserve">Faltas - </v>
      </c>
      <c r="F581" s="152">
        <f>LOOKUP(C572,Nomina!$B$7:$B$51,Nomina!$W$7:$W$51)</f>
        <v>0</v>
      </c>
    </row>
    <row r="582" spans="1:6" ht="18.75" customHeight="1" x14ac:dyDescent="0.2">
      <c r="B582" s="149" t="str">
        <f>+Nomina!$T$6</f>
        <v>Subsidio</v>
      </c>
      <c r="C582" s="152">
        <f>LOOKUP(C572,Nomina!$B$7:$B$51,Nomina!$T$7:$T$51)</f>
        <v>0</v>
      </c>
      <c r="D582" s="142"/>
      <c r="E582" s="149"/>
      <c r="F582" s="153"/>
    </row>
    <row r="583" spans="1:6" ht="18.75" customHeight="1" x14ac:dyDescent="0.2">
      <c r="B583" s="149" t="str">
        <f>+Nomina!$Q$6</f>
        <v xml:space="preserve">Bono x Asistencia </v>
      </c>
      <c r="C583" s="152">
        <f>LOOKUP(C572,Nomina!$B$7:$B$51,Nomina!$Q$7:$Q$51)</f>
        <v>0</v>
      </c>
      <c r="D583" s="142"/>
      <c r="E583" s="149"/>
      <c r="F583" s="153"/>
    </row>
    <row r="584" spans="1:6" ht="18.75" customHeight="1" x14ac:dyDescent="0.2">
      <c r="B584" s="149" t="str">
        <f>+Nomina!$R$6</f>
        <v>Bono x Puntualidad</v>
      </c>
      <c r="C584" s="152">
        <f>LOOKUP(C572,Nomina!$B$7:$B$51,Nomina!$R$7:$R$51)</f>
        <v>0</v>
      </c>
      <c r="D584" s="142"/>
      <c r="E584" s="149"/>
      <c r="F584" s="153"/>
    </row>
    <row r="585" spans="1:6" ht="6" customHeight="1" x14ac:dyDescent="0.2">
      <c r="A585" s="148"/>
      <c r="B585" s="148"/>
      <c r="C585" s="148"/>
      <c r="D585" s="148"/>
      <c r="E585" s="148"/>
      <c r="F585" s="154"/>
    </row>
    <row r="586" spans="1:6" ht="18.75" customHeight="1" thickBot="1" x14ac:dyDescent="0.25">
      <c r="B586" s="155" t="s">
        <v>33</v>
      </c>
      <c r="C586" s="156">
        <f>(LOOKUP(C572,Nomina!$B$7:$B$51,Nomina!$P$7:$P$51)+LOOKUP(C572,Nomina!$B$7:$B$51,Nomina!$U$7:$U$51))</f>
        <v>0</v>
      </c>
      <c r="D586" s="142"/>
      <c r="E586" s="138" t="s">
        <v>72</v>
      </c>
      <c r="F586" s="152">
        <f>LOOKUP(C572,Nomina!$B$7:$B$51,Nomina!$AA$7:$AA$51)</f>
        <v>0</v>
      </c>
    </row>
    <row r="587" spans="1:6" ht="18.75" customHeight="1" thickBot="1" x14ac:dyDescent="0.25">
      <c r="B587" s="157" t="s">
        <v>90</v>
      </c>
      <c r="C587" s="158">
        <f>+C586-F586</f>
        <v>0</v>
      </c>
      <c r="D587" s="142"/>
      <c r="E587" s="159"/>
      <c r="F587" s="159"/>
    </row>
    <row r="588" spans="1:6" ht="16.5" customHeight="1" thickBot="1" x14ac:dyDescent="0.25">
      <c r="B588" s="160"/>
      <c r="C588" s="161"/>
      <c r="D588" s="162"/>
      <c r="E588" s="163"/>
      <c r="F588" s="163"/>
    </row>
    <row r="589" spans="1:6" ht="16.5" customHeight="1" x14ac:dyDescent="0.2">
      <c r="B589" s="164"/>
      <c r="C589" s="164"/>
      <c r="D589" s="142"/>
      <c r="E589" s="164"/>
      <c r="F589" s="159"/>
    </row>
    <row r="590" spans="1:6" ht="21.75" customHeight="1" x14ac:dyDescent="0.2">
      <c r="B590" s="196" t="s">
        <v>152</v>
      </c>
      <c r="C590" s="197"/>
      <c r="D590" s="197"/>
      <c r="E590" s="197"/>
      <c r="F590" s="197"/>
    </row>
    <row r="591" spans="1:6" ht="18" customHeight="1" x14ac:dyDescent="0.2">
      <c r="B591" s="138" t="s">
        <v>155</v>
      </c>
      <c r="C591" s="191">
        <f>+Nomina!$L$1</f>
        <v>0</v>
      </c>
      <c r="D591" s="192"/>
      <c r="E591" s="192"/>
      <c r="F591" s="193"/>
    </row>
    <row r="592" spans="1:6" ht="3.75" customHeight="1" x14ac:dyDescent="0.2">
      <c r="B592" s="139"/>
      <c r="C592" s="139"/>
      <c r="D592" s="139"/>
      <c r="E592" s="139"/>
      <c r="F592" s="139"/>
    </row>
    <row r="593" spans="1:6" ht="18.75" customHeight="1" x14ac:dyDescent="0.2">
      <c r="B593" s="140" t="s">
        <v>151</v>
      </c>
      <c r="C593" s="141">
        <v>29</v>
      </c>
      <c r="D593" s="142"/>
      <c r="E593" s="143" t="s">
        <v>153</v>
      </c>
      <c r="F593" s="144">
        <f>+Nomina!$L$3</f>
        <v>45292</v>
      </c>
    </row>
    <row r="594" spans="1:6" ht="18.75" customHeight="1" x14ac:dyDescent="0.2">
      <c r="B594" s="138" t="s">
        <v>150</v>
      </c>
      <c r="C594" s="145" t="str">
        <f>LOOKUP(C593,Nomina!$B$7:$B$51,Nomina!$C$7:$C$51)&amp;(LOOKUP(C593,Nomina!$B$7:$B$51,Nomina!$D$7:$D$51))</f>
        <v/>
      </c>
      <c r="D594" s="142"/>
      <c r="E594" s="143" t="s">
        <v>154</v>
      </c>
      <c r="F594" s="144">
        <f>+Nomina!$N$3</f>
        <v>45306</v>
      </c>
    </row>
    <row r="595" spans="1:6" ht="18.75" customHeight="1" x14ac:dyDescent="0.2">
      <c r="B595" s="138" t="s">
        <v>143</v>
      </c>
      <c r="C595" s="146">
        <f>LOOKUP(C593,Nomina!$B$7:$B$51,Nomina!$E$7:$E$51)</f>
        <v>0</v>
      </c>
      <c r="D595" s="142"/>
      <c r="E595" s="143" t="s">
        <v>149</v>
      </c>
      <c r="F595" s="147">
        <f>LOOKUP(C593,Nomina!$B$7:$B$51,Nomina!$I$7:$I$51)</f>
        <v>0</v>
      </c>
    </row>
    <row r="596" spans="1:6" ht="6" customHeight="1" x14ac:dyDescent="0.2">
      <c r="C596" s="148"/>
      <c r="D596" s="142"/>
      <c r="E596" s="148"/>
      <c r="F596" s="148"/>
    </row>
    <row r="597" spans="1:6" ht="18.75" customHeight="1" x14ac:dyDescent="0.2">
      <c r="B597" s="194" t="s">
        <v>84</v>
      </c>
      <c r="C597" s="194"/>
      <c r="D597" s="142"/>
      <c r="E597" s="195" t="s">
        <v>85</v>
      </c>
      <c r="F597" s="195"/>
    </row>
    <row r="598" spans="1:6" ht="5.25" customHeight="1" x14ac:dyDescent="0.2"/>
    <row r="599" spans="1:6" ht="18.75" customHeight="1" x14ac:dyDescent="0.2">
      <c r="B599" s="149" t="str">
        <f>+Nomina!$L$6</f>
        <v>Dias a Pagar</v>
      </c>
      <c r="C599" s="150">
        <f>LOOKUP($C593,Nomina!$B$7:$B$51,Nomina!$L$7:$L$51)</f>
        <v>15</v>
      </c>
      <c r="D599" s="142"/>
      <c r="E599" s="151" t="s">
        <v>13</v>
      </c>
      <c r="F599" s="152">
        <f>LOOKUP(C593,Nomina!$B$7:$B$51,Nomina!$X$7:$X$51)</f>
        <v>0</v>
      </c>
    </row>
    <row r="600" spans="1:6" ht="18.75" customHeight="1" x14ac:dyDescent="0.2">
      <c r="B600" s="149" t="str">
        <f>+Nomina!$M$6</f>
        <v>Sueldo</v>
      </c>
      <c r="C600" s="152">
        <f>LOOKUP(C593,Nomina!$B$7:$B$51,Nomina!$M$7:$M$51)</f>
        <v>0</v>
      </c>
      <c r="D600" s="142"/>
      <c r="E600" s="151" t="s">
        <v>3</v>
      </c>
      <c r="F600" s="152">
        <f>LOOKUP(C593,Nomina!$B$7:$B$51,Nomina!$Y$7:$Y$51)</f>
        <v>0</v>
      </c>
    </row>
    <row r="601" spans="1:6" ht="18.75" customHeight="1" x14ac:dyDescent="0.2">
      <c r="B601" s="149" t="str">
        <f>+Nomina!$N$6</f>
        <v>Horas Extras</v>
      </c>
      <c r="C601" s="152">
        <f>LOOKUP(C593,Nomina!$B$7:$B$51,Nomina!$N$7:$N$51)</f>
        <v>0</v>
      </c>
      <c r="D601" s="142"/>
      <c r="E601" s="151" t="s">
        <v>71</v>
      </c>
      <c r="F601" s="152">
        <f>LOOKUP(C593,Nomina!$B$7:$B$51,Nomina!$Z$7:$Z$51)</f>
        <v>0</v>
      </c>
    </row>
    <row r="602" spans="1:6" ht="18.75" customHeight="1" x14ac:dyDescent="0.2">
      <c r="B602" s="149" t="str">
        <f>+Nomina!$O$6</f>
        <v>Comisiones</v>
      </c>
      <c r="C602" s="152">
        <f>LOOKUP(C593,Nomina!$B$7:$B$51,Nomina!$O$7:$O$51)</f>
        <v>0</v>
      </c>
      <c r="D602" s="142"/>
      <c r="E602" s="149" t="str">
        <f>CONCATENATE(Nomina!$K$6," - ",Nomina!$K35)</f>
        <v xml:space="preserve">Faltas - </v>
      </c>
      <c r="F602" s="152">
        <f>LOOKUP(C593,Nomina!$B$7:$B$51,Nomina!$W$7:$W$51)</f>
        <v>0</v>
      </c>
    </row>
    <row r="603" spans="1:6" ht="18.75" customHeight="1" x14ac:dyDescent="0.2">
      <c r="B603" s="149" t="str">
        <f>+Nomina!$T$6</f>
        <v>Subsidio</v>
      </c>
      <c r="C603" s="152">
        <f>LOOKUP(C593,Nomina!$B$7:$B$51,Nomina!$T$7:$T$51)</f>
        <v>0</v>
      </c>
      <c r="D603" s="142"/>
      <c r="E603" s="149"/>
      <c r="F603" s="153"/>
    </row>
    <row r="604" spans="1:6" ht="18.75" customHeight="1" x14ac:dyDescent="0.2">
      <c r="B604" s="149" t="str">
        <f>+Nomina!$Q$6</f>
        <v xml:space="preserve">Bono x Asistencia </v>
      </c>
      <c r="C604" s="152">
        <f>LOOKUP(C593,Nomina!$B$7:$B$51,Nomina!$Q$7:$Q$51)</f>
        <v>0</v>
      </c>
      <c r="D604" s="142"/>
      <c r="E604" s="149"/>
      <c r="F604" s="153"/>
    </row>
    <row r="605" spans="1:6" ht="18.75" customHeight="1" x14ac:dyDescent="0.2">
      <c r="B605" s="149" t="str">
        <f>+Nomina!$R$6</f>
        <v>Bono x Puntualidad</v>
      </c>
      <c r="C605" s="152">
        <f>LOOKUP(C593,Nomina!$B$7:$B$51,Nomina!$R$7:$R$51)</f>
        <v>0</v>
      </c>
      <c r="D605" s="142"/>
      <c r="E605" s="149"/>
      <c r="F605" s="153"/>
    </row>
    <row r="606" spans="1:6" ht="6" customHeight="1" x14ac:dyDescent="0.2">
      <c r="A606" s="148"/>
      <c r="B606" s="148"/>
      <c r="C606" s="148"/>
      <c r="D606" s="148"/>
      <c r="E606" s="148"/>
      <c r="F606" s="154"/>
    </row>
    <row r="607" spans="1:6" ht="18.75" customHeight="1" thickBot="1" x14ac:dyDescent="0.25">
      <c r="B607" s="155" t="s">
        <v>33</v>
      </c>
      <c r="C607" s="156">
        <f>(LOOKUP(C593,Nomina!$B$7:$B$51,Nomina!$P$7:$P$51)+LOOKUP(C593,Nomina!$B$7:$B$51,Nomina!$U$7:$U$51))</f>
        <v>0</v>
      </c>
      <c r="D607" s="142"/>
      <c r="E607" s="138" t="s">
        <v>72</v>
      </c>
      <c r="F607" s="152">
        <f>LOOKUP(C593,Nomina!$B$7:$B$51,Nomina!$AA$7:$AA$51)</f>
        <v>0</v>
      </c>
    </row>
    <row r="608" spans="1:6" ht="18.75" customHeight="1" thickBot="1" x14ac:dyDescent="0.25">
      <c r="B608" s="157" t="s">
        <v>90</v>
      </c>
      <c r="C608" s="158">
        <f>+C607-F607</f>
        <v>0</v>
      </c>
      <c r="D608" s="142"/>
      <c r="E608" s="159"/>
      <c r="F608" s="159"/>
    </row>
    <row r="609" spans="2:6" ht="16.5" customHeight="1" thickBot="1" x14ac:dyDescent="0.25">
      <c r="B609" s="160"/>
      <c r="C609" s="161"/>
      <c r="D609" s="162"/>
      <c r="E609" s="163"/>
      <c r="F609" s="163"/>
    </row>
    <row r="610" spans="2:6" ht="16.5" customHeight="1" x14ac:dyDescent="0.2">
      <c r="B610" s="164"/>
      <c r="C610" s="164"/>
      <c r="D610" s="142"/>
      <c r="E610" s="164"/>
      <c r="F610" s="159"/>
    </row>
    <row r="611" spans="2:6" ht="21.75" customHeight="1" x14ac:dyDescent="0.2">
      <c r="B611" s="196" t="s">
        <v>152</v>
      </c>
      <c r="C611" s="197"/>
      <c r="D611" s="197"/>
      <c r="E611" s="197"/>
      <c r="F611" s="197"/>
    </row>
    <row r="612" spans="2:6" ht="18" customHeight="1" x14ac:dyDescent="0.2">
      <c r="B612" s="138" t="s">
        <v>155</v>
      </c>
      <c r="C612" s="191">
        <f>+Nomina!$L$1</f>
        <v>0</v>
      </c>
      <c r="D612" s="192"/>
      <c r="E612" s="192"/>
      <c r="F612" s="193"/>
    </row>
    <row r="613" spans="2:6" ht="3.75" customHeight="1" x14ac:dyDescent="0.2">
      <c r="B613" s="139"/>
      <c r="C613" s="139"/>
      <c r="D613" s="139"/>
      <c r="E613" s="139"/>
      <c r="F613" s="139"/>
    </row>
    <row r="614" spans="2:6" ht="18.75" customHeight="1" x14ac:dyDescent="0.2">
      <c r="B614" s="140" t="s">
        <v>151</v>
      </c>
      <c r="C614" s="141">
        <v>30</v>
      </c>
      <c r="D614" s="142"/>
      <c r="E614" s="143" t="s">
        <v>153</v>
      </c>
      <c r="F614" s="144">
        <f>+Nomina!$L$3</f>
        <v>45292</v>
      </c>
    </row>
    <row r="615" spans="2:6" ht="18.75" customHeight="1" x14ac:dyDescent="0.2">
      <c r="B615" s="138" t="s">
        <v>150</v>
      </c>
      <c r="C615" s="145" t="str">
        <f>LOOKUP(C614,Nomina!$B$7:$B$51,Nomina!$C$7:$C$51)&amp;(LOOKUP(C614,Nomina!$B$7:$B$51,Nomina!$D$7:$D$51))</f>
        <v/>
      </c>
      <c r="D615" s="142"/>
      <c r="E615" s="143" t="s">
        <v>154</v>
      </c>
      <c r="F615" s="144">
        <f>+Nomina!$N$3</f>
        <v>45306</v>
      </c>
    </row>
    <row r="616" spans="2:6" ht="18.75" customHeight="1" x14ac:dyDescent="0.2">
      <c r="B616" s="138" t="s">
        <v>143</v>
      </c>
      <c r="C616" s="146">
        <f>LOOKUP(C614,Nomina!$B$7:$B$51,Nomina!$E$7:$E$51)</f>
        <v>0</v>
      </c>
      <c r="D616" s="142"/>
      <c r="E616" s="143" t="s">
        <v>149</v>
      </c>
      <c r="F616" s="147">
        <f>LOOKUP(C614,Nomina!$B$7:$B$51,Nomina!$I$7:$I$51)</f>
        <v>0</v>
      </c>
    </row>
    <row r="617" spans="2:6" ht="6" customHeight="1" x14ac:dyDescent="0.2">
      <c r="C617" s="148"/>
      <c r="D617" s="142"/>
      <c r="E617" s="148"/>
      <c r="F617" s="148"/>
    </row>
    <row r="618" spans="2:6" ht="18.75" customHeight="1" x14ac:dyDescent="0.2">
      <c r="B618" s="194" t="s">
        <v>84</v>
      </c>
      <c r="C618" s="194"/>
      <c r="D618" s="142"/>
      <c r="E618" s="195" t="s">
        <v>85</v>
      </c>
      <c r="F618" s="195"/>
    </row>
    <row r="619" spans="2:6" ht="5.25" customHeight="1" x14ac:dyDescent="0.2"/>
    <row r="620" spans="2:6" ht="18.75" customHeight="1" x14ac:dyDescent="0.2">
      <c r="B620" s="149" t="str">
        <f>+Nomina!$L$6</f>
        <v>Dias a Pagar</v>
      </c>
      <c r="C620" s="150">
        <f>LOOKUP($C614,Nomina!$B$7:$B$51,Nomina!$L$7:$L$51)</f>
        <v>15</v>
      </c>
      <c r="D620" s="142"/>
      <c r="E620" s="151" t="s">
        <v>13</v>
      </c>
      <c r="F620" s="152">
        <f>LOOKUP(C614,Nomina!$B$7:$B$51,Nomina!$X$7:$X$51)</f>
        <v>0</v>
      </c>
    </row>
    <row r="621" spans="2:6" ht="18.75" customHeight="1" x14ac:dyDescent="0.2">
      <c r="B621" s="149" t="str">
        <f>+Nomina!$M$6</f>
        <v>Sueldo</v>
      </c>
      <c r="C621" s="152">
        <f>LOOKUP(C614,Nomina!$B$7:$B$51,Nomina!$M$7:$M$51)</f>
        <v>0</v>
      </c>
      <c r="D621" s="142"/>
      <c r="E621" s="151" t="s">
        <v>3</v>
      </c>
      <c r="F621" s="152">
        <f>LOOKUP(C614,Nomina!$B$7:$B$51,Nomina!$Y$7:$Y$51)</f>
        <v>0</v>
      </c>
    </row>
    <row r="622" spans="2:6" ht="18.75" customHeight="1" x14ac:dyDescent="0.2">
      <c r="B622" s="149" t="str">
        <f>+Nomina!$N$6</f>
        <v>Horas Extras</v>
      </c>
      <c r="C622" s="152">
        <f>LOOKUP(C614,Nomina!$B$7:$B$51,Nomina!$N$7:$N$51)</f>
        <v>0</v>
      </c>
      <c r="D622" s="142"/>
      <c r="E622" s="151" t="s">
        <v>71</v>
      </c>
      <c r="F622" s="152">
        <f>LOOKUP(C614,Nomina!$B$7:$B$51,Nomina!$Z$7:$Z$51)</f>
        <v>0</v>
      </c>
    </row>
    <row r="623" spans="2:6" ht="18.75" customHeight="1" x14ac:dyDescent="0.2">
      <c r="B623" s="149" t="str">
        <f>+Nomina!$O$6</f>
        <v>Comisiones</v>
      </c>
      <c r="C623" s="152">
        <f>LOOKUP(C614,Nomina!$B$7:$B$51,Nomina!$O$7:$O$51)</f>
        <v>0</v>
      </c>
      <c r="D623" s="142"/>
      <c r="E623" s="149" t="str">
        <f>CONCATENATE(Nomina!$K$6," - ",Nomina!$K36)</f>
        <v xml:space="preserve">Faltas - </v>
      </c>
      <c r="F623" s="152">
        <f>LOOKUP(C614,Nomina!$B$7:$B$51,Nomina!$W$7:$W$51)</f>
        <v>0</v>
      </c>
    </row>
    <row r="624" spans="2:6" ht="18.75" customHeight="1" x14ac:dyDescent="0.2">
      <c r="B624" s="149" t="str">
        <f>+Nomina!$T$6</f>
        <v>Subsidio</v>
      </c>
      <c r="C624" s="152">
        <f>LOOKUP(C614,Nomina!$B$7:$B$51,Nomina!$T$7:$T$51)</f>
        <v>0</v>
      </c>
      <c r="D624" s="142"/>
      <c r="E624" s="149"/>
      <c r="F624" s="153"/>
    </row>
    <row r="625" spans="1:6" ht="18.75" customHeight="1" x14ac:dyDescent="0.2">
      <c r="B625" s="149" t="str">
        <f>+Nomina!$Q$6</f>
        <v xml:space="preserve">Bono x Asistencia </v>
      </c>
      <c r="C625" s="152">
        <f>LOOKUP(C614,Nomina!$B$7:$B$51,Nomina!$Q$7:$Q$51)</f>
        <v>0</v>
      </c>
      <c r="D625" s="142"/>
      <c r="E625" s="149"/>
      <c r="F625" s="153"/>
    </row>
    <row r="626" spans="1:6" ht="18.75" customHeight="1" x14ac:dyDescent="0.2">
      <c r="B626" s="149" t="str">
        <f>+Nomina!$R$6</f>
        <v>Bono x Puntualidad</v>
      </c>
      <c r="C626" s="152">
        <f>LOOKUP(C614,Nomina!$B$7:$B$51,Nomina!$R$7:$R$51)</f>
        <v>0</v>
      </c>
      <c r="D626" s="142"/>
      <c r="E626" s="149"/>
      <c r="F626" s="153"/>
    </row>
    <row r="627" spans="1:6" ht="6" customHeight="1" x14ac:dyDescent="0.2">
      <c r="A627" s="148"/>
      <c r="B627" s="148"/>
      <c r="C627" s="148"/>
      <c r="D627" s="148"/>
      <c r="E627" s="148"/>
      <c r="F627" s="154"/>
    </row>
    <row r="628" spans="1:6" ht="18.75" customHeight="1" thickBot="1" x14ac:dyDescent="0.25">
      <c r="B628" s="155" t="s">
        <v>33</v>
      </c>
      <c r="C628" s="156">
        <f>(LOOKUP(C614,Nomina!$B$7:$B$51,Nomina!$P$7:$P$51)+LOOKUP(C614,Nomina!$B$7:$B$51,Nomina!$U$7:$U$51))</f>
        <v>0</v>
      </c>
      <c r="D628" s="142"/>
      <c r="E628" s="138" t="s">
        <v>72</v>
      </c>
      <c r="F628" s="152">
        <f>LOOKUP(C614,Nomina!$B$7:$B$51,Nomina!$AA$7:$AA$51)</f>
        <v>0</v>
      </c>
    </row>
    <row r="629" spans="1:6" ht="18.75" customHeight="1" thickBot="1" x14ac:dyDescent="0.25">
      <c r="B629" s="157" t="s">
        <v>90</v>
      </c>
      <c r="C629" s="158">
        <f>+C628-F628</f>
        <v>0</v>
      </c>
      <c r="D629" s="142"/>
      <c r="E629" s="159"/>
      <c r="F629" s="159"/>
    </row>
    <row r="630" spans="1:6" ht="16.5" customHeight="1" thickBot="1" x14ac:dyDescent="0.25">
      <c r="B630" s="160"/>
      <c r="C630" s="161"/>
      <c r="D630" s="162"/>
      <c r="E630" s="163"/>
      <c r="F630" s="163"/>
    </row>
    <row r="631" spans="1:6" ht="16.5" customHeight="1" x14ac:dyDescent="0.2">
      <c r="B631" s="164"/>
      <c r="C631" s="164"/>
      <c r="D631" s="142"/>
      <c r="E631" s="164"/>
      <c r="F631" s="159"/>
    </row>
    <row r="632" spans="1:6" ht="21.75" customHeight="1" x14ac:dyDescent="0.2">
      <c r="B632" s="196" t="s">
        <v>152</v>
      </c>
      <c r="C632" s="197"/>
      <c r="D632" s="197"/>
      <c r="E632" s="197"/>
      <c r="F632" s="197"/>
    </row>
    <row r="633" spans="1:6" ht="18" customHeight="1" x14ac:dyDescent="0.2">
      <c r="B633" s="138" t="s">
        <v>155</v>
      </c>
      <c r="C633" s="191">
        <f>+Nomina!$L$1</f>
        <v>0</v>
      </c>
      <c r="D633" s="192"/>
      <c r="E633" s="192"/>
      <c r="F633" s="193"/>
    </row>
    <row r="634" spans="1:6" ht="3.75" customHeight="1" x14ac:dyDescent="0.2">
      <c r="B634" s="139"/>
      <c r="C634" s="139"/>
      <c r="D634" s="139"/>
      <c r="E634" s="139"/>
      <c r="F634" s="139"/>
    </row>
    <row r="635" spans="1:6" ht="18.75" customHeight="1" x14ac:dyDescent="0.2">
      <c r="B635" s="140" t="s">
        <v>151</v>
      </c>
      <c r="C635" s="141">
        <v>31</v>
      </c>
      <c r="D635" s="142"/>
      <c r="E635" s="143" t="s">
        <v>153</v>
      </c>
      <c r="F635" s="144">
        <f>+Nomina!$L$3</f>
        <v>45292</v>
      </c>
    </row>
    <row r="636" spans="1:6" ht="18.75" customHeight="1" x14ac:dyDescent="0.2">
      <c r="B636" s="138" t="s">
        <v>150</v>
      </c>
      <c r="C636" s="145" t="str">
        <f>LOOKUP(C635,Nomina!$B$7:$B$51,Nomina!$C$7:$C$51)&amp;(LOOKUP(C635,Nomina!$B$7:$B$51,Nomina!$D$7:$D$51))</f>
        <v/>
      </c>
      <c r="D636" s="142"/>
      <c r="E636" s="143" t="s">
        <v>154</v>
      </c>
      <c r="F636" s="144">
        <f>+Nomina!$N$3</f>
        <v>45306</v>
      </c>
    </row>
    <row r="637" spans="1:6" ht="18.75" customHeight="1" x14ac:dyDescent="0.2">
      <c r="B637" s="138" t="s">
        <v>143</v>
      </c>
      <c r="C637" s="146">
        <f>LOOKUP(C635,Nomina!$B$7:$B$51,Nomina!$E$7:$E$51)</f>
        <v>0</v>
      </c>
      <c r="D637" s="142"/>
      <c r="E637" s="143" t="s">
        <v>149</v>
      </c>
      <c r="F637" s="147">
        <f>LOOKUP(C635,Nomina!$B$7:$B$51,Nomina!$I$7:$I$51)</f>
        <v>0</v>
      </c>
    </row>
    <row r="638" spans="1:6" ht="6" customHeight="1" x14ac:dyDescent="0.2">
      <c r="C638" s="148"/>
      <c r="D638" s="142"/>
      <c r="E638" s="148"/>
      <c r="F638" s="148"/>
    </row>
    <row r="639" spans="1:6" ht="18.75" customHeight="1" x14ac:dyDescent="0.2">
      <c r="B639" s="194" t="s">
        <v>84</v>
      </c>
      <c r="C639" s="194"/>
      <c r="D639" s="142"/>
      <c r="E639" s="195" t="s">
        <v>85</v>
      </c>
      <c r="F639" s="195"/>
    </row>
    <row r="640" spans="1:6" ht="5.25" customHeight="1" x14ac:dyDescent="0.2"/>
    <row r="641" spans="1:6" ht="18.75" customHeight="1" x14ac:dyDescent="0.2">
      <c r="B641" s="149" t="str">
        <f>+Nomina!$L$6</f>
        <v>Dias a Pagar</v>
      </c>
      <c r="C641" s="150">
        <f>LOOKUP($C635,Nomina!$B$7:$B$51,Nomina!$L$7:$L$51)</f>
        <v>15</v>
      </c>
      <c r="D641" s="142"/>
      <c r="E641" s="151" t="s">
        <v>13</v>
      </c>
      <c r="F641" s="152">
        <f>LOOKUP(C635,Nomina!$B$7:$B$51,Nomina!$X$7:$X$51)</f>
        <v>0</v>
      </c>
    </row>
    <row r="642" spans="1:6" ht="18.75" customHeight="1" x14ac:dyDescent="0.2">
      <c r="B642" s="149" t="str">
        <f>+Nomina!$M$6</f>
        <v>Sueldo</v>
      </c>
      <c r="C642" s="152">
        <f>LOOKUP(C635,Nomina!$B$7:$B$51,Nomina!$M$7:$M$51)</f>
        <v>0</v>
      </c>
      <c r="D642" s="142"/>
      <c r="E642" s="151" t="s">
        <v>3</v>
      </c>
      <c r="F642" s="152">
        <f>LOOKUP(C635,Nomina!$B$7:$B$51,Nomina!$Y$7:$Y$51)</f>
        <v>0</v>
      </c>
    </row>
    <row r="643" spans="1:6" ht="18.75" customHeight="1" x14ac:dyDescent="0.2">
      <c r="B643" s="149" t="str">
        <f>+Nomina!$N$6</f>
        <v>Horas Extras</v>
      </c>
      <c r="C643" s="152">
        <f>LOOKUP(C635,Nomina!$B$7:$B$51,Nomina!$N$7:$N$51)</f>
        <v>0</v>
      </c>
      <c r="D643" s="142"/>
      <c r="E643" s="151" t="s">
        <v>71</v>
      </c>
      <c r="F643" s="152">
        <f>LOOKUP(C635,Nomina!$B$7:$B$51,Nomina!$Z$7:$Z$51)</f>
        <v>0</v>
      </c>
    </row>
    <row r="644" spans="1:6" ht="18.75" customHeight="1" x14ac:dyDescent="0.2">
      <c r="B644" s="149" t="str">
        <f>+Nomina!$O$6</f>
        <v>Comisiones</v>
      </c>
      <c r="C644" s="152">
        <f>LOOKUP(C635,Nomina!$B$7:$B$51,Nomina!$O$7:$O$51)</f>
        <v>0</v>
      </c>
      <c r="D644" s="142"/>
      <c r="E644" s="149" t="str">
        <f>CONCATENATE(Nomina!$K$6," - ",Nomina!$K37)</f>
        <v xml:space="preserve">Faltas - </v>
      </c>
      <c r="F644" s="152">
        <f>LOOKUP(C635,Nomina!$B$7:$B$51,Nomina!$W$7:$W$51)</f>
        <v>0</v>
      </c>
    </row>
    <row r="645" spans="1:6" ht="18.75" customHeight="1" x14ac:dyDescent="0.2">
      <c r="B645" s="149" t="str">
        <f>+Nomina!$T$6</f>
        <v>Subsidio</v>
      </c>
      <c r="C645" s="152">
        <f>LOOKUP(C635,Nomina!$B$7:$B$51,Nomina!$T$7:$T$51)</f>
        <v>0</v>
      </c>
      <c r="D645" s="142"/>
      <c r="E645" s="149"/>
      <c r="F645" s="153"/>
    </row>
    <row r="646" spans="1:6" ht="18.75" customHeight="1" x14ac:dyDescent="0.2">
      <c r="B646" s="149" t="str">
        <f>+Nomina!$Q$6</f>
        <v xml:space="preserve">Bono x Asistencia </v>
      </c>
      <c r="C646" s="152">
        <f>LOOKUP(C635,Nomina!$B$7:$B$51,Nomina!$Q$7:$Q$51)</f>
        <v>0</v>
      </c>
      <c r="D646" s="142"/>
      <c r="E646" s="149"/>
      <c r="F646" s="153"/>
    </row>
    <row r="647" spans="1:6" ht="18.75" customHeight="1" x14ac:dyDescent="0.2">
      <c r="B647" s="149" t="str">
        <f>+Nomina!$R$6</f>
        <v>Bono x Puntualidad</v>
      </c>
      <c r="C647" s="152">
        <f>LOOKUP(C635,Nomina!$B$7:$B$51,Nomina!$R$7:$R$51)</f>
        <v>0</v>
      </c>
      <c r="D647" s="142"/>
      <c r="E647" s="149"/>
      <c r="F647" s="153"/>
    </row>
    <row r="648" spans="1:6" ht="6" customHeight="1" x14ac:dyDescent="0.2">
      <c r="A648" s="148"/>
      <c r="B648" s="148"/>
      <c r="C648" s="148"/>
      <c r="D648" s="148"/>
      <c r="E648" s="148"/>
      <c r="F648" s="154"/>
    </row>
    <row r="649" spans="1:6" ht="18.75" customHeight="1" thickBot="1" x14ac:dyDescent="0.25">
      <c r="B649" s="155" t="s">
        <v>33</v>
      </c>
      <c r="C649" s="156">
        <f>(LOOKUP(C635,Nomina!$B$7:$B$51,Nomina!$P$7:$P$51)+LOOKUP(C635,Nomina!$B$7:$B$51,Nomina!$U$7:$U$51))</f>
        <v>0</v>
      </c>
      <c r="D649" s="142"/>
      <c r="E649" s="138" t="s">
        <v>72</v>
      </c>
      <c r="F649" s="152">
        <f>LOOKUP(C635,Nomina!$B$7:$B$51,Nomina!$AA$7:$AA$51)</f>
        <v>0</v>
      </c>
    </row>
    <row r="650" spans="1:6" ht="18.75" customHeight="1" thickBot="1" x14ac:dyDescent="0.25">
      <c r="B650" s="157" t="s">
        <v>90</v>
      </c>
      <c r="C650" s="158">
        <f>+C649-F649</f>
        <v>0</v>
      </c>
      <c r="D650" s="142"/>
      <c r="E650" s="159"/>
      <c r="F650" s="159"/>
    </row>
    <row r="651" spans="1:6" ht="16.5" customHeight="1" thickBot="1" x14ac:dyDescent="0.25">
      <c r="B651" s="160"/>
      <c r="C651" s="161"/>
      <c r="D651" s="162"/>
      <c r="E651" s="163"/>
      <c r="F651" s="163"/>
    </row>
    <row r="652" spans="1:6" ht="16.5" customHeight="1" x14ac:dyDescent="0.2">
      <c r="B652" s="164"/>
      <c r="C652" s="164"/>
      <c r="D652" s="142"/>
      <c r="E652" s="164"/>
      <c r="F652" s="159"/>
    </row>
    <row r="653" spans="1:6" ht="21.75" customHeight="1" x14ac:dyDescent="0.2">
      <c r="B653" s="196" t="s">
        <v>152</v>
      </c>
      <c r="C653" s="197"/>
      <c r="D653" s="197"/>
      <c r="E653" s="197"/>
      <c r="F653" s="197"/>
    </row>
    <row r="654" spans="1:6" ht="18" customHeight="1" x14ac:dyDescent="0.2">
      <c r="B654" s="138" t="s">
        <v>155</v>
      </c>
      <c r="C654" s="191">
        <f>+Nomina!$L$1</f>
        <v>0</v>
      </c>
      <c r="D654" s="192"/>
      <c r="E654" s="192"/>
      <c r="F654" s="193"/>
    </row>
    <row r="655" spans="1:6" ht="3.75" customHeight="1" x14ac:dyDescent="0.2">
      <c r="B655" s="139"/>
      <c r="C655" s="139"/>
      <c r="D655" s="139"/>
      <c r="E655" s="139"/>
      <c r="F655" s="139"/>
    </row>
    <row r="656" spans="1:6" ht="18.75" customHeight="1" x14ac:dyDescent="0.2">
      <c r="B656" s="140" t="s">
        <v>151</v>
      </c>
      <c r="C656" s="141">
        <v>32</v>
      </c>
      <c r="D656" s="142"/>
      <c r="E656" s="143" t="s">
        <v>153</v>
      </c>
      <c r="F656" s="144">
        <f>+Nomina!$L$3</f>
        <v>45292</v>
      </c>
    </row>
    <row r="657" spans="1:6" ht="18.75" customHeight="1" x14ac:dyDescent="0.2">
      <c r="B657" s="138" t="s">
        <v>150</v>
      </c>
      <c r="C657" s="145" t="str">
        <f>LOOKUP(C656,Nomina!$B$7:$B$51,Nomina!$C$7:$C$51)&amp;(LOOKUP(C656,Nomina!$B$7:$B$51,Nomina!$D$7:$D$51))</f>
        <v/>
      </c>
      <c r="D657" s="142"/>
      <c r="E657" s="143" t="s">
        <v>154</v>
      </c>
      <c r="F657" s="144">
        <f>+Nomina!$N$3</f>
        <v>45306</v>
      </c>
    </row>
    <row r="658" spans="1:6" ht="18.75" customHeight="1" x14ac:dyDescent="0.2">
      <c r="B658" s="138" t="s">
        <v>143</v>
      </c>
      <c r="C658" s="146">
        <f>LOOKUP(C656,Nomina!$B$7:$B$51,Nomina!$E$7:$E$51)</f>
        <v>0</v>
      </c>
      <c r="D658" s="142"/>
      <c r="E658" s="143" t="s">
        <v>149</v>
      </c>
      <c r="F658" s="147">
        <f>LOOKUP(C656,Nomina!$B$7:$B$51,Nomina!$I$7:$I$51)</f>
        <v>0</v>
      </c>
    </row>
    <row r="659" spans="1:6" ht="6" customHeight="1" x14ac:dyDescent="0.2">
      <c r="C659" s="148"/>
      <c r="D659" s="142"/>
      <c r="E659" s="148"/>
      <c r="F659" s="148"/>
    </row>
    <row r="660" spans="1:6" ht="18.75" customHeight="1" x14ac:dyDescent="0.2">
      <c r="B660" s="194" t="s">
        <v>84</v>
      </c>
      <c r="C660" s="194"/>
      <c r="D660" s="142"/>
      <c r="E660" s="195" t="s">
        <v>85</v>
      </c>
      <c r="F660" s="195"/>
    </row>
    <row r="661" spans="1:6" ht="5.25" customHeight="1" x14ac:dyDescent="0.2"/>
    <row r="662" spans="1:6" ht="18.75" customHeight="1" x14ac:dyDescent="0.2">
      <c r="B662" s="149" t="str">
        <f>+Nomina!$L$6</f>
        <v>Dias a Pagar</v>
      </c>
      <c r="C662" s="150">
        <f>LOOKUP($C656,Nomina!$B$7:$B$51,Nomina!$L$7:$L$51)</f>
        <v>15</v>
      </c>
      <c r="D662" s="142"/>
      <c r="E662" s="151" t="s">
        <v>13</v>
      </c>
      <c r="F662" s="152">
        <f>LOOKUP(C656,Nomina!$B$7:$B$51,Nomina!$X$7:$X$51)</f>
        <v>0</v>
      </c>
    </row>
    <row r="663" spans="1:6" ht="18.75" customHeight="1" x14ac:dyDescent="0.2">
      <c r="B663" s="149" t="str">
        <f>+Nomina!$M$6</f>
        <v>Sueldo</v>
      </c>
      <c r="C663" s="152">
        <f>LOOKUP(C656,Nomina!$B$7:$B$51,Nomina!$M$7:$M$51)</f>
        <v>0</v>
      </c>
      <c r="D663" s="142"/>
      <c r="E663" s="151" t="s">
        <v>3</v>
      </c>
      <c r="F663" s="152">
        <f>LOOKUP(C656,Nomina!$B$7:$B$51,Nomina!$Y$7:$Y$51)</f>
        <v>0</v>
      </c>
    </row>
    <row r="664" spans="1:6" ht="18.75" customHeight="1" x14ac:dyDescent="0.2">
      <c r="B664" s="149" t="str">
        <f>+Nomina!$N$6</f>
        <v>Horas Extras</v>
      </c>
      <c r="C664" s="152">
        <f>LOOKUP(C656,Nomina!$B$7:$B$51,Nomina!$N$7:$N$51)</f>
        <v>0</v>
      </c>
      <c r="D664" s="142"/>
      <c r="E664" s="151" t="s">
        <v>71</v>
      </c>
      <c r="F664" s="152">
        <f>LOOKUP(C656,Nomina!$B$7:$B$51,Nomina!$Z$7:$Z$51)</f>
        <v>0</v>
      </c>
    </row>
    <row r="665" spans="1:6" ht="18.75" customHeight="1" x14ac:dyDescent="0.2">
      <c r="B665" s="149" t="str">
        <f>+Nomina!$O$6</f>
        <v>Comisiones</v>
      </c>
      <c r="C665" s="152">
        <f>LOOKUP(C656,Nomina!$B$7:$B$51,Nomina!$O$7:$O$51)</f>
        <v>0</v>
      </c>
      <c r="D665" s="142"/>
      <c r="E665" s="149" t="str">
        <f>CONCATENATE(Nomina!$K$6," - ",Nomina!$K38)</f>
        <v xml:space="preserve">Faltas - </v>
      </c>
      <c r="F665" s="152">
        <f>LOOKUP(C656,Nomina!$B$7:$B$51,Nomina!$W$7:$W$51)</f>
        <v>0</v>
      </c>
    </row>
    <row r="666" spans="1:6" ht="18.75" customHeight="1" x14ac:dyDescent="0.2">
      <c r="B666" s="149" t="str">
        <f>+Nomina!$T$6</f>
        <v>Subsidio</v>
      </c>
      <c r="C666" s="152">
        <f>LOOKUP(C656,Nomina!$B$7:$B$51,Nomina!$T$7:$T$51)</f>
        <v>0</v>
      </c>
      <c r="D666" s="142"/>
      <c r="E666" s="149"/>
      <c r="F666" s="153"/>
    </row>
    <row r="667" spans="1:6" ht="18.75" customHeight="1" x14ac:dyDescent="0.2">
      <c r="B667" s="149" t="str">
        <f>+Nomina!$Q$6</f>
        <v xml:space="preserve">Bono x Asistencia </v>
      </c>
      <c r="C667" s="152">
        <f>LOOKUP(C656,Nomina!$B$7:$B$51,Nomina!$Q$7:$Q$51)</f>
        <v>0</v>
      </c>
      <c r="D667" s="142"/>
      <c r="E667" s="149"/>
      <c r="F667" s="153"/>
    </row>
    <row r="668" spans="1:6" ht="18.75" customHeight="1" x14ac:dyDescent="0.2">
      <c r="B668" s="149" t="str">
        <f>+Nomina!$R$6</f>
        <v>Bono x Puntualidad</v>
      </c>
      <c r="C668" s="152">
        <f>LOOKUP(C656,Nomina!$B$7:$B$51,Nomina!$R$7:$R$51)</f>
        <v>0</v>
      </c>
      <c r="D668" s="142"/>
      <c r="E668" s="149"/>
      <c r="F668" s="153"/>
    </row>
    <row r="669" spans="1:6" ht="6" customHeight="1" x14ac:dyDescent="0.2">
      <c r="A669" s="148"/>
      <c r="B669" s="148"/>
      <c r="C669" s="148"/>
      <c r="D669" s="148"/>
      <c r="E669" s="148"/>
      <c r="F669" s="154"/>
    </row>
    <row r="670" spans="1:6" ht="18.75" customHeight="1" thickBot="1" x14ac:dyDescent="0.25">
      <c r="B670" s="155" t="s">
        <v>33</v>
      </c>
      <c r="C670" s="156">
        <f>(LOOKUP(C656,Nomina!$B$7:$B$51,Nomina!$P$7:$P$51)+LOOKUP(C656,Nomina!$B$7:$B$51,Nomina!$U$7:$U$51))</f>
        <v>0</v>
      </c>
      <c r="D670" s="142"/>
      <c r="E670" s="138" t="s">
        <v>72</v>
      </c>
      <c r="F670" s="152">
        <f>LOOKUP(C656,Nomina!$B$7:$B$51,Nomina!$AA$7:$AA$51)</f>
        <v>0</v>
      </c>
    </row>
    <row r="671" spans="1:6" ht="18.75" customHeight="1" thickBot="1" x14ac:dyDescent="0.25">
      <c r="B671" s="157" t="s">
        <v>90</v>
      </c>
      <c r="C671" s="158">
        <f>+C670-F670</f>
        <v>0</v>
      </c>
      <c r="D671" s="142"/>
      <c r="E671" s="159"/>
      <c r="F671" s="159"/>
    </row>
    <row r="672" spans="1:6" ht="16.5" customHeight="1" thickBot="1" x14ac:dyDescent="0.25">
      <c r="B672" s="160"/>
      <c r="C672" s="161"/>
      <c r="D672" s="162"/>
      <c r="E672" s="163"/>
      <c r="F672" s="163"/>
    </row>
    <row r="673" spans="2:6" ht="16.5" customHeight="1" x14ac:dyDescent="0.2">
      <c r="B673" s="164"/>
      <c r="C673" s="164"/>
      <c r="D673" s="142"/>
      <c r="E673" s="164"/>
      <c r="F673" s="159"/>
    </row>
    <row r="674" spans="2:6" ht="21.75" customHeight="1" x14ac:dyDescent="0.2">
      <c r="B674" s="196" t="s">
        <v>152</v>
      </c>
      <c r="C674" s="197"/>
      <c r="D674" s="197"/>
      <c r="E674" s="197"/>
      <c r="F674" s="197"/>
    </row>
    <row r="675" spans="2:6" ht="18" customHeight="1" x14ac:dyDescent="0.2">
      <c r="B675" s="138" t="s">
        <v>155</v>
      </c>
      <c r="C675" s="191">
        <f>+Nomina!$L$1</f>
        <v>0</v>
      </c>
      <c r="D675" s="192"/>
      <c r="E675" s="192"/>
      <c r="F675" s="193"/>
    </row>
    <row r="676" spans="2:6" ht="3.75" customHeight="1" x14ac:dyDescent="0.2">
      <c r="B676" s="139"/>
      <c r="C676" s="139"/>
      <c r="D676" s="139"/>
      <c r="E676" s="139"/>
      <c r="F676" s="139"/>
    </row>
    <row r="677" spans="2:6" ht="18.75" customHeight="1" x14ac:dyDescent="0.2">
      <c r="B677" s="140" t="s">
        <v>151</v>
      </c>
      <c r="C677" s="141">
        <v>33</v>
      </c>
      <c r="D677" s="142"/>
      <c r="E677" s="143" t="s">
        <v>153</v>
      </c>
      <c r="F677" s="144">
        <f>+Nomina!$L$3</f>
        <v>45292</v>
      </c>
    </row>
    <row r="678" spans="2:6" ht="18.75" customHeight="1" x14ac:dyDescent="0.2">
      <c r="B678" s="138" t="s">
        <v>150</v>
      </c>
      <c r="C678" s="145" t="str">
        <f>LOOKUP(C677,Nomina!$B$7:$B$51,Nomina!$C$7:$C$51)&amp;(LOOKUP(C677,Nomina!$B$7:$B$51,Nomina!$D$7:$D$51))</f>
        <v/>
      </c>
      <c r="D678" s="142"/>
      <c r="E678" s="143" t="s">
        <v>154</v>
      </c>
      <c r="F678" s="144">
        <f>+Nomina!$N$3</f>
        <v>45306</v>
      </c>
    </row>
    <row r="679" spans="2:6" ht="18.75" customHeight="1" x14ac:dyDescent="0.2">
      <c r="B679" s="138" t="s">
        <v>143</v>
      </c>
      <c r="C679" s="146">
        <f>LOOKUP(C677,Nomina!$B$7:$B$51,Nomina!$E$7:$E$51)</f>
        <v>0</v>
      </c>
      <c r="D679" s="142"/>
      <c r="E679" s="143" t="s">
        <v>149</v>
      </c>
      <c r="F679" s="147">
        <f>LOOKUP(C677,Nomina!$B$7:$B$51,Nomina!$I$7:$I$51)</f>
        <v>0</v>
      </c>
    </row>
    <row r="680" spans="2:6" ht="6" customHeight="1" x14ac:dyDescent="0.2">
      <c r="C680" s="148"/>
      <c r="D680" s="142"/>
      <c r="E680" s="148"/>
      <c r="F680" s="148"/>
    </row>
    <row r="681" spans="2:6" ht="18.75" customHeight="1" x14ac:dyDescent="0.2">
      <c r="B681" s="194" t="s">
        <v>84</v>
      </c>
      <c r="C681" s="194"/>
      <c r="D681" s="142"/>
      <c r="E681" s="195" t="s">
        <v>85</v>
      </c>
      <c r="F681" s="195"/>
    </row>
    <row r="682" spans="2:6" ht="5.25" customHeight="1" x14ac:dyDescent="0.2"/>
    <row r="683" spans="2:6" ht="18.75" customHeight="1" x14ac:dyDescent="0.2">
      <c r="B683" s="149" t="str">
        <f>+Nomina!$L$6</f>
        <v>Dias a Pagar</v>
      </c>
      <c r="C683" s="150">
        <f>LOOKUP($C677,Nomina!$B$7:$B$51,Nomina!$L$7:$L$51)</f>
        <v>15</v>
      </c>
      <c r="D683" s="142"/>
      <c r="E683" s="151" t="s">
        <v>13</v>
      </c>
      <c r="F683" s="152">
        <f>LOOKUP(C677,Nomina!$B$7:$B$51,Nomina!$X$7:$X$51)</f>
        <v>0</v>
      </c>
    </row>
    <row r="684" spans="2:6" ht="18.75" customHeight="1" x14ac:dyDescent="0.2">
      <c r="B684" s="149" t="str">
        <f>+Nomina!$M$6</f>
        <v>Sueldo</v>
      </c>
      <c r="C684" s="152">
        <f>LOOKUP(C677,Nomina!$B$7:$B$51,Nomina!$M$7:$M$51)</f>
        <v>0</v>
      </c>
      <c r="D684" s="142"/>
      <c r="E684" s="151" t="s">
        <v>3</v>
      </c>
      <c r="F684" s="152">
        <f>LOOKUP(C677,Nomina!$B$7:$B$51,Nomina!$Y$7:$Y$51)</f>
        <v>0</v>
      </c>
    </row>
    <row r="685" spans="2:6" ht="18.75" customHeight="1" x14ac:dyDescent="0.2">
      <c r="B685" s="149" t="str">
        <f>+Nomina!$N$6</f>
        <v>Horas Extras</v>
      </c>
      <c r="C685" s="152">
        <f>LOOKUP(C677,Nomina!$B$7:$B$51,Nomina!$N$7:$N$51)</f>
        <v>0</v>
      </c>
      <c r="D685" s="142"/>
      <c r="E685" s="151" t="s">
        <v>71</v>
      </c>
      <c r="F685" s="152">
        <f>LOOKUP(C677,Nomina!$B$7:$B$51,Nomina!$Z$7:$Z$51)</f>
        <v>0</v>
      </c>
    </row>
    <row r="686" spans="2:6" ht="18.75" customHeight="1" x14ac:dyDescent="0.2">
      <c r="B686" s="149" t="str">
        <f>+Nomina!$O$6</f>
        <v>Comisiones</v>
      </c>
      <c r="C686" s="152">
        <f>LOOKUP(C677,Nomina!$B$7:$B$51,Nomina!$O$7:$O$51)</f>
        <v>0</v>
      </c>
      <c r="D686" s="142"/>
      <c r="E686" s="149" t="str">
        <f>CONCATENATE(Nomina!$K$6," - ",Nomina!$K39)</f>
        <v xml:space="preserve">Faltas - </v>
      </c>
      <c r="F686" s="152">
        <f>LOOKUP(C677,Nomina!$B$7:$B$51,Nomina!$W$7:$W$51)</f>
        <v>0</v>
      </c>
    </row>
    <row r="687" spans="2:6" ht="18.75" customHeight="1" x14ac:dyDescent="0.2">
      <c r="B687" s="149" t="str">
        <f>+Nomina!$T$6</f>
        <v>Subsidio</v>
      </c>
      <c r="C687" s="152">
        <f>LOOKUP(C677,Nomina!$B$7:$B$51,Nomina!$T$7:$T$51)</f>
        <v>0</v>
      </c>
      <c r="D687" s="142"/>
      <c r="E687" s="149"/>
      <c r="F687" s="153"/>
    </row>
    <row r="688" spans="2:6" ht="18.75" customHeight="1" x14ac:dyDescent="0.2">
      <c r="B688" s="149" t="str">
        <f>+Nomina!$Q$6</f>
        <v xml:space="preserve">Bono x Asistencia </v>
      </c>
      <c r="C688" s="152">
        <f>LOOKUP(C677,Nomina!$B$7:$B$51,Nomina!$Q$7:$Q$51)</f>
        <v>0</v>
      </c>
      <c r="D688" s="142"/>
      <c r="E688" s="149"/>
      <c r="F688" s="153"/>
    </row>
    <row r="689" spans="1:6" ht="18.75" customHeight="1" x14ac:dyDescent="0.2">
      <c r="B689" s="149" t="str">
        <f>+Nomina!$R$6</f>
        <v>Bono x Puntualidad</v>
      </c>
      <c r="C689" s="152">
        <f>LOOKUP(C677,Nomina!$B$7:$B$51,Nomina!$R$7:$R$51)</f>
        <v>0</v>
      </c>
      <c r="D689" s="142"/>
      <c r="E689" s="149"/>
      <c r="F689" s="153"/>
    </row>
    <row r="690" spans="1:6" ht="6" customHeight="1" x14ac:dyDescent="0.2">
      <c r="A690" s="148"/>
      <c r="B690" s="148"/>
      <c r="C690" s="148"/>
      <c r="D690" s="148"/>
      <c r="E690" s="148"/>
      <c r="F690" s="154"/>
    </row>
    <row r="691" spans="1:6" ht="18.75" customHeight="1" thickBot="1" x14ac:dyDescent="0.25">
      <c r="B691" s="155" t="s">
        <v>33</v>
      </c>
      <c r="C691" s="156">
        <f>(LOOKUP(C677,Nomina!$B$7:$B$51,Nomina!$P$7:$P$51)+LOOKUP(C677,Nomina!$B$7:$B$51,Nomina!$U$7:$U$51))</f>
        <v>0</v>
      </c>
      <c r="D691" s="142"/>
      <c r="E691" s="138" t="s">
        <v>72</v>
      </c>
      <c r="F691" s="152">
        <f>LOOKUP(C677,Nomina!$B$7:$B$51,Nomina!$AA$7:$AA$51)</f>
        <v>0</v>
      </c>
    </row>
    <row r="692" spans="1:6" ht="18.75" customHeight="1" thickBot="1" x14ac:dyDescent="0.25">
      <c r="B692" s="157" t="s">
        <v>90</v>
      </c>
      <c r="C692" s="158">
        <f>+C691-F691</f>
        <v>0</v>
      </c>
      <c r="D692" s="142"/>
      <c r="E692" s="159"/>
      <c r="F692" s="159"/>
    </row>
    <row r="693" spans="1:6" ht="16.5" customHeight="1" thickBot="1" x14ac:dyDescent="0.25">
      <c r="B693" s="160"/>
      <c r="C693" s="161"/>
      <c r="D693" s="162"/>
      <c r="E693" s="163"/>
      <c r="F693" s="163"/>
    </row>
    <row r="694" spans="1:6" ht="16.5" customHeight="1" x14ac:dyDescent="0.2">
      <c r="B694" s="164"/>
      <c r="C694" s="164"/>
      <c r="D694" s="142"/>
      <c r="E694" s="164"/>
      <c r="F694" s="159"/>
    </row>
    <row r="695" spans="1:6" ht="21.75" customHeight="1" x14ac:dyDescent="0.2">
      <c r="B695" s="196" t="s">
        <v>152</v>
      </c>
      <c r="C695" s="197"/>
      <c r="D695" s="197"/>
      <c r="E695" s="197"/>
      <c r="F695" s="197"/>
    </row>
    <row r="696" spans="1:6" ht="18" customHeight="1" x14ac:dyDescent="0.2">
      <c r="B696" s="138" t="s">
        <v>155</v>
      </c>
      <c r="C696" s="191">
        <f>+Nomina!$L$1</f>
        <v>0</v>
      </c>
      <c r="D696" s="192"/>
      <c r="E696" s="192"/>
      <c r="F696" s="193"/>
    </row>
    <row r="697" spans="1:6" ht="3.75" customHeight="1" x14ac:dyDescent="0.2">
      <c r="B697" s="139"/>
      <c r="C697" s="139"/>
      <c r="D697" s="139"/>
      <c r="E697" s="139"/>
      <c r="F697" s="139"/>
    </row>
    <row r="698" spans="1:6" ht="18.75" customHeight="1" x14ac:dyDescent="0.2">
      <c r="B698" s="140" t="s">
        <v>151</v>
      </c>
      <c r="C698" s="141">
        <v>34</v>
      </c>
      <c r="D698" s="142"/>
      <c r="E698" s="143" t="s">
        <v>153</v>
      </c>
      <c r="F698" s="144">
        <f>+Nomina!$L$3</f>
        <v>45292</v>
      </c>
    </row>
    <row r="699" spans="1:6" ht="18.75" customHeight="1" x14ac:dyDescent="0.2">
      <c r="B699" s="138" t="s">
        <v>150</v>
      </c>
      <c r="C699" s="145" t="str">
        <f>LOOKUP(C698,Nomina!$B$7:$B$51,Nomina!$C$7:$C$51)&amp;(LOOKUP(C698,Nomina!$B$7:$B$51,Nomina!$D$7:$D$51))</f>
        <v/>
      </c>
      <c r="D699" s="142"/>
      <c r="E699" s="143" t="s">
        <v>154</v>
      </c>
      <c r="F699" s="144">
        <f>+Nomina!$N$3</f>
        <v>45306</v>
      </c>
    </row>
    <row r="700" spans="1:6" ht="18.75" customHeight="1" x14ac:dyDescent="0.2">
      <c r="B700" s="138" t="s">
        <v>143</v>
      </c>
      <c r="C700" s="146">
        <f>LOOKUP(C698,Nomina!$B$7:$B$51,Nomina!$E$7:$E$51)</f>
        <v>0</v>
      </c>
      <c r="D700" s="142"/>
      <c r="E700" s="143" t="s">
        <v>149</v>
      </c>
      <c r="F700" s="147">
        <f>LOOKUP(C698,Nomina!$B$7:$B$51,Nomina!$I$7:$I$51)</f>
        <v>0</v>
      </c>
    </row>
    <row r="701" spans="1:6" ht="6" customHeight="1" x14ac:dyDescent="0.2">
      <c r="C701" s="148"/>
      <c r="D701" s="142"/>
      <c r="E701" s="148"/>
      <c r="F701" s="148"/>
    </row>
    <row r="702" spans="1:6" ht="18.75" customHeight="1" x14ac:dyDescent="0.2">
      <c r="B702" s="194" t="s">
        <v>84</v>
      </c>
      <c r="C702" s="194"/>
      <c r="D702" s="142"/>
      <c r="E702" s="195" t="s">
        <v>85</v>
      </c>
      <c r="F702" s="195"/>
    </row>
    <row r="703" spans="1:6" ht="5.25" customHeight="1" x14ac:dyDescent="0.2"/>
    <row r="704" spans="1:6" ht="18.75" customHeight="1" x14ac:dyDescent="0.2">
      <c r="B704" s="149" t="str">
        <f>+Nomina!$L$6</f>
        <v>Dias a Pagar</v>
      </c>
      <c r="C704" s="150">
        <f>LOOKUP($C698,Nomina!$B$7:$B$51,Nomina!$L$7:$L$51)</f>
        <v>15</v>
      </c>
      <c r="D704" s="142"/>
      <c r="E704" s="151" t="s">
        <v>13</v>
      </c>
      <c r="F704" s="152">
        <f>LOOKUP(C698,Nomina!$B$7:$B$51,Nomina!$X$7:$X$51)</f>
        <v>0</v>
      </c>
    </row>
    <row r="705" spans="1:6" ht="18.75" customHeight="1" x14ac:dyDescent="0.2">
      <c r="B705" s="149" t="str">
        <f>+Nomina!$M$6</f>
        <v>Sueldo</v>
      </c>
      <c r="C705" s="152">
        <f>LOOKUP(C698,Nomina!$B$7:$B$51,Nomina!$M$7:$M$51)</f>
        <v>0</v>
      </c>
      <c r="D705" s="142"/>
      <c r="E705" s="151" t="s">
        <v>3</v>
      </c>
      <c r="F705" s="152">
        <f>LOOKUP(C698,Nomina!$B$7:$B$51,Nomina!$Y$7:$Y$51)</f>
        <v>0</v>
      </c>
    </row>
    <row r="706" spans="1:6" ht="18.75" customHeight="1" x14ac:dyDescent="0.2">
      <c r="B706" s="149" t="str">
        <f>+Nomina!$N$6</f>
        <v>Horas Extras</v>
      </c>
      <c r="C706" s="152">
        <f>LOOKUP(C698,Nomina!$B$7:$B$51,Nomina!$N$7:$N$51)</f>
        <v>0</v>
      </c>
      <c r="D706" s="142"/>
      <c r="E706" s="151" t="s">
        <v>71</v>
      </c>
      <c r="F706" s="152">
        <f>LOOKUP(C698,Nomina!$B$7:$B$51,Nomina!$Z$7:$Z$51)</f>
        <v>0</v>
      </c>
    </row>
    <row r="707" spans="1:6" ht="18.75" customHeight="1" x14ac:dyDescent="0.2">
      <c r="B707" s="149" t="str">
        <f>+Nomina!$O$6</f>
        <v>Comisiones</v>
      </c>
      <c r="C707" s="152">
        <f>LOOKUP(C698,Nomina!$B$7:$B$51,Nomina!$O$7:$O$51)</f>
        <v>0</v>
      </c>
      <c r="D707" s="142"/>
      <c r="E707" s="149" t="str">
        <f>CONCATENATE(Nomina!$K$6," - ",Nomina!$K40)</f>
        <v xml:space="preserve">Faltas - </v>
      </c>
      <c r="F707" s="152">
        <f>LOOKUP(C698,Nomina!$B$7:$B$51,Nomina!$W$7:$W$51)</f>
        <v>0</v>
      </c>
    </row>
    <row r="708" spans="1:6" ht="18.75" customHeight="1" x14ac:dyDescent="0.2">
      <c r="B708" s="149" t="str">
        <f>+Nomina!$T$6</f>
        <v>Subsidio</v>
      </c>
      <c r="C708" s="152">
        <f>LOOKUP(C698,Nomina!$B$7:$B$51,Nomina!$T$7:$T$51)</f>
        <v>0</v>
      </c>
      <c r="D708" s="142"/>
      <c r="E708" s="149"/>
      <c r="F708" s="153"/>
    </row>
    <row r="709" spans="1:6" ht="18.75" customHeight="1" x14ac:dyDescent="0.2">
      <c r="B709" s="149" t="str">
        <f>+Nomina!$Q$6</f>
        <v xml:space="preserve">Bono x Asistencia </v>
      </c>
      <c r="C709" s="152">
        <f>LOOKUP(C698,Nomina!$B$7:$B$51,Nomina!$Q$7:$Q$51)</f>
        <v>0</v>
      </c>
      <c r="D709" s="142"/>
      <c r="E709" s="149"/>
      <c r="F709" s="153"/>
    </row>
    <row r="710" spans="1:6" ht="18.75" customHeight="1" x14ac:dyDescent="0.2">
      <c r="B710" s="149" t="str">
        <f>+Nomina!$R$6</f>
        <v>Bono x Puntualidad</v>
      </c>
      <c r="C710" s="152">
        <f>LOOKUP(C698,Nomina!$B$7:$B$51,Nomina!$R$7:$R$51)</f>
        <v>0</v>
      </c>
      <c r="D710" s="142"/>
      <c r="E710" s="149"/>
      <c r="F710" s="153"/>
    </row>
    <row r="711" spans="1:6" ht="6" customHeight="1" x14ac:dyDescent="0.2">
      <c r="A711" s="148"/>
      <c r="B711" s="148"/>
      <c r="C711" s="148"/>
      <c r="D711" s="148"/>
      <c r="E711" s="148"/>
      <c r="F711" s="154"/>
    </row>
    <row r="712" spans="1:6" ht="18.75" customHeight="1" thickBot="1" x14ac:dyDescent="0.25">
      <c r="B712" s="155" t="s">
        <v>33</v>
      </c>
      <c r="C712" s="156">
        <f>(LOOKUP(C698,Nomina!$B$7:$B$51,Nomina!$P$7:$P$51)+LOOKUP(C698,Nomina!$B$7:$B$51,Nomina!$U$7:$U$51))</f>
        <v>0</v>
      </c>
      <c r="D712" s="142"/>
      <c r="E712" s="138" t="s">
        <v>72</v>
      </c>
      <c r="F712" s="152">
        <f>LOOKUP(C698,Nomina!$B$7:$B$51,Nomina!$AA$7:$AA$51)</f>
        <v>0</v>
      </c>
    </row>
    <row r="713" spans="1:6" ht="18.75" customHeight="1" thickBot="1" x14ac:dyDescent="0.25">
      <c r="B713" s="157" t="s">
        <v>90</v>
      </c>
      <c r="C713" s="158">
        <f>+C712-F712</f>
        <v>0</v>
      </c>
      <c r="D713" s="142"/>
      <c r="E713" s="159"/>
      <c r="F713" s="159"/>
    </row>
    <row r="714" spans="1:6" ht="16.5" customHeight="1" thickBot="1" x14ac:dyDescent="0.25">
      <c r="B714" s="160"/>
      <c r="C714" s="161"/>
      <c r="D714" s="162"/>
      <c r="E714" s="163"/>
      <c r="F714" s="163"/>
    </row>
    <row r="715" spans="1:6" ht="16.5" customHeight="1" x14ac:dyDescent="0.2">
      <c r="B715" s="164"/>
      <c r="C715" s="164"/>
      <c r="D715" s="142"/>
      <c r="E715" s="164"/>
      <c r="F715" s="159"/>
    </row>
    <row r="716" spans="1:6" ht="21.75" customHeight="1" x14ac:dyDescent="0.2">
      <c r="B716" s="196" t="s">
        <v>152</v>
      </c>
      <c r="C716" s="197"/>
      <c r="D716" s="197"/>
      <c r="E716" s="197"/>
      <c r="F716" s="197"/>
    </row>
    <row r="717" spans="1:6" ht="18" customHeight="1" x14ac:dyDescent="0.2">
      <c r="B717" s="138" t="s">
        <v>155</v>
      </c>
      <c r="C717" s="191">
        <f>+Nomina!$L$1</f>
        <v>0</v>
      </c>
      <c r="D717" s="192"/>
      <c r="E717" s="192"/>
      <c r="F717" s="193"/>
    </row>
    <row r="718" spans="1:6" ht="3.75" customHeight="1" x14ac:dyDescent="0.2">
      <c r="B718" s="139"/>
      <c r="C718" s="139"/>
      <c r="D718" s="139"/>
      <c r="E718" s="139"/>
      <c r="F718" s="139"/>
    </row>
    <row r="719" spans="1:6" ht="18.75" customHeight="1" x14ac:dyDescent="0.2">
      <c r="B719" s="140" t="s">
        <v>151</v>
      </c>
      <c r="C719" s="141">
        <v>35</v>
      </c>
      <c r="D719" s="142"/>
      <c r="E719" s="143" t="s">
        <v>153</v>
      </c>
      <c r="F719" s="144">
        <f>+Nomina!$L$3</f>
        <v>45292</v>
      </c>
    </row>
    <row r="720" spans="1:6" ht="18.75" customHeight="1" x14ac:dyDescent="0.2">
      <c r="B720" s="138" t="s">
        <v>150</v>
      </c>
      <c r="C720" s="145" t="str">
        <f>LOOKUP(C719,Nomina!$B$7:$B$51,Nomina!$C$7:$C$51)&amp;(LOOKUP(C719,Nomina!$B$7:$B$51,Nomina!$D$7:$D$51))</f>
        <v/>
      </c>
      <c r="D720" s="142"/>
      <c r="E720" s="143" t="s">
        <v>154</v>
      </c>
      <c r="F720" s="144">
        <f>+Nomina!$N$3</f>
        <v>45306</v>
      </c>
    </row>
    <row r="721" spans="1:6" ht="18.75" customHeight="1" x14ac:dyDescent="0.2">
      <c r="B721" s="138" t="s">
        <v>143</v>
      </c>
      <c r="C721" s="146">
        <f>LOOKUP(C719,Nomina!$B$7:$B$51,Nomina!$E$7:$E$51)</f>
        <v>0</v>
      </c>
      <c r="D721" s="142"/>
      <c r="E721" s="143" t="s">
        <v>149</v>
      </c>
      <c r="F721" s="147">
        <f>LOOKUP(C719,Nomina!$B$7:$B$51,Nomina!$I$7:$I$51)</f>
        <v>0</v>
      </c>
    </row>
    <row r="722" spans="1:6" ht="6" customHeight="1" x14ac:dyDescent="0.2">
      <c r="C722" s="148"/>
      <c r="D722" s="142"/>
      <c r="E722" s="148"/>
      <c r="F722" s="148"/>
    </row>
    <row r="723" spans="1:6" ht="18.75" customHeight="1" x14ac:dyDescent="0.2">
      <c r="B723" s="194" t="s">
        <v>84</v>
      </c>
      <c r="C723" s="194"/>
      <c r="D723" s="142"/>
      <c r="E723" s="195" t="s">
        <v>85</v>
      </c>
      <c r="F723" s="195"/>
    </row>
    <row r="724" spans="1:6" ht="5.25" customHeight="1" x14ac:dyDescent="0.2"/>
    <row r="725" spans="1:6" ht="18.75" customHeight="1" x14ac:dyDescent="0.2">
      <c r="B725" s="149" t="str">
        <f>+Nomina!$L$6</f>
        <v>Dias a Pagar</v>
      </c>
      <c r="C725" s="150">
        <f>LOOKUP($C719,Nomina!$B$7:$B$51,Nomina!$L$7:$L$51)</f>
        <v>15</v>
      </c>
      <c r="D725" s="142"/>
      <c r="E725" s="151" t="s">
        <v>13</v>
      </c>
      <c r="F725" s="152">
        <f>LOOKUP(C719,Nomina!$B$7:$B$51,Nomina!$X$7:$X$51)</f>
        <v>0</v>
      </c>
    </row>
    <row r="726" spans="1:6" ht="18.75" customHeight="1" x14ac:dyDescent="0.2">
      <c r="B726" s="149" t="str">
        <f>+Nomina!$M$6</f>
        <v>Sueldo</v>
      </c>
      <c r="C726" s="152">
        <f>LOOKUP(C719,Nomina!$B$7:$B$51,Nomina!$M$7:$M$51)</f>
        <v>0</v>
      </c>
      <c r="D726" s="142"/>
      <c r="E726" s="151" t="s">
        <v>3</v>
      </c>
      <c r="F726" s="152">
        <f>LOOKUP(C719,Nomina!$B$7:$B$51,Nomina!$Y$7:$Y$51)</f>
        <v>0</v>
      </c>
    </row>
    <row r="727" spans="1:6" ht="18.75" customHeight="1" x14ac:dyDescent="0.2">
      <c r="B727" s="149" t="str">
        <f>+Nomina!$N$6</f>
        <v>Horas Extras</v>
      </c>
      <c r="C727" s="152">
        <f>LOOKUP(C719,Nomina!$B$7:$B$51,Nomina!$N$7:$N$51)</f>
        <v>0</v>
      </c>
      <c r="D727" s="142"/>
      <c r="E727" s="151" t="s">
        <v>71</v>
      </c>
      <c r="F727" s="152">
        <f>LOOKUP(C719,Nomina!$B$7:$B$51,Nomina!$Z$7:$Z$51)</f>
        <v>0</v>
      </c>
    </row>
    <row r="728" spans="1:6" ht="18.75" customHeight="1" x14ac:dyDescent="0.2">
      <c r="B728" s="149" t="str">
        <f>+Nomina!$O$6</f>
        <v>Comisiones</v>
      </c>
      <c r="C728" s="152">
        <f>LOOKUP(C719,Nomina!$B$7:$B$51,Nomina!$O$7:$O$51)</f>
        <v>0</v>
      </c>
      <c r="D728" s="142"/>
      <c r="E728" s="149" t="str">
        <f>CONCATENATE(Nomina!$K$6," - ",Nomina!$K41)</f>
        <v xml:space="preserve">Faltas - </v>
      </c>
      <c r="F728" s="152">
        <f>LOOKUP(C719,Nomina!$B$7:$B$51,Nomina!$W$7:$W$51)</f>
        <v>0</v>
      </c>
    </row>
    <row r="729" spans="1:6" ht="18.75" customHeight="1" x14ac:dyDescent="0.2">
      <c r="B729" s="149" t="str">
        <f>+Nomina!$T$6</f>
        <v>Subsidio</v>
      </c>
      <c r="C729" s="152">
        <f>LOOKUP(C719,Nomina!$B$7:$B$51,Nomina!$T$7:$T$51)</f>
        <v>0</v>
      </c>
      <c r="D729" s="142"/>
      <c r="E729" s="149"/>
      <c r="F729" s="153"/>
    </row>
    <row r="730" spans="1:6" ht="18.75" customHeight="1" x14ac:dyDescent="0.2">
      <c r="B730" s="149" t="str">
        <f>+Nomina!$Q$6</f>
        <v xml:space="preserve">Bono x Asistencia </v>
      </c>
      <c r="C730" s="152">
        <f>LOOKUP(C719,Nomina!$B$7:$B$51,Nomina!$Q$7:$Q$51)</f>
        <v>0</v>
      </c>
      <c r="D730" s="142"/>
      <c r="E730" s="149"/>
      <c r="F730" s="153"/>
    </row>
    <row r="731" spans="1:6" ht="18.75" customHeight="1" x14ac:dyDescent="0.2">
      <c r="B731" s="149" t="str">
        <f>+Nomina!$R$6</f>
        <v>Bono x Puntualidad</v>
      </c>
      <c r="C731" s="152">
        <f>LOOKUP(C719,Nomina!$B$7:$B$51,Nomina!$R$7:$R$51)</f>
        <v>0</v>
      </c>
      <c r="D731" s="142"/>
      <c r="E731" s="149"/>
      <c r="F731" s="153"/>
    </row>
    <row r="732" spans="1:6" ht="6" customHeight="1" x14ac:dyDescent="0.2">
      <c r="A732" s="148"/>
      <c r="B732" s="148"/>
      <c r="C732" s="148"/>
      <c r="D732" s="148"/>
      <c r="E732" s="148"/>
      <c r="F732" s="154"/>
    </row>
    <row r="733" spans="1:6" ht="18.75" customHeight="1" thickBot="1" x14ac:dyDescent="0.25">
      <c r="B733" s="155" t="s">
        <v>33</v>
      </c>
      <c r="C733" s="156">
        <f>(LOOKUP(C719,Nomina!$B$7:$B$51,Nomina!$P$7:$P$51)+LOOKUP(C719,Nomina!$B$7:$B$51,Nomina!$U$7:$U$51))</f>
        <v>0</v>
      </c>
      <c r="D733" s="142"/>
      <c r="E733" s="138" t="s">
        <v>72</v>
      </c>
      <c r="F733" s="152">
        <f>LOOKUP(C719,Nomina!$B$7:$B$51,Nomina!$AA$7:$AA$51)</f>
        <v>0</v>
      </c>
    </row>
    <row r="734" spans="1:6" ht="18.75" customHeight="1" thickBot="1" x14ac:dyDescent="0.25">
      <c r="B734" s="157" t="s">
        <v>90</v>
      </c>
      <c r="C734" s="158">
        <f>+C733-F733</f>
        <v>0</v>
      </c>
      <c r="D734" s="142"/>
      <c r="E734" s="159"/>
      <c r="F734" s="159"/>
    </row>
    <row r="735" spans="1:6" ht="16.5" customHeight="1" thickBot="1" x14ac:dyDescent="0.25">
      <c r="B735" s="160"/>
      <c r="C735" s="161"/>
      <c r="D735" s="162"/>
      <c r="E735" s="163"/>
      <c r="F735" s="163"/>
    </row>
    <row r="736" spans="1:6" ht="16.5" customHeight="1" x14ac:dyDescent="0.2">
      <c r="B736" s="164"/>
      <c r="C736" s="164"/>
      <c r="D736" s="142"/>
      <c r="E736" s="164"/>
      <c r="F736" s="159"/>
    </row>
    <row r="737" spans="2:6" ht="21.75" customHeight="1" x14ac:dyDescent="0.2">
      <c r="B737" s="196" t="s">
        <v>152</v>
      </c>
      <c r="C737" s="197"/>
      <c r="D737" s="197"/>
      <c r="E737" s="197"/>
      <c r="F737" s="197"/>
    </row>
    <row r="738" spans="2:6" ht="18" customHeight="1" x14ac:dyDescent="0.2">
      <c r="B738" s="138" t="s">
        <v>155</v>
      </c>
      <c r="C738" s="191">
        <f>+Nomina!$L$1</f>
        <v>0</v>
      </c>
      <c r="D738" s="192"/>
      <c r="E738" s="192"/>
      <c r="F738" s="193"/>
    </row>
    <row r="739" spans="2:6" ht="3.75" customHeight="1" x14ac:dyDescent="0.2">
      <c r="B739" s="139"/>
      <c r="C739" s="139"/>
      <c r="D739" s="139"/>
      <c r="E739" s="139"/>
      <c r="F739" s="139"/>
    </row>
    <row r="740" spans="2:6" ht="18.75" customHeight="1" x14ac:dyDescent="0.2">
      <c r="B740" s="140" t="s">
        <v>151</v>
      </c>
      <c r="C740" s="141">
        <v>36</v>
      </c>
      <c r="D740" s="142"/>
      <c r="E740" s="143" t="s">
        <v>153</v>
      </c>
      <c r="F740" s="144">
        <f>+Nomina!$L$3</f>
        <v>45292</v>
      </c>
    </row>
    <row r="741" spans="2:6" ht="18.75" customHeight="1" x14ac:dyDescent="0.2">
      <c r="B741" s="138" t="s">
        <v>150</v>
      </c>
      <c r="C741" s="145" t="str">
        <f>LOOKUP(C740,Nomina!$B$7:$B$51,Nomina!$C$7:$C$51)&amp;(LOOKUP(C740,Nomina!$B$7:$B$51,Nomina!$D$7:$D$51))</f>
        <v/>
      </c>
      <c r="D741" s="142"/>
      <c r="E741" s="143" t="s">
        <v>154</v>
      </c>
      <c r="F741" s="144">
        <f>+Nomina!$N$3</f>
        <v>45306</v>
      </c>
    </row>
    <row r="742" spans="2:6" ht="18.75" customHeight="1" x14ac:dyDescent="0.2">
      <c r="B742" s="138" t="s">
        <v>143</v>
      </c>
      <c r="C742" s="146">
        <f>LOOKUP(C740,Nomina!$B$7:$B$51,Nomina!$E$7:$E$51)</f>
        <v>0</v>
      </c>
      <c r="D742" s="142"/>
      <c r="E742" s="143" t="s">
        <v>149</v>
      </c>
      <c r="F742" s="147">
        <f>LOOKUP(C740,Nomina!$B$7:$B$51,Nomina!$I$7:$I$51)</f>
        <v>0</v>
      </c>
    </row>
    <row r="743" spans="2:6" ht="6" customHeight="1" x14ac:dyDescent="0.2">
      <c r="C743" s="148"/>
      <c r="D743" s="142"/>
      <c r="E743" s="148"/>
      <c r="F743" s="148"/>
    </row>
    <row r="744" spans="2:6" ht="18.75" customHeight="1" x14ac:dyDescent="0.2">
      <c r="B744" s="194" t="s">
        <v>84</v>
      </c>
      <c r="C744" s="194"/>
      <c r="D744" s="142"/>
      <c r="E744" s="195" t="s">
        <v>85</v>
      </c>
      <c r="F744" s="195"/>
    </row>
    <row r="745" spans="2:6" ht="5.25" customHeight="1" x14ac:dyDescent="0.2"/>
    <row r="746" spans="2:6" ht="18.75" customHeight="1" x14ac:dyDescent="0.2">
      <c r="B746" s="149" t="str">
        <f>+Nomina!$L$6</f>
        <v>Dias a Pagar</v>
      </c>
      <c r="C746" s="150">
        <f>LOOKUP($C740,Nomina!$B$7:$B$51,Nomina!$L$7:$L$51)</f>
        <v>15</v>
      </c>
      <c r="D746" s="142"/>
      <c r="E746" s="151" t="s">
        <v>13</v>
      </c>
      <c r="F746" s="152">
        <f>LOOKUP(C740,Nomina!$B$7:$B$51,Nomina!$X$7:$X$51)</f>
        <v>0</v>
      </c>
    </row>
    <row r="747" spans="2:6" ht="18.75" customHeight="1" x14ac:dyDescent="0.2">
      <c r="B747" s="149" t="str">
        <f>+Nomina!$M$6</f>
        <v>Sueldo</v>
      </c>
      <c r="C747" s="152">
        <f>LOOKUP(C740,Nomina!$B$7:$B$51,Nomina!$M$7:$M$51)</f>
        <v>0</v>
      </c>
      <c r="D747" s="142"/>
      <c r="E747" s="151" t="s">
        <v>3</v>
      </c>
      <c r="F747" s="152">
        <f>LOOKUP(C740,Nomina!$B$7:$B$51,Nomina!$Y$7:$Y$51)</f>
        <v>0</v>
      </c>
    </row>
    <row r="748" spans="2:6" ht="18.75" customHeight="1" x14ac:dyDescent="0.2">
      <c r="B748" s="149" t="str">
        <f>+Nomina!$N$6</f>
        <v>Horas Extras</v>
      </c>
      <c r="C748" s="152">
        <f>LOOKUP(C740,Nomina!$B$7:$B$51,Nomina!$N$7:$N$51)</f>
        <v>0</v>
      </c>
      <c r="D748" s="142"/>
      <c r="E748" s="151" t="s">
        <v>71</v>
      </c>
      <c r="F748" s="152">
        <f>LOOKUP(C740,Nomina!$B$7:$B$51,Nomina!$Z$7:$Z$51)</f>
        <v>0</v>
      </c>
    </row>
    <row r="749" spans="2:6" ht="18.75" customHeight="1" x14ac:dyDescent="0.2">
      <c r="B749" s="149" t="str">
        <f>+Nomina!$O$6</f>
        <v>Comisiones</v>
      </c>
      <c r="C749" s="152">
        <f>LOOKUP(C740,Nomina!$B$7:$B$51,Nomina!$O$7:$O$51)</f>
        <v>0</v>
      </c>
      <c r="D749" s="142"/>
      <c r="E749" s="149" t="str">
        <f>CONCATENATE(Nomina!$K$6," - ",Nomina!$K42)</f>
        <v xml:space="preserve">Faltas - </v>
      </c>
      <c r="F749" s="152">
        <f>LOOKUP(C740,Nomina!$B$7:$B$51,Nomina!$W$7:$W$51)</f>
        <v>0</v>
      </c>
    </row>
    <row r="750" spans="2:6" ht="18.75" customHeight="1" x14ac:dyDescent="0.2">
      <c r="B750" s="149" t="str">
        <f>+Nomina!$T$6</f>
        <v>Subsidio</v>
      </c>
      <c r="C750" s="152">
        <f>LOOKUP(C740,Nomina!$B$7:$B$51,Nomina!$T$7:$T$51)</f>
        <v>0</v>
      </c>
      <c r="D750" s="142"/>
      <c r="E750" s="149"/>
      <c r="F750" s="153"/>
    </row>
    <row r="751" spans="2:6" ht="18.75" customHeight="1" x14ac:dyDescent="0.2">
      <c r="B751" s="149" t="str">
        <f>+Nomina!$Q$6</f>
        <v xml:space="preserve">Bono x Asistencia </v>
      </c>
      <c r="C751" s="152">
        <f>LOOKUP(C740,Nomina!$B$7:$B$51,Nomina!$Q$7:$Q$51)</f>
        <v>0</v>
      </c>
      <c r="D751" s="142"/>
      <c r="E751" s="149"/>
      <c r="F751" s="153"/>
    </row>
    <row r="752" spans="2:6" ht="18.75" customHeight="1" x14ac:dyDescent="0.2">
      <c r="B752" s="149" t="str">
        <f>+Nomina!$R$6</f>
        <v>Bono x Puntualidad</v>
      </c>
      <c r="C752" s="152">
        <f>LOOKUP(C740,Nomina!$B$7:$B$51,Nomina!$R$7:$R$51)</f>
        <v>0</v>
      </c>
      <c r="D752" s="142"/>
      <c r="E752" s="149"/>
      <c r="F752" s="153"/>
    </row>
    <row r="753" spans="1:6" ht="6" customHeight="1" x14ac:dyDescent="0.2">
      <c r="A753" s="148"/>
      <c r="B753" s="148"/>
      <c r="C753" s="148"/>
      <c r="D753" s="148"/>
      <c r="E753" s="148"/>
      <c r="F753" s="154"/>
    </row>
    <row r="754" spans="1:6" ht="18.75" customHeight="1" thickBot="1" x14ac:dyDescent="0.25">
      <c r="B754" s="155" t="s">
        <v>33</v>
      </c>
      <c r="C754" s="156">
        <f>(LOOKUP(C740,Nomina!$B$7:$B$51,Nomina!$P$7:$P$51)+LOOKUP(C740,Nomina!$B$7:$B$51,Nomina!$U$7:$U$51))</f>
        <v>0</v>
      </c>
      <c r="D754" s="142"/>
      <c r="E754" s="138" t="s">
        <v>72</v>
      </c>
      <c r="F754" s="152">
        <f>LOOKUP(C740,Nomina!$B$7:$B$51,Nomina!$AA$7:$AA$51)</f>
        <v>0</v>
      </c>
    </row>
    <row r="755" spans="1:6" ht="18.75" customHeight="1" thickBot="1" x14ac:dyDescent="0.25">
      <c r="B755" s="157" t="s">
        <v>90</v>
      </c>
      <c r="C755" s="158">
        <f>+C754-F754</f>
        <v>0</v>
      </c>
      <c r="D755" s="142"/>
      <c r="E755" s="159"/>
      <c r="F755" s="159"/>
    </row>
    <row r="756" spans="1:6" ht="16.5" customHeight="1" thickBot="1" x14ac:dyDescent="0.25">
      <c r="B756" s="160"/>
      <c r="C756" s="161"/>
      <c r="D756" s="162"/>
      <c r="E756" s="163"/>
      <c r="F756" s="163"/>
    </row>
    <row r="757" spans="1:6" ht="16.5" customHeight="1" x14ac:dyDescent="0.2">
      <c r="B757" s="164"/>
      <c r="C757" s="164"/>
      <c r="D757" s="142"/>
      <c r="E757" s="164"/>
      <c r="F757" s="159"/>
    </row>
    <row r="758" spans="1:6" ht="21.75" customHeight="1" x14ac:dyDescent="0.2">
      <c r="B758" s="196" t="s">
        <v>152</v>
      </c>
      <c r="C758" s="197"/>
      <c r="D758" s="197"/>
      <c r="E758" s="197"/>
      <c r="F758" s="197"/>
    </row>
    <row r="759" spans="1:6" ht="18" customHeight="1" x14ac:dyDescent="0.2">
      <c r="B759" s="138" t="s">
        <v>155</v>
      </c>
      <c r="C759" s="191">
        <f>+Nomina!$L$1</f>
        <v>0</v>
      </c>
      <c r="D759" s="192"/>
      <c r="E759" s="192"/>
      <c r="F759" s="193"/>
    </row>
    <row r="760" spans="1:6" ht="3.75" customHeight="1" x14ac:dyDescent="0.2">
      <c r="B760" s="139"/>
      <c r="C760" s="139"/>
      <c r="D760" s="139"/>
      <c r="E760" s="139"/>
      <c r="F760" s="139"/>
    </row>
    <row r="761" spans="1:6" ht="18.75" customHeight="1" x14ac:dyDescent="0.2">
      <c r="B761" s="140" t="s">
        <v>151</v>
      </c>
      <c r="C761" s="141">
        <v>37</v>
      </c>
      <c r="D761" s="142"/>
      <c r="E761" s="143" t="s">
        <v>153</v>
      </c>
      <c r="F761" s="144">
        <f>+Nomina!$L$3</f>
        <v>45292</v>
      </c>
    </row>
    <row r="762" spans="1:6" ht="18.75" customHeight="1" x14ac:dyDescent="0.2">
      <c r="B762" s="138" t="s">
        <v>150</v>
      </c>
      <c r="C762" s="145" t="str">
        <f>LOOKUP(C761,Nomina!$B$7:$B$51,Nomina!$C$7:$C$51)&amp;(LOOKUP(C761,Nomina!$B$7:$B$51,Nomina!$D$7:$D$51))</f>
        <v/>
      </c>
      <c r="D762" s="142"/>
      <c r="E762" s="143" t="s">
        <v>154</v>
      </c>
      <c r="F762" s="144">
        <f>+Nomina!$N$3</f>
        <v>45306</v>
      </c>
    </row>
    <row r="763" spans="1:6" ht="18.75" customHeight="1" x14ac:dyDescent="0.2">
      <c r="B763" s="138" t="s">
        <v>143</v>
      </c>
      <c r="C763" s="146">
        <f>LOOKUP(C761,Nomina!$B$7:$B$51,Nomina!$E$7:$E$51)</f>
        <v>0</v>
      </c>
      <c r="D763" s="142"/>
      <c r="E763" s="143" t="s">
        <v>149</v>
      </c>
      <c r="F763" s="147">
        <f>LOOKUP(C761,Nomina!$B$7:$B$51,Nomina!$I$7:$I$51)</f>
        <v>0</v>
      </c>
    </row>
    <row r="764" spans="1:6" ht="6" customHeight="1" x14ac:dyDescent="0.2">
      <c r="C764" s="148"/>
      <c r="D764" s="142"/>
      <c r="E764" s="148"/>
      <c r="F764" s="148"/>
    </row>
    <row r="765" spans="1:6" ht="18.75" customHeight="1" x14ac:dyDescent="0.2">
      <c r="B765" s="194" t="s">
        <v>84</v>
      </c>
      <c r="C765" s="194"/>
      <c r="D765" s="142"/>
      <c r="E765" s="195" t="s">
        <v>85</v>
      </c>
      <c r="F765" s="195"/>
    </row>
    <row r="766" spans="1:6" ht="5.25" customHeight="1" x14ac:dyDescent="0.2"/>
    <row r="767" spans="1:6" ht="18.75" customHeight="1" x14ac:dyDescent="0.2">
      <c r="B767" s="149" t="str">
        <f>+Nomina!$L$6</f>
        <v>Dias a Pagar</v>
      </c>
      <c r="C767" s="150">
        <f>LOOKUP($C761,Nomina!$B$7:$B$51,Nomina!$L$7:$L$51)</f>
        <v>15</v>
      </c>
      <c r="D767" s="142"/>
      <c r="E767" s="151" t="s">
        <v>13</v>
      </c>
      <c r="F767" s="152">
        <f>LOOKUP(C761,Nomina!$B$7:$B$51,Nomina!$X$7:$X$51)</f>
        <v>0</v>
      </c>
    </row>
    <row r="768" spans="1:6" ht="18.75" customHeight="1" x14ac:dyDescent="0.2">
      <c r="B768" s="149" t="str">
        <f>+Nomina!$M$6</f>
        <v>Sueldo</v>
      </c>
      <c r="C768" s="152">
        <f>LOOKUP(C761,Nomina!$B$7:$B$51,Nomina!$M$7:$M$51)</f>
        <v>0</v>
      </c>
      <c r="D768" s="142"/>
      <c r="E768" s="151" t="s">
        <v>3</v>
      </c>
      <c r="F768" s="152">
        <f>LOOKUP(C761,Nomina!$B$7:$B$51,Nomina!$Y$7:$Y$51)</f>
        <v>0</v>
      </c>
    </row>
    <row r="769" spans="1:6" ht="18.75" customHeight="1" x14ac:dyDescent="0.2">
      <c r="B769" s="149" t="str">
        <f>+Nomina!$N$6</f>
        <v>Horas Extras</v>
      </c>
      <c r="C769" s="152">
        <f>LOOKUP(C761,Nomina!$B$7:$B$51,Nomina!$N$7:$N$51)</f>
        <v>0</v>
      </c>
      <c r="D769" s="142"/>
      <c r="E769" s="151" t="s">
        <v>71</v>
      </c>
      <c r="F769" s="152">
        <f>LOOKUP(C761,Nomina!$B$7:$B$51,Nomina!$Z$7:$Z$51)</f>
        <v>0</v>
      </c>
    </row>
    <row r="770" spans="1:6" ht="18.75" customHeight="1" x14ac:dyDescent="0.2">
      <c r="B770" s="149" t="str">
        <f>+Nomina!$O$6</f>
        <v>Comisiones</v>
      </c>
      <c r="C770" s="152">
        <f>LOOKUP(C761,Nomina!$B$7:$B$51,Nomina!$O$7:$O$51)</f>
        <v>0</v>
      </c>
      <c r="D770" s="142"/>
      <c r="E770" s="149" t="str">
        <f>CONCATENATE(Nomina!$K$6," - ",Nomina!$K43)</f>
        <v xml:space="preserve">Faltas - </v>
      </c>
      <c r="F770" s="152">
        <f>LOOKUP(C761,Nomina!$B$7:$B$51,Nomina!$W$7:$W$51)</f>
        <v>0</v>
      </c>
    </row>
    <row r="771" spans="1:6" ht="18.75" customHeight="1" x14ac:dyDescent="0.2">
      <c r="B771" s="149" t="str">
        <f>+Nomina!$T$6</f>
        <v>Subsidio</v>
      </c>
      <c r="C771" s="152">
        <f>LOOKUP(C761,Nomina!$B$7:$B$51,Nomina!$T$7:$T$51)</f>
        <v>0</v>
      </c>
      <c r="D771" s="142"/>
      <c r="E771" s="149"/>
      <c r="F771" s="153"/>
    </row>
    <row r="772" spans="1:6" ht="18.75" customHeight="1" x14ac:dyDescent="0.2">
      <c r="B772" s="149" t="str">
        <f>+Nomina!$Q$6</f>
        <v xml:space="preserve">Bono x Asistencia </v>
      </c>
      <c r="C772" s="152">
        <f>LOOKUP(C761,Nomina!$B$7:$B$51,Nomina!$Q$7:$Q$51)</f>
        <v>0</v>
      </c>
      <c r="D772" s="142"/>
      <c r="E772" s="149"/>
      <c r="F772" s="153"/>
    </row>
    <row r="773" spans="1:6" ht="18.75" customHeight="1" x14ac:dyDescent="0.2">
      <c r="B773" s="149" t="str">
        <f>+Nomina!$R$6</f>
        <v>Bono x Puntualidad</v>
      </c>
      <c r="C773" s="152">
        <f>LOOKUP(C761,Nomina!$B$7:$B$51,Nomina!$R$7:$R$51)</f>
        <v>0</v>
      </c>
      <c r="D773" s="142"/>
      <c r="E773" s="149"/>
      <c r="F773" s="153"/>
    </row>
    <row r="774" spans="1:6" ht="6" customHeight="1" x14ac:dyDescent="0.2">
      <c r="A774" s="148"/>
      <c r="B774" s="148"/>
      <c r="C774" s="148"/>
      <c r="D774" s="148"/>
      <c r="E774" s="148"/>
      <c r="F774" s="154"/>
    </row>
    <row r="775" spans="1:6" ht="18.75" customHeight="1" thickBot="1" x14ac:dyDescent="0.25">
      <c r="B775" s="155" t="s">
        <v>33</v>
      </c>
      <c r="C775" s="156">
        <f>(LOOKUP(C761,Nomina!$B$7:$B$51,Nomina!$P$7:$P$51)+LOOKUP(C761,Nomina!$B$7:$B$51,Nomina!$U$7:$U$51))</f>
        <v>0</v>
      </c>
      <c r="D775" s="142"/>
      <c r="E775" s="138" t="s">
        <v>72</v>
      </c>
      <c r="F775" s="152">
        <f>LOOKUP(C761,Nomina!$B$7:$B$51,Nomina!$AA$7:$AA$51)</f>
        <v>0</v>
      </c>
    </row>
    <row r="776" spans="1:6" ht="18.75" customHeight="1" thickBot="1" x14ac:dyDescent="0.25">
      <c r="B776" s="157" t="s">
        <v>90</v>
      </c>
      <c r="C776" s="158">
        <f>+C775-F775</f>
        <v>0</v>
      </c>
      <c r="D776" s="142"/>
      <c r="E776" s="159"/>
      <c r="F776" s="159"/>
    </row>
    <row r="777" spans="1:6" ht="16.5" customHeight="1" thickBot="1" x14ac:dyDescent="0.25">
      <c r="B777" s="160"/>
      <c r="C777" s="161"/>
      <c r="D777" s="162"/>
      <c r="E777" s="163"/>
      <c r="F777" s="163"/>
    </row>
    <row r="778" spans="1:6" ht="16.5" customHeight="1" x14ac:dyDescent="0.2">
      <c r="B778" s="164"/>
      <c r="C778" s="164"/>
      <c r="D778" s="142"/>
      <c r="E778" s="164"/>
      <c r="F778" s="159"/>
    </row>
    <row r="779" spans="1:6" ht="21.75" customHeight="1" x14ac:dyDescent="0.2">
      <c r="B779" s="196" t="s">
        <v>152</v>
      </c>
      <c r="C779" s="197"/>
      <c r="D779" s="197"/>
      <c r="E779" s="197"/>
      <c r="F779" s="197"/>
    </row>
    <row r="780" spans="1:6" ht="18" customHeight="1" x14ac:dyDescent="0.2">
      <c r="B780" s="138" t="s">
        <v>155</v>
      </c>
      <c r="C780" s="191">
        <f>+Nomina!$L$1</f>
        <v>0</v>
      </c>
      <c r="D780" s="192"/>
      <c r="E780" s="192"/>
      <c r="F780" s="193"/>
    </row>
    <row r="781" spans="1:6" ht="3.75" customHeight="1" x14ac:dyDescent="0.2">
      <c r="B781" s="139"/>
      <c r="C781" s="139"/>
      <c r="D781" s="139"/>
      <c r="E781" s="139"/>
      <c r="F781" s="139"/>
    </row>
    <row r="782" spans="1:6" ht="18.75" customHeight="1" x14ac:dyDescent="0.2">
      <c r="B782" s="140" t="s">
        <v>151</v>
      </c>
      <c r="C782" s="141">
        <v>38</v>
      </c>
      <c r="D782" s="142"/>
      <c r="E782" s="143" t="s">
        <v>153</v>
      </c>
      <c r="F782" s="144">
        <f>+Nomina!$L$3</f>
        <v>45292</v>
      </c>
    </row>
    <row r="783" spans="1:6" ht="18.75" customHeight="1" x14ac:dyDescent="0.2">
      <c r="B783" s="138" t="s">
        <v>150</v>
      </c>
      <c r="C783" s="145" t="str">
        <f>LOOKUP(C782,Nomina!$B$7:$B$51,Nomina!$C$7:$C$51)&amp;(LOOKUP(C782,Nomina!$B$7:$B$51,Nomina!$D$7:$D$51))</f>
        <v/>
      </c>
      <c r="D783" s="142"/>
      <c r="E783" s="143" t="s">
        <v>154</v>
      </c>
      <c r="F783" s="144">
        <f>+Nomina!$N$3</f>
        <v>45306</v>
      </c>
    </row>
    <row r="784" spans="1:6" ht="18.75" customHeight="1" x14ac:dyDescent="0.2">
      <c r="B784" s="138" t="s">
        <v>143</v>
      </c>
      <c r="C784" s="146">
        <f>LOOKUP(C782,Nomina!$B$7:$B$51,Nomina!$E$7:$E$51)</f>
        <v>0</v>
      </c>
      <c r="D784" s="142"/>
      <c r="E784" s="143" t="s">
        <v>149</v>
      </c>
      <c r="F784" s="147">
        <f>LOOKUP(C782,Nomina!$B$7:$B$51,Nomina!$I$7:$I$51)</f>
        <v>0</v>
      </c>
    </row>
    <row r="785" spans="1:6" ht="6" customHeight="1" x14ac:dyDescent="0.2">
      <c r="C785" s="148"/>
      <c r="D785" s="142"/>
      <c r="E785" s="148"/>
      <c r="F785" s="148"/>
    </row>
    <row r="786" spans="1:6" ht="18.75" customHeight="1" x14ac:dyDescent="0.2">
      <c r="B786" s="194" t="s">
        <v>84</v>
      </c>
      <c r="C786" s="194"/>
      <c r="D786" s="142"/>
      <c r="E786" s="195" t="s">
        <v>85</v>
      </c>
      <c r="F786" s="195"/>
    </row>
    <row r="787" spans="1:6" ht="5.25" customHeight="1" x14ac:dyDescent="0.2"/>
    <row r="788" spans="1:6" ht="18.75" customHeight="1" x14ac:dyDescent="0.2">
      <c r="B788" s="149" t="str">
        <f>+Nomina!$L$6</f>
        <v>Dias a Pagar</v>
      </c>
      <c r="C788" s="150">
        <f>LOOKUP($C782,Nomina!$B$7:$B$51,Nomina!$L$7:$L$51)</f>
        <v>15</v>
      </c>
      <c r="D788" s="142"/>
      <c r="E788" s="151" t="s">
        <v>13</v>
      </c>
      <c r="F788" s="152">
        <f>LOOKUP(C782,Nomina!$B$7:$B$51,Nomina!$X$7:$X$51)</f>
        <v>0</v>
      </c>
    </row>
    <row r="789" spans="1:6" ht="18.75" customHeight="1" x14ac:dyDescent="0.2">
      <c r="B789" s="149" t="str">
        <f>+Nomina!$M$6</f>
        <v>Sueldo</v>
      </c>
      <c r="C789" s="152">
        <f>LOOKUP(C782,Nomina!$B$7:$B$51,Nomina!$M$7:$M$51)</f>
        <v>0</v>
      </c>
      <c r="D789" s="142"/>
      <c r="E789" s="151" t="s">
        <v>3</v>
      </c>
      <c r="F789" s="152">
        <f>LOOKUP(C782,Nomina!$B$7:$B$51,Nomina!$Y$7:$Y$51)</f>
        <v>0</v>
      </c>
    </row>
    <row r="790" spans="1:6" ht="18.75" customHeight="1" x14ac:dyDescent="0.2">
      <c r="B790" s="149" t="str">
        <f>+Nomina!$N$6</f>
        <v>Horas Extras</v>
      </c>
      <c r="C790" s="152">
        <f>LOOKUP(C782,Nomina!$B$7:$B$51,Nomina!$N$7:$N$51)</f>
        <v>0</v>
      </c>
      <c r="D790" s="142"/>
      <c r="E790" s="151" t="s">
        <v>71</v>
      </c>
      <c r="F790" s="152">
        <f>LOOKUP(C782,Nomina!$B$7:$B$51,Nomina!$Z$7:$Z$51)</f>
        <v>0</v>
      </c>
    </row>
    <row r="791" spans="1:6" ht="18.75" customHeight="1" x14ac:dyDescent="0.2">
      <c r="B791" s="149" t="str">
        <f>+Nomina!$O$6</f>
        <v>Comisiones</v>
      </c>
      <c r="C791" s="152">
        <f>LOOKUP(C782,Nomina!$B$7:$B$51,Nomina!$O$7:$O$51)</f>
        <v>0</v>
      </c>
      <c r="D791" s="142"/>
      <c r="E791" s="149" t="str">
        <f>CONCATENATE(Nomina!$K$6," - ",Nomina!$K44)</f>
        <v xml:space="preserve">Faltas - </v>
      </c>
      <c r="F791" s="152">
        <f>LOOKUP(C782,Nomina!$B$7:$B$51,Nomina!$W$7:$W$51)</f>
        <v>0</v>
      </c>
    </row>
    <row r="792" spans="1:6" ht="18.75" customHeight="1" x14ac:dyDescent="0.2">
      <c r="B792" s="149" t="str">
        <f>+Nomina!$T$6</f>
        <v>Subsidio</v>
      </c>
      <c r="C792" s="152">
        <f>LOOKUP(C782,Nomina!$B$7:$B$51,Nomina!$T$7:$T$51)</f>
        <v>0</v>
      </c>
      <c r="D792" s="142"/>
      <c r="E792" s="149"/>
      <c r="F792" s="153"/>
    </row>
    <row r="793" spans="1:6" ht="18.75" customHeight="1" x14ac:dyDescent="0.2">
      <c r="B793" s="149" t="str">
        <f>+Nomina!$Q$6</f>
        <v xml:space="preserve">Bono x Asistencia </v>
      </c>
      <c r="C793" s="152">
        <f>LOOKUP(C782,Nomina!$B$7:$B$51,Nomina!$Q$7:$Q$51)</f>
        <v>0</v>
      </c>
      <c r="D793" s="142"/>
      <c r="E793" s="149"/>
      <c r="F793" s="153"/>
    </row>
    <row r="794" spans="1:6" ht="18.75" customHeight="1" x14ac:dyDescent="0.2">
      <c r="B794" s="149" t="str">
        <f>+Nomina!$R$6</f>
        <v>Bono x Puntualidad</v>
      </c>
      <c r="C794" s="152">
        <f>LOOKUP(C782,Nomina!$B$7:$B$51,Nomina!$R$7:$R$51)</f>
        <v>0</v>
      </c>
      <c r="D794" s="142"/>
      <c r="E794" s="149"/>
      <c r="F794" s="153"/>
    </row>
    <row r="795" spans="1:6" ht="6" customHeight="1" x14ac:dyDescent="0.2">
      <c r="A795" s="148"/>
      <c r="B795" s="148"/>
      <c r="C795" s="148"/>
      <c r="D795" s="148"/>
      <c r="E795" s="148"/>
      <c r="F795" s="154"/>
    </row>
    <row r="796" spans="1:6" ht="18.75" customHeight="1" thickBot="1" x14ac:dyDescent="0.25">
      <c r="B796" s="155" t="s">
        <v>33</v>
      </c>
      <c r="C796" s="156">
        <f>(LOOKUP(C782,Nomina!$B$7:$B$51,Nomina!$P$7:$P$51)+LOOKUP(C782,Nomina!$B$7:$B$51,Nomina!$U$7:$U$51))</f>
        <v>0</v>
      </c>
      <c r="D796" s="142"/>
      <c r="E796" s="138" t="s">
        <v>72</v>
      </c>
      <c r="F796" s="152">
        <f>LOOKUP(C782,Nomina!$B$7:$B$51,Nomina!$AA$7:$AA$51)</f>
        <v>0</v>
      </c>
    </row>
    <row r="797" spans="1:6" ht="18.75" customHeight="1" thickBot="1" x14ac:dyDescent="0.25">
      <c r="B797" s="157" t="s">
        <v>90</v>
      </c>
      <c r="C797" s="158">
        <f>+C796-F796</f>
        <v>0</v>
      </c>
      <c r="D797" s="142"/>
      <c r="E797" s="159"/>
      <c r="F797" s="159"/>
    </row>
    <row r="798" spans="1:6" ht="16.5" customHeight="1" thickBot="1" x14ac:dyDescent="0.25">
      <c r="B798" s="160"/>
      <c r="C798" s="161"/>
      <c r="D798" s="162"/>
      <c r="E798" s="163"/>
      <c r="F798" s="163"/>
    </row>
    <row r="799" spans="1:6" ht="16.5" customHeight="1" x14ac:dyDescent="0.2">
      <c r="B799" s="164"/>
      <c r="C799" s="164"/>
      <c r="D799" s="142"/>
      <c r="E799" s="164"/>
      <c r="F799" s="159"/>
    </row>
    <row r="800" spans="1:6" ht="21.75" customHeight="1" x14ac:dyDescent="0.2">
      <c r="B800" s="196" t="s">
        <v>152</v>
      </c>
      <c r="C800" s="197"/>
      <c r="D800" s="197"/>
      <c r="E800" s="197"/>
      <c r="F800" s="197"/>
    </row>
    <row r="801" spans="1:6" ht="18" customHeight="1" x14ac:dyDescent="0.2">
      <c r="B801" s="138" t="s">
        <v>155</v>
      </c>
      <c r="C801" s="191">
        <f>+Nomina!$L$1</f>
        <v>0</v>
      </c>
      <c r="D801" s="192"/>
      <c r="E801" s="192"/>
      <c r="F801" s="193"/>
    </row>
    <row r="802" spans="1:6" ht="3.75" customHeight="1" x14ac:dyDescent="0.2">
      <c r="B802" s="139"/>
      <c r="C802" s="139"/>
      <c r="D802" s="139"/>
      <c r="E802" s="139"/>
      <c r="F802" s="139"/>
    </row>
    <row r="803" spans="1:6" ht="18.75" customHeight="1" x14ac:dyDescent="0.2">
      <c r="B803" s="140" t="s">
        <v>151</v>
      </c>
      <c r="C803" s="141">
        <v>39</v>
      </c>
      <c r="D803" s="142"/>
      <c r="E803" s="143" t="s">
        <v>153</v>
      </c>
      <c r="F803" s="144">
        <f>+Nomina!$L$3</f>
        <v>45292</v>
      </c>
    </row>
    <row r="804" spans="1:6" ht="18.75" customHeight="1" x14ac:dyDescent="0.2">
      <c r="B804" s="138" t="s">
        <v>150</v>
      </c>
      <c r="C804" s="145" t="str">
        <f>LOOKUP(C803,Nomina!$B$7:$B$51,Nomina!$C$7:$C$51)&amp;(LOOKUP(C803,Nomina!$B$7:$B$51,Nomina!$D$7:$D$51))</f>
        <v/>
      </c>
      <c r="D804" s="142"/>
      <c r="E804" s="143" t="s">
        <v>154</v>
      </c>
      <c r="F804" s="144">
        <f>+Nomina!$N$3</f>
        <v>45306</v>
      </c>
    </row>
    <row r="805" spans="1:6" ht="18.75" customHeight="1" x14ac:dyDescent="0.2">
      <c r="B805" s="138" t="s">
        <v>143</v>
      </c>
      <c r="C805" s="146">
        <f>LOOKUP(C803,Nomina!$B$7:$B$51,Nomina!$E$7:$E$51)</f>
        <v>0</v>
      </c>
      <c r="D805" s="142"/>
      <c r="E805" s="143" t="s">
        <v>149</v>
      </c>
      <c r="F805" s="147">
        <f>LOOKUP(C803,Nomina!$B$7:$B$51,Nomina!$I$7:$I$51)</f>
        <v>0</v>
      </c>
    </row>
    <row r="806" spans="1:6" ht="6" customHeight="1" x14ac:dyDescent="0.2">
      <c r="C806" s="148"/>
      <c r="D806" s="142"/>
      <c r="E806" s="148"/>
      <c r="F806" s="148"/>
    </row>
    <row r="807" spans="1:6" ht="18.75" customHeight="1" x14ac:dyDescent="0.2">
      <c r="B807" s="194" t="s">
        <v>84</v>
      </c>
      <c r="C807" s="194"/>
      <c r="D807" s="142"/>
      <c r="E807" s="195" t="s">
        <v>85</v>
      </c>
      <c r="F807" s="195"/>
    </row>
    <row r="808" spans="1:6" ht="5.25" customHeight="1" x14ac:dyDescent="0.2"/>
    <row r="809" spans="1:6" ht="18.75" customHeight="1" x14ac:dyDescent="0.2">
      <c r="B809" s="149" t="str">
        <f>+Nomina!$L$6</f>
        <v>Dias a Pagar</v>
      </c>
      <c r="C809" s="150">
        <f>LOOKUP($C803,Nomina!$B$7:$B$51,Nomina!$L$7:$L$51)</f>
        <v>15</v>
      </c>
      <c r="D809" s="142"/>
      <c r="E809" s="151" t="s">
        <v>13</v>
      </c>
      <c r="F809" s="152">
        <f>LOOKUP(C803,Nomina!$B$7:$B$51,Nomina!$X$7:$X$51)</f>
        <v>0</v>
      </c>
    </row>
    <row r="810" spans="1:6" ht="18.75" customHeight="1" x14ac:dyDescent="0.2">
      <c r="B810" s="149" t="str">
        <f>+Nomina!$M$6</f>
        <v>Sueldo</v>
      </c>
      <c r="C810" s="152">
        <f>LOOKUP(C803,Nomina!$B$7:$B$51,Nomina!$M$7:$M$51)</f>
        <v>0</v>
      </c>
      <c r="D810" s="142"/>
      <c r="E810" s="151" t="s">
        <v>3</v>
      </c>
      <c r="F810" s="152">
        <f>LOOKUP(C803,Nomina!$B$7:$B$51,Nomina!$Y$7:$Y$51)</f>
        <v>0</v>
      </c>
    </row>
    <row r="811" spans="1:6" ht="18.75" customHeight="1" x14ac:dyDescent="0.2">
      <c r="B811" s="149" t="str">
        <f>+Nomina!$N$6</f>
        <v>Horas Extras</v>
      </c>
      <c r="C811" s="152">
        <f>LOOKUP(C803,Nomina!$B$7:$B$51,Nomina!$N$7:$N$51)</f>
        <v>0</v>
      </c>
      <c r="D811" s="142"/>
      <c r="E811" s="151" t="s">
        <v>71</v>
      </c>
      <c r="F811" s="152">
        <f>LOOKUP(C803,Nomina!$B$7:$B$51,Nomina!$Z$7:$Z$51)</f>
        <v>0</v>
      </c>
    </row>
    <row r="812" spans="1:6" ht="18.75" customHeight="1" x14ac:dyDescent="0.2">
      <c r="B812" s="149" t="str">
        <f>+Nomina!$O$6</f>
        <v>Comisiones</v>
      </c>
      <c r="C812" s="152">
        <f>LOOKUP(C803,Nomina!$B$7:$B$51,Nomina!$O$7:$O$51)</f>
        <v>0</v>
      </c>
      <c r="D812" s="142"/>
      <c r="E812" s="149" t="str">
        <f>CONCATENATE(Nomina!$K$6," - ",Nomina!$K45)</f>
        <v xml:space="preserve">Faltas - </v>
      </c>
      <c r="F812" s="152">
        <f>LOOKUP(C803,Nomina!$B$7:$B$51,Nomina!$W$7:$W$51)</f>
        <v>0</v>
      </c>
    </row>
    <row r="813" spans="1:6" ht="18.75" customHeight="1" x14ac:dyDescent="0.2">
      <c r="B813" s="149" t="str">
        <f>+Nomina!$T$6</f>
        <v>Subsidio</v>
      </c>
      <c r="C813" s="152">
        <f>LOOKUP(C803,Nomina!$B$7:$B$51,Nomina!$T$7:$T$51)</f>
        <v>0</v>
      </c>
      <c r="D813" s="142"/>
      <c r="E813" s="149"/>
      <c r="F813" s="153"/>
    </row>
    <row r="814" spans="1:6" ht="18.75" customHeight="1" x14ac:dyDescent="0.2">
      <c r="B814" s="149" t="str">
        <f>+Nomina!$Q$6</f>
        <v xml:space="preserve">Bono x Asistencia </v>
      </c>
      <c r="C814" s="152">
        <f>LOOKUP(C803,Nomina!$B$7:$B$51,Nomina!$Q$7:$Q$51)</f>
        <v>0</v>
      </c>
      <c r="D814" s="142"/>
      <c r="E814" s="149"/>
      <c r="F814" s="153"/>
    </row>
    <row r="815" spans="1:6" ht="18.75" customHeight="1" x14ac:dyDescent="0.2">
      <c r="B815" s="149" t="str">
        <f>+Nomina!$R$6</f>
        <v>Bono x Puntualidad</v>
      </c>
      <c r="C815" s="152">
        <f>LOOKUP(C803,Nomina!$B$7:$B$51,Nomina!$R$7:$R$51)</f>
        <v>0</v>
      </c>
      <c r="D815" s="142"/>
      <c r="E815" s="149"/>
      <c r="F815" s="153"/>
    </row>
    <row r="816" spans="1:6" ht="6" customHeight="1" x14ac:dyDescent="0.2">
      <c r="A816" s="148"/>
      <c r="B816" s="148"/>
      <c r="C816" s="148"/>
      <c r="D816" s="148"/>
      <c r="E816" s="148"/>
      <c r="F816" s="154"/>
    </row>
    <row r="817" spans="2:6" ht="18.75" customHeight="1" thickBot="1" x14ac:dyDescent="0.25">
      <c r="B817" s="155" t="s">
        <v>33</v>
      </c>
      <c r="C817" s="156">
        <f>(LOOKUP(C803,Nomina!$B$7:$B$51,Nomina!$P$7:$P$51)+LOOKUP(C803,Nomina!$B$7:$B$51,Nomina!$U$7:$U$51))</f>
        <v>0</v>
      </c>
      <c r="D817" s="142"/>
      <c r="E817" s="138" t="s">
        <v>72</v>
      </c>
      <c r="F817" s="152">
        <f>LOOKUP(C803,Nomina!$B$7:$B$51,Nomina!$AA$7:$AA$51)</f>
        <v>0</v>
      </c>
    </row>
    <row r="818" spans="2:6" ht="18.75" customHeight="1" thickBot="1" x14ac:dyDescent="0.25">
      <c r="B818" s="157" t="s">
        <v>90</v>
      </c>
      <c r="C818" s="158">
        <f>+C817-F817</f>
        <v>0</v>
      </c>
      <c r="D818" s="142"/>
      <c r="E818" s="159"/>
      <c r="F818" s="159"/>
    </row>
    <row r="819" spans="2:6" ht="16.5" customHeight="1" thickBot="1" x14ac:dyDescent="0.25">
      <c r="B819" s="160"/>
      <c r="C819" s="161"/>
      <c r="D819" s="162"/>
      <c r="E819" s="163"/>
      <c r="F819" s="163"/>
    </row>
    <row r="820" spans="2:6" ht="16.5" customHeight="1" x14ac:dyDescent="0.25">
      <c r="B820" s="164"/>
      <c r="C820" s="71"/>
      <c r="D820" s="142"/>
      <c r="E820" s="164"/>
      <c r="F820" s="159"/>
    </row>
    <row r="821" spans="2:6" ht="21.75" customHeight="1" x14ac:dyDescent="0.2">
      <c r="B821" s="196" t="s">
        <v>152</v>
      </c>
      <c r="C821" s="197"/>
      <c r="D821" s="197"/>
      <c r="E821" s="197"/>
      <c r="F821" s="197"/>
    </row>
    <row r="822" spans="2:6" ht="18" customHeight="1" x14ac:dyDescent="0.2">
      <c r="B822" s="138" t="s">
        <v>155</v>
      </c>
      <c r="C822" s="191">
        <f>+Nomina!$L$1</f>
        <v>0</v>
      </c>
      <c r="D822" s="192"/>
      <c r="E822" s="192"/>
      <c r="F822" s="193"/>
    </row>
    <row r="823" spans="2:6" ht="3.75" customHeight="1" x14ac:dyDescent="0.2">
      <c r="B823" s="139"/>
      <c r="C823" s="139"/>
      <c r="D823" s="139"/>
      <c r="E823" s="139"/>
      <c r="F823" s="139"/>
    </row>
    <row r="824" spans="2:6" ht="18.75" customHeight="1" x14ac:dyDescent="0.2">
      <c r="B824" s="140" t="s">
        <v>151</v>
      </c>
      <c r="C824" s="141">
        <v>40</v>
      </c>
      <c r="D824" s="142"/>
      <c r="E824" s="143" t="s">
        <v>153</v>
      </c>
      <c r="F824" s="144">
        <f>+Nomina!$L$3</f>
        <v>45292</v>
      </c>
    </row>
    <row r="825" spans="2:6" ht="18.75" customHeight="1" x14ac:dyDescent="0.2">
      <c r="B825" s="138" t="s">
        <v>150</v>
      </c>
      <c r="C825" s="145" t="str">
        <f>LOOKUP(C824,Nomina!$B$7:$B$51,Nomina!$C$7:$C$51)&amp;(LOOKUP(C824,Nomina!$B$7:$B$51,Nomina!$D$7:$D$51))</f>
        <v/>
      </c>
      <c r="D825" s="142"/>
      <c r="E825" s="143" t="s">
        <v>154</v>
      </c>
      <c r="F825" s="144">
        <f>+Nomina!$N$3</f>
        <v>45306</v>
      </c>
    </row>
    <row r="826" spans="2:6" ht="18.75" customHeight="1" x14ac:dyDescent="0.2">
      <c r="B826" s="138" t="s">
        <v>143</v>
      </c>
      <c r="C826" s="146">
        <f>LOOKUP(C824,Nomina!$B$7:$B$51,Nomina!$E$7:$E$51)</f>
        <v>0</v>
      </c>
      <c r="D826" s="142"/>
      <c r="E826" s="143" t="s">
        <v>149</v>
      </c>
      <c r="F826" s="147">
        <f>LOOKUP(C824,Nomina!$B$7:$B$51,Nomina!$I$7:$I$51)</f>
        <v>0</v>
      </c>
    </row>
    <row r="827" spans="2:6" ht="6" customHeight="1" x14ac:dyDescent="0.2">
      <c r="C827" s="148"/>
      <c r="D827" s="142"/>
      <c r="E827" s="148"/>
      <c r="F827" s="148"/>
    </row>
    <row r="828" spans="2:6" ht="18.75" customHeight="1" x14ac:dyDescent="0.2">
      <c r="B828" s="194" t="s">
        <v>84</v>
      </c>
      <c r="C828" s="194"/>
      <c r="D828" s="142"/>
      <c r="E828" s="195" t="s">
        <v>85</v>
      </c>
      <c r="F828" s="195"/>
    </row>
    <row r="829" spans="2:6" ht="5.25" customHeight="1" x14ac:dyDescent="0.2"/>
    <row r="830" spans="2:6" ht="18.75" customHeight="1" x14ac:dyDescent="0.2">
      <c r="B830" s="149" t="str">
        <f>+Nomina!$L$6</f>
        <v>Dias a Pagar</v>
      </c>
      <c r="C830" s="150">
        <f>LOOKUP($C824,Nomina!$B$7:$B$51,Nomina!$L$7:$L$51)</f>
        <v>15</v>
      </c>
      <c r="D830" s="142"/>
      <c r="E830" s="151" t="s">
        <v>13</v>
      </c>
      <c r="F830" s="152">
        <f>LOOKUP(C824,Nomina!$B$7:$B$51,Nomina!$X$7:$X$51)</f>
        <v>0</v>
      </c>
    </row>
    <row r="831" spans="2:6" ht="18.75" customHeight="1" x14ac:dyDescent="0.2">
      <c r="B831" s="149" t="str">
        <f>+Nomina!$M$6</f>
        <v>Sueldo</v>
      </c>
      <c r="C831" s="152">
        <f>LOOKUP(C824,Nomina!$B$7:$B$51,Nomina!$M$7:$M$51)</f>
        <v>0</v>
      </c>
      <c r="D831" s="142"/>
      <c r="E831" s="151" t="s">
        <v>3</v>
      </c>
      <c r="F831" s="152">
        <f>LOOKUP(C824,Nomina!$B$7:$B$51,Nomina!$Y$7:$Y$51)</f>
        <v>0</v>
      </c>
    </row>
    <row r="832" spans="2:6" ht="18.75" customHeight="1" x14ac:dyDescent="0.2">
      <c r="B832" s="149" t="str">
        <f>+Nomina!$N$6</f>
        <v>Horas Extras</v>
      </c>
      <c r="C832" s="152">
        <f>LOOKUP(C824,Nomina!$B$7:$B$51,Nomina!$N$7:$N$51)</f>
        <v>0</v>
      </c>
      <c r="D832" s="142"/>
      <c r="E832" s="151" t="s">
        <v>71</v>
      </c>
      <c r="F832" s="152">
        <f>LOOKUP(C824,Nomina!$B$7:$B$51,Nomina!$Z$7:$Z$51)</f>
        <v>0</v>
      </c>
    </row>
    <row r="833" spans="1:6" ht="18.75" customHeight="1" x14ac:dyDescent="0.2">
      <c r="B833" s="149" t="str">
        <f>+Nomina!$O$6</f>
        <v>Comisiones</v>
      </c>
      <c r="C833" s="152">
        <f>LOOKUP(C824,Nomina!$B$7:$B$51,Nomina!$O$7:$O$51)</f>
        <v>0</v>
      </c>
      <c r="D833" s="142"/>
      <c r="E833" s="149" t="str">
        <f>CONCATENATE(Nomina!$K$6," - ",Nomina!$K46)</f>
        <v xml:space="preserve">Faltas - </v>
      </c>
      <c r="F833" s="152">
        <f>LOOKUP(C824,Nomina!$B$7:$B$51,Nomina!$W$7:$W$51)</f>
        <v>0</v>
      </c>
    </row>
    <row r="834" spans="1:6" ht="18.75" customHeight="1" x14ac:dyDescent="0.2">
      <c r="B834" s="149" t="str">
        <f>+Nomina!$T$6</f>
        <v>Subsidio</v>
      </c>
      <c r="C834" s="152">
        <f>LOOKUP(C824,Nomina!$B$7:$B$51,Nomina!$T$7:$T$51)</f>
        <v>0</v>
      </c>
      <c r="D834" s="142"/>
      <c r="E834" s="149"/>
      <c r="F834" s="153"/>
    </row>
    <row r="835" spans="1:6" ht="18.75" customHeight="1" x14ac:dyDescent="0.2">
      <c r="B835" s="149" t="str">
        <f>+Nomina!$Q$6</f>
        <v xml:space="preserve">Bono x Asistencia </v>
      </c>
      <c r="C835" s="152">
        <f>LOOKUP(C824,Nomina!$B$7:$B$51,Nomina!$Q$7:$Q$51)</f>
        <v>0</v>
      </c>
      <c r="D835" s="142"/>
      <c r="E835" s="149"/>
      <c r="F835" s="153"/>
    </row>
    <row r="836" spans="1:6" ht="18.75" customHeight="1" x14ac:dyDescent="0.2">
      <c r="B836" s="149" t="str">
        <f>+Nomina!$R$6</f>
        <v>Bono x Puntualidad</v>
      </c>
      <c r="C836" s="152">
        <f>LOOKUP(C824,Nomina!$B$7:$B$51,Nomina!$R$7:$R$51)</f>
        <v>0</v>
      </c>
      <c r="D836" s="142"/>
      <c r="E836" s="149"/>
      <c r="F836" s="153"/>
    </row>
    <row r="837" spans="1:6" ht="6" customHeight="1" x14ac:dyDescent="0.2">
      <c r="A837" s="148"/>
      <c r="B837" s="148"/>
      <c r="C837" s="148"/>
      <c r="D837" s="148"/>
      <c r="E837" s="148"/>
      <c r="F837" s="154"/>
    </row>
    <row r="838" spans="1:6" ht="18.75" customHeight="1" thickBot="1" x14ac:dyDescent="0.25">
      <c r="B838" s="155" t="s">
        <v>33</v>
      </c>
      <c r="C838" s="156">
        <f>(LOOKUP(C824,Nomina!$B$7:$B$51,Nomina!$P$7:$P$51)+LOOKUP(C824,Nomina!$B$7:$B$51,Nomina!$U$7:$U$51))</f>
        <v>0</v>
      </c>
      <c r="D838" s="142"/>
      <c r="E838" s="138" t="s">
        <v>72</v>
      </c>
      <c r="F838" s="152">
        <f>LOOKUP(C824,Nomina!$B$7:$B$51,Nomina!$AA$7:$AA$51)</f>
        <v>0</v>
      </c>
    </row>
    <row r="839" spans="1:6" ht="18.75" customHeight="1" thickBot="1" x14ac:dyDescent="0.25">
      <c r="B839" s="157" t="s">
        <v>90</v>
      </c>
      <c r="C839" s="158">
        <f>+C838-F838</f>
        <v>0</v>
      </c>
      <c r="D839" s="142"/>
      <c r="E839" s="159"/>
      <c r="F839" s="159"/>
    </row>
    <row r="840" spans="1:6" ht="16.5" customHeight="1" thickBot="1" x14ac:dyDescent="0.25">
      <c r="B840" s="160"/>
      <c r="C840" s="161"/>
      <c r="D840" s="162"/>
      <c r="E840" s="163"/>
      <c r="F840" s="163"/>
    </row>
    <row r="841" spans="1:6" ht="16.5" customHeight="1" x14ac:dyDescent="0.2">
      <c r="B841" s="164"/>
      <c r="C841" s="164"/>
      <c r="D841" s="142"/>
      <c r="E841" s="164"/>
      <c r="F841" s="159"/>
    </row>
    <row r="842" spans="1:6" ht="21.75" customHeight="1" x14ac:dyDescent="0.2">
      <c r="B842" s="196" t="s">
        <v>152</v>
      </c>
      <c r="C842" s="197"/>
      <c r="D842" s="197"/>
      <c r="E842" s="197"/>
      <c r="F842" s="197"/>
    </row>
    <row r="843" spans="1:6" ht="18" customHeight="1" x14ac:dyDescent="0.2">
      <c r="B843" s="138" t="s">
        <v>155</v>
      </c>
      <c r="C843" s="191">
        <f>+Nomina!$L$1</f>
        <v>0</v>
      </c>
      <c r="D843" s="192"/>
      <c r="E843" s="192"/>
      <c r="F843" s="193"/>
    </row>
    <row r="844" spans="1:6" ht="3.75" customHeight="1" x14ac:dyDescent="0.2">
      <c r="B844" s="139"/>
      <c r="C844" s="139"/>
      <c r="D844" s="139"/>
      <c r="E844" s="139"/>
      <c r="F844" s="139"/>
    </row>
    <row r="845" spans="1:6" ht="18.75" customHeight="1" x14ac:dyDescent="0.2">
      <c r="B845" s="140" t="s">
        <v>151</v>
      </c>
      <c r="C845" s="141">
        <v>41</v>
      </c>
      <c r="D845" s="142"/>
      <c r="E845" s="143" t="s">
        <v>153</v>
      </c>
      <c r="F845" s="144">
        <f>+Nomina!$L$3</f>
        <v>45292</v>
      </c>
    </row>
    <row r="846" spans="1:6" ht="18.75" customHeight="1" x14ac:dyDescent="0.2">
      <c r="B846" s="138" t="s">
        <v>150</v>
      </c>
      <c r="C846" s="145" t="str">
        <f>LOOKUP(C845,Nomina!$B$7:$B$51,Nomina!$C$7:$C$51)&amp;(LOOKUP(C845,Nomina!$B$7:$B$51,Nomina!$D$7:$D$51))</f>
        <v/>
      </c>
      <c r="D846" s="142"/>
      <c r="E846" s="143" t="s">
        <v>154</v>
      </c>
      <c r="F846" s="144">
        <f>+Nomina!$N$3</f>
        <v>45306</v>
      </c>
    </row>
    <row r="847" spans="1:6" ht="18.75" customHeight="1" x14ac:dyDescent="0.2">
      <c r="B847" s="138" t="s">
        <v>143</v>
      </c>
      <c r="C847" s="146">
        <f>LOOKUP(C845,Nomina!$B$7:$B$51,Nomina!$E$7:$E$51)</f>
        <v>0</v>
      </c>
      <c r="D847" s="142"/>
      <c r="E847" s="143" t="s">
        <v>149</v>
      </c>
      <c r="F847" s="147">
        <f>LOOKUP(C845,Nomina!$B$7:$B$51,Nomina!$I$7:$I$51)</f>
        <v>0</v>
      </c>
    </row>
    <row r="848" spans="1:6" ht="6" customHeight="1" x14ac:dyDescent="0.2">
      <c r="C848" s="148"/>
      <c r="D848" s="142"/>
      <c r="E848" s="148"/>
      <c r="F848" s="148"/>
    </row>
    <row r="849" spans="1:6" ht="18.75" customHeight="1" x14ac:dyDescent="0.2">
      <c r="B849" s="194" t="s">
        <v>84</v>
      </c>
      <c r="C849" s="194"/>
      <c r="D849" s="142"/>
      <c r="E849" s="195" t="s">
        <v>85</v>
      </c>
      <c r="F849" s="195"/>
    </row>
    <row r="850" spans="1:6" ht="5.25" customHeight="1" x14ac:dyDescent="0.2"/>
    <row r="851" spans="1:6" ht="18.75" customHeight="1" x14ac:dyDescent="0.2">
      <c r="B851" s="149" t="str">
        <f>+Nomina!$L$6</f>
        <v>Dias a Pagar</v>
      </c>
      <c r="C851" s="150">
        <f>LOOKUP($C845,Nomina!$B$7:$B$51,Nomina!$L$7:$L$51)</f>
        <v>15</v>
      </c>
      <c r="D851" s="142"/>
      <c r="E851" s="151" t="s">
        <v>13</v>
      </c>
      <c r="F851" s="152">
        <f>LOOKUP(C845,Nomina!$B$7:$B$51,Nomina!$X$7:$X$51)</f>
        <v>0</v>
      </c>
    </row>
    <row r="852" spans="1:6" ht="18.75" customHeight="1" x14ac:dyDescent="0.2">
      <c r="B852" s="149" t="str">
        <f>+Nomina!$M$6</f>
        <v>Sueldo</v>
      </c>
      <c r="C852" s="152">
        <f>LOOKUP(C845,Nomina!$B$7:$B$51,Nomina!$M$7:$M$51)</f>
        <v>0</v>
      </c>
      <c r="D852" s="142"/>
      <c r="E852" s="151" t="s">
        <v>3</v>
      </c>
      <c r="F852" s="152">
        <f>LOOKUP(C845,Nomina!$B$7:$B$51,Nomina!$Y$7:$Y$51)</f>
        <v>0</v>
      </c>
    </row>
    <row r="853" spans="1:6" ht="18.75" customHeight="1" x14ac:dyDescent="0.2">
      <c r="B853" s="149" t="str">
        <f>+Nomina!$N$6</f>
        <v>Horas Extras</v>
      </c>
      <c r="C853" s="152">
        <f>LOOKUP(C845,Nomina!$B$7:$B$51,Nomina!$N$7:$N$51)</f>
        <v>0</v>
      </c>
      <c r="D853" s="142"/>
      <c r="E853" s="151" t="s">
        <v>71</v>
      </c>
      <c r="F853" s="152">
        <f>LOOKUP(C845,Nomina!$B$7:$B$51,Nomina!$Z$7:$Z$51)</f>
        <v>0</v>
      </c>
    </row>
    <row r="854" spans="1:6" ht="18.75" customHeight="1" x14ac:dyDescent="0.2">
      <c r="B854" s="149" t="str">
        <f>+Nomina!$O$6</f>
        <v>Comisiones</v>
      </c>
      <c r="C854" s="152">
        <f>LOOKUP(C845,Nomina!$B$7:$B$51,Nomina!$O$7:$O$51)</f>
        <v>0</v>
      </c>
      <c r="D854" s="142"/>
      <c r="E854" s="149" t="str">
        <f>CONCATENATE(Nomina!$K$6," - ",Nomina!$K47)</f>
        <v xml:space="preserve">Faltas - </v>
      </c>
      <c r="F854" s="152">
        <f>LOOKUP(C845,Nomina!$B$7:$B$51,Nomina!$W$7:$W$51)</f>
        <v>0</v>
      </c>
    </row>
    <row r="855" spans="1:6" ht="18.75" customHeight="1" x14ac:dyDescent="0.2">
      <c r="B855" s="149" t="str">
        <f>+Nomina!$T$6</f>
        <v>Subsidio</v>
      </c>
      <c r="C855" s="152">
        <f>LOOKUP(C845,Nomina!$B$7:$B$51,Nomina!$T$7:$T$51)</f>
        <v>0</v>
      </c>
      <c r="D855" s="142"/>
      <c r="E855" s="149"/>
      <c r="F855" s="153"/>
    </row>
    <row r="856" spans="1:6" ht="18.75" customHeight="1" x14ac:dyDescent="0.2">
      <c r="B856" s="149" t="str">
        <f>+Nomina!$Q$6</f>
        <v xml:space="preserve">Bono x Asistencia </v>
      </c>
      <c r="C856" s="152">
        <f>LOOKUP(C845,Nomina!$B$7:$B$51,Nomina!$Q$7:$Q$51)</f>
        <v>0</v>
      </c>
      <c r="D856" s="142"/>
      <c r="E856" s="149"/>
      <c r="F856" s="153"/>
    </row>
    <row r="857" spans="1:6" ht="18.75" customHeight="1" x14ac:dyDescent="0.2">
      <c r="B857" s="149" t="str">
        <f>+Nomina!$R$6</f>
        <v>Bono x Puntualidad</v>
      </c>
      <c r="C857" s="152">
        <f>LOOKUP(C845,Nomina!$B$7:$B$51,Nomina!$R$7:$R$51)</f>
        <v>0</v>
      </c>
      <c r="D857" s="142"/>
      <c r="E857" s="149"/>
      <c r="F857" s="153"/>
    </row>
    <row r="858" spans="1:6" ht="6" customHeight="1" x14ac:dyDescent="0.2">
      <c r="A858" s="148"/>
      <c r="B858" s="148"/>
      <c r="C858" s="148"/>
      <c r="D858" s="148"/>
      <c r="E858" s="148"/>
      <c r="F858" s="154"/>
    </row>
    <row r="859" spans="1:6" ht="18.75" customHeight="1" thickBot="1" x14ac:dyDescent="0.25">
      <c r="B859" s="155" t="s">
        <v>33</v>
      </c>
      <c r="C859" s="156">
        <f>(LOOKUP(C845,Nomina!$B$7:$B$51,Nomina!$P$7:$P$51)+LOOKUP(C845,Nomina!$B$7:$B$51,Nomina!$U$7:$U$51))</f>
        <v>0</v>
      </c>
      <c r="D859" s="142"/>
      <c r="E859" s="138" t="s">
        <v>72</v>
      </c>
      <c r="F859" s="152">
        <f>LOOKUP(C845,Nomina!$B$7:$B$51,Nomina!$AA$7:$AA$51)</f>
        <v>0</v>
      </c>
    </row>
    <row r="860" spans="1:6" ht="18.75" customHeight="1" thickBot="1" x14ac:dyDescent="0.25">
      <c r="B860" s="157" t="s">
        <v>90</v>
      </c>
      <c r="C860" s="158">
        <f>+C859-F859</f>
        <v>0</v>
      </c>
      <c r="D860" s="142"/>
      <c r="E860" s="159"/>
      <c r="F860" s="159"/>
    </row>
    <row r="861" spans="1:6" ht="16.5" customHeight="1" thickBot="1" x14ac:dyDescent="0.25">
      <c r="B861" s="160"/>
      <c r="C861" s="161"/>
      <c r="D861" s="162"/>
      <c r="E861" s="163"/>
      <c r="F861" s="163"/>
    </row>
    <row r="862" spans="1:6" ht="16.5" customHeight="1" x14ac:dyDescent="0.2">
      <c r="B862" s="164"/>
      <c r="C862" s="164"/>
      <c r="D862" s="142"/>
      <c r="E862" s="164"/>
      <c r="F862" s="159"/>
    </row>
    <row r="863" spans="1:6" ht="21.75" customHeight="1" x14ac:dyDescent="0.2">
      <c r="B863" s="196" t="s">
        <v>152</v>
      </c>
      <c r="C863" s="197"/>
      <c r="D863" s="197"/>
      <c r="E863" s="197"/>
      <c r="F863" s="197"/>
    </row>
    <row r="864" spans="1:6" ht="18" customHeight="1" x14ac:dyDescent="0.2">
      <c r="B864" s="138" t="s">
        <v>155</v>
      </c>
      <c r="C864" s="191">
        <f>+Nomina!$L$1</f>
        <v>0</v>
      </c>
      <c r="D864" s="192"/>
      <c r="E864" s="192"/>
      <c r="F864" s="193"/>
    </row>
    <row r="865" spans="1:6" ht="3.75" customHeight="1" x14ac:dyDescent="0.2">
      <c r="B865" s="139"/>
      <c r="C865" s="139"/>
      <c r="D865" s="139"/>
      <c r="E865" s="139"/>
      <c r="F865" s="139"/>
    </row>
    <row r="866" spans="1:6" ht="18.75" customHeight="1" x14ac:dyDescent="0.2">
      <c r="B866" s="140" t="s">
        <v>151</v>
      </c>
      <c r="C866" s="141">
        <v>42</v>
      </c>
      <c r="D866" s="142"/>
      <c r="E866" s="143" t="s">
        <v>153</v>
      </c>
      <c r="F866" s="144">
        <f>+Nomina!$L$3</f>
        <v>45292</v>
      </c>
    </row>
    <row r="867" spans="1:6" ht="18.75" customHeight="1" x14ac:dyDescent="0.2">
      <c r="B867" s="138" t="s">
        <v>150</v>
      </c>
      <c r="C867" s="145" t="str">
        <f>LOOKUP(C866,Nomina!$B$7:$B$51,Nomina!$C$7:$C$51)&amp;(LOOKUP(C866,Nomina!$B$7:$B$51,Nomina!$D$7:$D$51))</f>
        <v/>
      </c>
      <c r="D867" s="142"/>
      <c r="E867" s="143" t="s">
        <v>154</v>
      </c>
      <c r="F867" s="144">
        <f>+Nomina!$N$3</f>
        <v>45306</v>
      </c>
    </row>
    <row r="868" spans="1:6" ht="18.75" customHeight="1" x14ac:dyDescent="0.2">
      <c r="B868" s="138" t="s">
        <v>143</v>
      </c>
      <c r="C868" s="146">
        <f>LOOKUP(C866,Nomina!$B$7:$B$51,Nomina!$E$7:$E$51)</f>
        <v>0</v>
      </c>
      <c r="D868" s="142"/>
      <c r="E868" s="143" t="s">
        <v>149</v>
      </c>
      <c r="F868" s="147">
        <f>LOOKUP(C866,Nomina!$B$7:$B$51,Nomina!$I$7:$I$51)</f>
        <v>0</v>
      </c>
    </row>
    <row r="869" spans="1:6" ht="6" customHeight="1" x14ac:dyDescent="0.2">
      <c r="C869" s="148"/>
      <c r="D869" s="142"/>
      <c r="E869" s="148"/>
      <c r="F869" s="148"/>
    </row>
    <row r="870" spans="1:6" ht="18.75" customHeight="1" x14ac:dyDescent="0.2">
      <c r="B870" s="194" t="s">
        <v>84</v>
      </c>
      <c r="C870" s="194"/>
      <c r="D870" s="142"/>
      <c r="E870" s="195" t="s">
        <v>85</v>
      </c>
      <c r="F870" s="195"/>
    </row>
    <row r="871" spans="1:6" ht="5.25" customHeight="1" x14ac:dyDescent="0.2"/>
    <row r="872" spans="1:6" ht="18.75" customHeight="1" x14ac:dyDescent="0.2">
      <c r="B872" s="149" t="str">
        <f>+Nomina!$L$6</f>
        <v>Dias a Pagar</v>
      </c>
      <c r="C872" s="150">
        <f>LOOKUP($C866,Nomina!$B$7:$B$51,Nomina!$L$7:$L$51)</f>
        <v>15</v>
      </c>
      <c r="D872" s="142"/>
      <c r="E872" s="151" t="s">
        <v>13</v>
      </c>
      <c r="F872" s="152">
        <f>LOOKUP(C866,Nomina!$B$7:$B$51,Nomina!$X$7:$X$51)</f>
        <v>0</v>
      </c>
    </row>
    <row r="873" spans="1:6" ht="18.75" customHeight="1" x14ac:dyDescent="0.2">
      <c r="B873" s="149" t="str">
        <f>+Nomina!$M$6</f>
        <v>Sueldo</v>
      </c>
      <c r="C873" s="152">
        <f>LOOKUP(C866,Nomina!$B$7:$B$51,Nomina!$M$7:$M$51)</f>
        <v>0</v>
      </c>
      <c r="D873" s="142"/>
      <c r="E873" s="151" t="s">
        <v>3</v>
      </c>
      <c r="F873" s="152">
        <f>LOOKUP(C866,Nomina!$B$7:$B$51,Nomina!$Y$7:$Y$51)</f>
        <v>0</v>
      </c>
    </row>
    <row r="874" spans="1:6" ht="18.75" customHeight="1" x14ac:dyDescent="0.2">
      <c r="B874" s="149" t="str">
        <f>+Nomina!$N$6</f>
        <v>Horas Extras</v>
      </c>
      <c r="C874" s="152">
        <f>LOOKUP(C866,Nomina!$B$7:$B$51,Nomina!$N$7:$N$51)</f>
        <v>0</v>
      </c>
      <c r="D874" s="142"/>
      <c r="E874" s="151" t="s">
        <v>71</v>
      </c>
      <c r="F874" s="152">
        <f>LOOKUP(C866,Nomina!$B$7:$B$51,Nomina!$Z$7:$Z$51)</f>
        <v>0</v>
      </c>
    </row>
    <row r="875" spans="1:6" ht="18.75" customHeight="1" x14ac:dyDescent="0.2">
      <c r="B875" s="149" t="str">
        <f>+Nomina!$O$6</f>
        <v>Comisiones</v>
      </c>
      <c r="C875" s="152">
        <f>LOOKUP(C866,Nomina!$B$7:$B$51,Nomina!$O$7:$O$51)</f>
        <v>0</v>
      </c>
      <c r="D875" s="142"/>
      <c r="E875" s="149" t="str">
        <f>CONCATENATE(Nomina!$K$6," - ",Nomina!$K48)</f>
        <v xml:space="preserve">Faltas - </v>
      </c>
      <c r="F875" s="152">
        <f>LOOKUP(C866,Nomina!$B$7:$B$51,Nomina!$W$7:$W$51)</f>
        <v>0</v>
      </c>
    </row>
    <row r="876" spans="1:6" ht="18.75" customHeight="1" x14ac:dyDescent="0.2">
      <c r="B876" s="149" t="str">
        <f>+Nomina!$T$6</f>
        <v>Subsidio</v>
      </c>
      <c r="C876" s="152">
        <f>LOOKUP(C866,Nomina!$B$7:$B$51,Nomina!$T$7:$T$51)</f>
        <v>0</v>
      </c>
      <c r="D876" s="142"/>
      <c r="E876" s="149"/>
      <c r="F876" s="153"/>
    </row>
    <row r="877" spans="1:6" ht="18.75" customHeight="1" x14ac:dyDescent="0.2">
      <c r="B877" s="149" t="str">
        <f>+Nomina!$Q$6</f>
        <v xml:space="preserve">Bono x Asistencia </v>
      </c>
      <c r="C877" s="152">
        <f>LOOKUP(C866,Nomina!$B$7:$B$51,Nomina!$Q$7:$Q$51)</f>
        <v>0</v>
      </c>
      <c r="D877" s="142"/>
      <c r="E877" s="149"/>
      <c r="F877" s="153"/>
    </row>
    <row r="878" spans="1:6" ht="18.75" customHeight="1" x14ac:dyDescent="0.2">
      <c r="B878" s="149" t="str">
        <f>+Nomina!$R$6</f>
        <v>Bono x Puntualidad</v>
      </c>
      <c r="C878" s="152">
        <f>LOOKUP(C866,Nomina!$B$7:$B$51,Nomina!$R$7:$R$51)</f>
        <v>0</v>
      </c>
      <c r="D878" s="142"/>
      <c r="E878" s="149"/>
      <c r="F878" s="153"/>
    </row>
    <row r="879" spans="1:6" ht="6" customHeight="1" x14ac:dyDescent="0.2">
      <c r="A879" s="148"/>
      <c r="B879" s="148"/>
      <c r="C879" s="148"/>
      <c r="D879" s="148"/>
      <c r="E879" s="148"/>
      <c r="F879" s="154"/>
    </row>
    <row r="880" spans="1:6" ht="18.75" customHeight="1" thickBot="1" x14ac:dyDescent="0.25">
      <c r="B880" s="155" t="s">
        <v>33</v>
      </c>
      <c r="C880" s="156">
        <f>(LOOKUP(C866,Nomina!$B$7:$B$51,Nomina!$P$7:$P$51)+LOOKUP(C866,Nomina!$B$7:$B$51,Nomina!$U$7:$U$51))</f>
        <v>0</v>
      </c>
      <c r="D880" s="142"/>
      <c r="E880" s="138" t="s">
        <v>72</v>
      </c>
      <c r="F880" s="152">
        <f>LOOKUP(C866,Nomina!$B$7:$B$51,Nomina!$AA$7:$AA$51)</f>
        <v>0</v>
      </c>
    </row>
    <row r="881" spans="2:6" ht="18.75" customHeight="1" thickBot="1" x14ac:dyDescent="0.25">
      <c r="B881" s="157" t="s">
        <v>90</v>
      </c>
      <c r="C881" s="158">
        <f>+C880-F880</f>
        <v>0</v>
      </c>
      <c r="D881" s="142"/>
      <c r="E881" s="159"/>
      <c r="F881" s="159"/>
    </row>
    <row r="882" spans="2:6" ht="16.5" customHeight="1" thickBot="1" x14ac:dyDescent="0.25">
      <c r="B882" s="160"/>
      <c r="C882" s="161"/>
      <c r="D882" s="162"/>
      <c r="E882" s="163"/>
      <c r="F882" s="163"/>
    </row>
    <row r="883" spans="2:6" ht="16.5" customHeight="1" x14ac:dyDescent="0.2">
      <c r="B883" s="164"/>
      <c r="C883" s="164"/>
      <c r="D883" s="142"/>
      <c r="E883" s="164"/>
      <c r="F883" s="159"/>
    </row>
    <row r="884" spans="2:6" ht="21.75" customHeight="1" x14ac:dyDescent="0.2">
      <c r="B884" s="196" t="s">
        <v>152</v>
      </c>
      <c r="C884" s="197"/>
      <c r="D884" s="197"/>
      <c r="E884" s="197"/>
      <c r="F884" s="197"/>
    </row>
    <row r="885" spans="2:6" ht="18" customHeight="1" x14ac:dyDescent="0.2">
      <c r="B885" s="138" t="s">
        <v>155</v>
      </c>
      <c r="C885" s="191">
        <f>+Nomina!$L$1</f>
        <v>0</v>
      </c>
      <c r="D885" s="192"/>
      <c r="E885" s="192"/>
      <c r="F885" s="193"/>
    </row>
    <row r="886" spans="2:6" ht="3.75" customHeight="1" x14ac:dyDescent="0.2">
      <c r="B886" s="139"/>
      <c r="C886" s="139"/>
      <c r="D886" s="139"/>
      <c r="E886" s="139"/>
      <c r="F886" s="139"/>
    </row>
    <row r="887" spans="2:6" ht="18.75" customHeight="1" x14ac:dyDescent="0.2">
      <c r="B887" s="140" t="s">
        <v>151</v>
      </c>
      <c r="C887" s="141">
        <v>43</v>
      </c>
      <c r="D887" s="142"/>
      <c r="E887" s="143" t="s">
        <v>153</v>
      </c>
      <c r="F887" s="144">
        <f>+Nomina!$L$3</f>
        <v>45292</v>
      </c>
    </row>
    <row r="888" spans="2:6" ht="18.75" customHeight="1" x14ac:dyDescent="0.2">
      <c r="B888" s="138" t="s">
        <v>150</v>
      </c>
      <c r="C888" s="145" t="str">
        <f>LOOKUP(C887,Nomina!$B$7:$B$51,Nomina!$C$7:$C$51)&amp;(LOOKUP(C887,Nomina!$B$7:$B$51,Nomina!$D$7:$D$51))</f>
        <v/>
      </c>
      <c r="D888" s="142"/>
      <c r="E888" s="143" t="s">
        <v>154</v>
      </c>
      <c r="F888" s="144">
        <f>+Nomina!$N$3</f>
        <v>45306</v>
      </c>
    </row>
    <row r="889" spans="2:6" ht="18.75" customHeight="1" x14ac:dyDescent="0.2">
      <c r="B889" s="138" t="s">
        <v>143</v>
      </c>
      <c r="C889" s="146">
        <f>LOOKUP(C887,Nomina!$B$7:$B$51,Nomina!$E$7:$E$51)</f>
        <v>0</v>
      </c>
      <c r="D889" s="142"/>
      <c r="E889" s="143" t="s">
        <v>149</v>
      </c>
      <c r="F889" s="147">
        <f>LOOKUP(C887,Nomina!$B$7:$B$51,Nomina!$I$7:$I$51)</f>
        <v>0</v>
      </c>
    </row>
    <row r="890" spans="2:6" ht="6" customHeight="1" x14ac:dyDescent="0.2">
      <c r="C890" s="148"/>
      <c r="D890" s="142"/>
      <c r="E890" s="148"/>
      <c r="F890" s="148"/>
    </row>
    <row r="891" spans="2:6" ht="18.75" customHeight="1" x14ac:dyDescent="0.2">
      <c r="B891" s="194" t="s">
        <v>84</v>
      </c>
      <c r="C891" s="194"/>
      <c r="D891" s="142"/>
      <c r="E891" s="195" t="s">
        <v>85</v>
      </c>
      <c r="F891" s="195"/>
    </row>
    <row r="892" spans="2:6" ht="5.25" customHeight="1" x14ac:dyDescent="0.2"/>
    <row r="893" spans="2:6" ht="18.75" customHeight="1" x14ac:dyDescent="0.2">
      <c r="B893" s="149" t="str">
        <f>+Nomina!$L$6</f>
        <v>Dias a Pagar</v>
      </c>
      <c r="C893" s="150">
        <f>LOOKUP($C887,Nomina!$B$7:$B$51,Nomina!$L$7:$L$51)</f>
        <v>15</v>
      </c>
      <c r="D893" s="142"/>
      <c r="E893" s="151" t="s">
        <v>13</v>
      </c>
      <c r="F893" s="152">
        <f>LOOKUP(C887,Nomina!$B$7:$B$51,Nomina!$X$7:$X$51)</f>
        <v>0</v>
      </c>
    </row>
    <row r="894" spans="2:6" ht="18.75" customHeight="1" x14ac:dyDescent="0.2">
      <c r="B894" s="149" t="str">
        <f>+Nomina!$M$6</f>
        <v>Sueldo</v>
      </c>
      <c r="C894" s="152">
        <f>LOOKUP(C887,Nomina!$B$7:$B$51,Nomina!$M$7:$M$51)</f>
        <v>0</v>
      </c>
      <c r="D894" s="142"/>
      <c r="E894" s="151" t="s">
        <v>3</v>
      </c>
      <c r="F894" s="152">
        <f>LOOKUP(C887,Nomina!$B$7:$B$51,Nomina!$Y$7:$Y$51)</f>
        <v>0</v>
      </c>
    </row>
    <row r="895" spans="2:6" ht="18.75" customHeight="1" x14ac:dyDescent="0.2">
      <c r="B895" s="149" t="str">
        <f>+Nomina!$N$6</f>
        <v>Horas Extras</v>
      </c>
      <c r="C895" s="152">
        <f>LOOKUP(C887,Nomina!$B$7:$B$51,Nomina!$N$7:$N$51)</f>
        <v>0</v>
      </c>
      <c r="D895" s="142"/>
      <c r="E895" s="151" t="s">
        <v>71</v>
      </c>
      <c r="F895" s="152">
        <f>LOOKUP(C887,Nomina!$B$7:$B$51,Nomina!$Z$7:$Z$51)</f>
        <v>0</v>
      </c>
    </row>
    <row r="896" spans="2:6" ht="18.75" customHeight="1" x14ac:dyDescent="0.2">
      <c r="B896" s="149" t="str">
        <f>+Nomina!$O$6</f>
        <v>Comisiones</v>
      </c>
      <c r="C896" s="152">
        <f>LOOKUP(C887,Nomina!$B$7:$B$51,Nomina!$O$7:$O$51)</f>
        <v>0</v>
      </c>
      <c r="D896" s="142"/>
      <c r="E896" s="149" t="str">
        <f>CONCATENATE(Nomina!$K$6," - ",Nomina!$K49)</f>
        <v xml:space="preserve">Faltas - </v>
      </c>
      <c r="F896" s="152">
        <f>LOOKUP(C887,Nomina!$B$7:$B$51,Nomina!$W$7:$W$51)</f>
        <v>0</v>
      </c>
    </row>
    <row r="897" spans="1:6" ht="18.75" customHeight="1" x14ac:dyDescent="0.2">
      <c r="B897" s="149" t="str">
        <f>+Nomina!$T$6</f>
        <v>Subsidio</v>
      </c>
      <c r="C897" s="152">
        <f>LOOKUP(C887,Nomina!$B$7:$B$51,Nomina!$T$7:$T$51)</f>
        <v>0</v>
      </c>
      <c r="D897" s="142"/>
      <c r="E897" s="149"/>
      <c r="F897" s="153"/>
    </row>
    <row r="898" spans="1:6" ht="18.75" customHeight="1" x14ac:dyDescent="0.2">
      <c r="B898" s="149" t="str">
        <f>+Nomina!$Q$6</f>
        <v xml:space="preserve">Bono x Asistencia </v>
      </c>
      <c r="C898" s="152">
        <f>LOOKUP(C887,Nomina!$B$7:$B$51,Nomina!$Q$7:$Q$51)</f>
        <v>0</v>
      </c>
      <c r="D898" s="142"/>
      <c r="E898" s="149"/>
      <c r="F898" s="153"/>
    </row>
    <row r="899" spans="1:6" ht="18.75" customHeight="1" x14ac:dyDescent="0.2">
      <c r="B899" s="149" t="str">
        <f>+Nomina!$R$6</f>
        <v>Bono x Puntualidad</v>
      </c>
      <c r="C899" s="152">
        <f>LOOKUP(C887,Nomina!$B$7:$B$51,Nomina!$R$7:$R$51)</f>
        <v>0</v>
      </c>
      <c r="D899" s="142"/>
      <c r="E899" s="149"/>
      <c r="F899" s="153"/>
    </row>
    <row r="900" spans="1:6" ht="6" customHeight="1" x14ac:dyDescent="0.2">
      <c r="A900" s="148"/>
      <c r="B900" s="148"/>
      <c r="C900" s="148"/>
      <c r="D900" s="148"/>
      <c r="E900" s="148"/>
      <c r="F900" s="154"/>
    </row>
    <row r="901" spans="1:6" ht="18.75" customHeight="1" thickBot="1" x14ac:dyDescent="0.25">
      <c r="B901" s="155" t="s">
        <v>33</v>
      </c>
      <c r="C901" s="156">
        <f>(LOOKUP(C887,Nomina!$B$7:$B$51,Nomina!$P$7:$P$51)+LOOKUP(C887,Nomina!$B$7:$B$51,Nomina!$U$7:$U$51))</f>
        <v>0</v>
      </c>
      <c r="D901" s="142"/>
      <c r="E901" s="138" t="s">
        <v>72</v>
      </c>
      <c r="F901" s="152">
        <f>LOOKUP(C887,Nomina!$B$7:$B$51,Nomina!$AA$7:$AA$51)</f>
        <v>0</v>
      </c>
    </row>
    <row r="902" spans="1:6" ht="18.75" customHeight="1" thickBot="1" x14ac:dyDescent="0.25">
      <c r="B902" s="157" t="s">
        <v>90</v>
      </c>
      <c r="C902" s="158">
        <f>+C901-F901</f>
        <v>0</v>
      </c>
      <c r="D902" s="142"/>
      <c r="E902" s="159"/>
      <c r="F902" s="159"/>
    </row>
    <row r="903" spans="1:6" ht="16.5" customHeight="1" thickBot="1" x14ac:dyDescent="0.25">
      <c r="B903" s="160"/>
      <c r="C903" s="161"/>
      <c r="D903" s="162"/>
      <c r="E903" s="163"/>
      <c r="F903" s="163"/>
    </row>
    <row r="904" spans="1:6" ht="16.5" customHeight="1" x14ac:dyDescent="0.2">
      <c r="B904" s="164"/>
      <c r="C904" s="164"/>
      <c r="D904" s="142"/>
      <c r="E904" s="164"/>
      <c r="F904" s="159"/>
    </row>
    <row r="905" spans="1:6" ht="21.75" customHeight="1" x14ac:dyDescent="0.2">
      <c r="B905" s="196" t="s">
        <v>152</v>
      </c>
      <c r="C905" s="197"/>
      <c r="D905" s="197"/>
      <c r="E905" s="197"/>
      <c r="F905" s="197"/>
    </row>
    <row r="906" spans="1:6" ht="18" customHeight="1" x14ac:dyDescent="0.2">
      <c r="B906" s="138" t="s">
        <v>155</v>
      </c>
      <c r="C906" s="191">
        <f>+Nomina!$L$1</f>
        <v>0</v>
      </c>
      <c r="D906" s="192"/>
      <c r="E906" s="192"/>
      <c r="F906" s="193"/>
    </row>
    <row r="907" spans="1:6" ht="3.75" customHeight="1" x14ac:dyDescent="0.2">
      <c r="B907" s="139"/>
      <c r="C907" s="139"/>
      <c r="D907" s="139"/>
      <c r="E907" s="139"/>
      <c r="F907" s="139"/>
    </row>
    <row r="908" spans="1:6" ht="18.75" customHeight="1" x14ac:dyDescent="0.2">
      <c r="B908" s="140" t="s">
        <v>151</v>
      </c>
      <c r="C908" s="141">
        <v>44</v>
      </c>
      <c r="D908" s="142"/>
      <c r="E908" s="143" t="s">
        <v>153</v>
      </c>
      <c r="F908" s="144">
        <f>+Nomina!$L$3</f>
        <v>45292</v>
      </c>
    </row>
    <row r="909" spans="1:6" ht="18.75" customHeight="1" x14ac:dyDescent="0.2">
      <c r="B909" s="138" t="s">
        <v>150</v>
      </c>
      <c r="C909" s="145" t="str">
        <f>LOOKUP(C908,Nomina!$B$7:$B$51,Nomina!$C$7:$C$51)&amp;(LOOKUP(C908,Nomina!$B$7:$B$51,Nomina!$D$7:$D$51))</f>
        <v/>
      </c>
      <c r="D909" s="142"/>
      <c r="E909" s="143" t="s">
        <v>154</v>
      </c>
      <c r="F909" s="144">
        <f>+Nomina!$N$3</f>
        <v>45306</v>
      </c>
    </row>
    <row r="910" spans="1:6" ht="18.75" customHeight="1" x14ac:dyDescent="0.2">
      <c r="B910" s="138" t="s">
        <v>143</v>
      </c>
      <c r="C910" s="146">
        <f>LOOKUP(C908,Nomina!$B$7:$B$51,Nomina!$E$7:$E$51)</f>
        <v>0</v>
      </c>
      <c r="D910" s="142"/>
      <c r="E910" s="143" t="s">
        <v>149</v>
      </c>
      <c r="F910" s="147">
        <f>LOOKUP(C908,Nomina!$B$7:$B$51,Nomina!$I$7:$I$51)</f>
        <v>0</v>
      </c>
    </row>
    <row r="911" spans="1:6" ht="6" customHeight="1" x14ac:dyDescent="0.2">
      <c r="C911" s="148"/>
      <c r="D911" s="142"/>
      <c r="E911" s="148"/>
      <c r="F911" s="148"/>
    </row>
    <row r="912" spans="1:6" ht="18.75" customHeight="1" x14ac:dyDescent="0.2">
      <c r="B912" s="194" t="s">
        <v>84</v>
      </c>
      <c r="C912" s="194"/>
      <c r="D912" s="142"/>
      <c r="E912" s="195" t="s">
        <v>85</v>
      </c>
      <c r="F912" s="195"/>
    </row>
    <row r="913" spans="1:6" ht="5.25" customHeight="1" x14ac:dyDescent="0.2"/>
    <row r="914" spans="1:6" ht="18.75" customHeight="1" x14ac:dyDescent="0.2">
      <c r="B914" s="149" t="str">
        <f>+Nomina!$L$6</f>
        <v>Dias a Pagar</v>
      </c>
      <c r="C914" s="150">
        <f>LOOKUP($C908,Nomina!$B$7:$B$51,Nomina!$L$7:$L$51)</f>
        <v>15</v>
      </c>
      <c r="D914" s="142"/>
      <c r="E914" s="151" t="s">
        <v>13</v>
      </c>
      <c r="F914" s="152">
        <f>LOOKUP(C908,Nomina!$B$7:$B$51,Nomina!$X$7:$X$51)</f>
        <v>0</v>
      </c>
    </row>
    <row r="915" spans="1:6" ht="18.75" customHeight="1" x14ac:dyDescent="0.2">
      <c r="B915" s="149" t="str">
        <f>+Nomina!$M$6</f>
        <v>Sueldo</v>
      </c>
      <c r="C915" s="152">
        <f>LOOKUP(C908,Nomina!$B$7:$B$51,Nomina!$M$7:$M$51)</f>
        <v>0</v>
      </c>
      <c r="D915" s="142"/>
      <c r="E915" s="151" t="s">
        <v>3</v>
      </c>
      <c r="F915" s="152">
        <f>LOOKUP(C908,Nomina!$B$7:$B$51,Nomina!$Y$7:$Y$51)</f>
        <v>0</v>
      </c>
    </row>
    <row r="916" spans="1:6" ht="18.75" customHeight="1" x14ac:dyDescent="0.2">
      <c r="B916" s="149" t="str">
        <f>+Nomina!$N$6</f>
        <v>Horas Extras</v>
      </c>
      <c r="C916" s="152">
        <f>LOOKUP(C908,Nomina!$B$7:$B$51,Nomina!$N$7:$N$51)</f>
        <v>0</v>
      </c>
      <c r="D916" s="142"/>
      <c r="E916" s="151" t="s">
        <v>71</v>
      </c>
      <c r="F916" s="152">
        <f>LOOKUP(C908,Nomina!$B$7:$B$51,Nomina!$Z$7:$Z$51)</f>
        <v>0</v>
      </c>
    </row>
    <row r="917" spans="1:6" ht="18.75" customHeight="1" x14ac:dyDescent="0.2">
      <c r="B917" s="149" t="str">
        <f>+Nomina!$O$6</f>
        <v>Comisiones</v>
      </c>
      <c r="C917" s="152">
        <f>LOOKUP(C908,Nomina!$B$7:$B$51,Nomina!$O$7:$O$51)</f>
        <v>0</v>
      </c>
      <c r="D917" s="142"/>
      <c r="E917" s="149" t="str">
        <f>CONCATENATE(Nomina!$K$6," - ",Nomina!$K50)</f>
        <v xml:space="preserve">Faltas - </v>
      </c>
      <c r="F917" s="152">
        <f>LOOKUP(C908,Nomina!$B$7:$B$51,Nomina!$W$7:$W$51)</f>
        <v>0</v>
      </c>
    </row>
    <row r="918" spans="1:6" ht="18.75" customHeight="1" x14ac:dyDescent="0.2">
      <c r="B918" s="149" t="str">
        <f>+Nomina!$T$6</f>
        <v>Subsidio</v>
      </c>
      <c r="C918" s="152">
        <f>LOOKUP(C908,Nomina!$B$7:$B$51,Nomina!$T$7:$T$51)</f>
        <v>0</v>
      </c>
      <c r="D918" s="142"/>
      <c r="E918" s="149"/>
      <c r="F918" s="153"/>
    </row>
    <row r="919" spans="1:6" ht="18.75" customHeight="1" x14ac:dyDescent="0.2">
      <c r="B919" s="149" t="str">
        <f>+Nomina!$Q$6</f>
        <v xml:space="preserve">Bono x Asistencia </v>
      </c>
      <c r="C919" s="152">
        <f>LOOKUP(C908,Nomina!$B$7:$B$51,Nomina!$Q$7:$Q$51)</f>
        <v>0</v>
      </c>
      <c r="D919" s="142"/>
      <c r="E919" s="149"/>
      <c r="F919" s="153"/>
    </row>
    <row r="920" spans="1:6" ht="18.75" customHeight="1" x14ac:dyDescent="0.2">
      <c r="B920" s="149" t="str">
        <f>+Nomina!$R$6</f>
        <v>Bono x Puntualidad</v>
      </c>
      <c r="C920" s="152">
        <f>LOOKUP(C908,Nomina!$B$7:$B$51,Nomina!$R$7:$R$51)</f>
        <v>0</v>
      </c>
      <c r="D920" s="142"/>
      <c r="E920" s="149"/>
      <c r="F920" s="153"/>
    </row>
    <row r="921" spans="1:6" ht="6" customHeight="1" x14ac:dyDescent="0.2">
      <c r="A921" s="148"/>
      <c r="B921" s="148"/>
      <c r="C921" s="148"/>
      <c r="D921" s="148"/>
      <c r="E921" s="148"/>
      <c r="F921" s="154"/>
    </row>
    <row r="922" spans="1:6" ht="18.75" customHeight="1" thickBot="1" x14ac:dyDescent="0.25">
      <c r="B922" s="155" t="s">
        <v>33</v>
      </c>
      <c r="C922" s="156">
        <f>(LOOKUP(C908,Nomina!$B$7:$B$51,Nomina!$P$7:$P$51)+LOOKUP(C908,Nomina!$B$7:$B$51,Nomina!$U$7:$U$51))</f>
        <v>0</v>
      </c>
      <c r="D922" s="142"/>
      <c r="E922" s="138" t="s">
        <v>72</v>
      </c>
      <c r="F922" s="152">
        <f>LOOKUP(C908,Nomina!$B$7:$B$51,Nomina!$AA$7:$AA$51)</f>
        <v>0</v>
      </c>
    </row>
    <row r="923" spans="1:6" ht="18.75" customHeight="1" thickBot="1" x14ac:dyDescent="0.25">
      <c r="B923" s="157" t="s">
        <v>90</v>
      </c>
      <c r="C923" s="158">
        <f>+C922-F922</f>
        <v>0</v>
      </c>
      <c r="D923" s="142"/>
      <c r="E923" s="159"/>
      <c r="F923" s="159"/>
    </row>
    <row r="924" spans="1:6" ht="16.5" customHeight="1" thickBot="1" x14ac:dyDescent="0.25">
      <c r="B924" s="160"/>
      <c r="C924" s="161"/>
      <c r="D924" s="162"/>
      <c r="E924" s="163"/>
      <c r="F924" s="163"/>
    </row>
    <row r="925" spans="1:6" ht="16.5" customHeight="1" x14ac:dyDescent="0.2">
      <c r="B925" s="164"/>
      <c r="C925" s="164"/>
      <c r="D925" s="142"/>
      <c r="E925" s="164"/>
      <c r="F925" s="159"/>
    </row>
    <row r="926" spans="1:6" ht="21.75" customHeight="1" x14ac:dyDescent="0.2">
      <c r="B926" s="196" t="s">
        <v>152</v>
      </c>
      <c r="C926" s="197"/>
      <c r="D926" s="197"/>
      <c r="E926" s="197"/>
      <c r="F926" s="197"/>
    </row>
    <row r="927" spans="1:6" ht="18" customHeight="1" x14ac:dyDescent="0.2">
      <c r="B927" s="138" t="s">
        <v>155</v>
      </c>
      <c r="C927" s="191">
        <f>+Nomina!$L$1</f>
        <v>0</v>
      </c>
      <c r="D927" s="192"/>
      <c r="E927" s="192"/>
      <c r="F927" s="193"/>
    </row>
    <row r="928" spans="1:6" ht="3.75" customHeight="1" x14ac:dyDescent="0.2">
      <c r="B928" s="139"/>
      <c r="C928" s="139"/>
      <c r="D928" s="139"/>
      <c r="E928" s="139"/>
      <c r="F928" s="139"/>
    </row>
    <row r="929" spans="1:6" ht="18.75" customHeight="1" x14ac:dyDescent="0.2">
      <c r="B929" s="140" t="s">
        <v>151</v>
      </c>
      <c r="C929" s="141">
        <v>45</v>
      </c>
      <c r="D929" s="142"/>
      <c r="E929" s="143" t="s">
        <v>153</v>
      </c>
      <c r="F929" s="144">
        <f>+Nomina!$L$3</f>
        <v>45292</v>
      </c>
    </row>
    <row r="930" spans="1:6" ht="18.75" customHeight="1" x14ac:dyDescent="0.2">
      <c r="B930" s="138" t="s">
        <v>150</v>
      </c>
      <c r="C930" s="145" t="str">
        <f>LOOKUP(C929,Nomina!$B$7:$B$51,Nomina!$C$7:$C$51)&amp;(LOOKUP(C929,Nomina!$B$7:$B$51,Nomina!$D$7:$D$51))</f>
        <v/>
      </c>
      <c r="D930" s="142"/>
      <c r="E930" s="143" t="s">
        <v>154</v>
      </c>
      <c r="F930" s="144">
        <f>+Nomina!$N$3</f>
        <v>45306</v>
      </c>
    </row>
    <row r="931" spans="1:6" ht="18.75" customHeight="1" x14ac:dyDescent="0.2">
      <c r="B931" s="138" t="s">
        <v>143</v>
      </c>
      <c r="C931" s="146">
        <f>LOOKUP(C929,Nomina!$B$7:$B$51,Nomina!$E$7:$E$51)</f>
        <v>0</v>
      </c>
      <c r="D931" s="142"/>
      <c r="E931" s="143" t="s">
        <v>149</v>
      </c>
      <c r="F931" s="147">
        <f>LOOKUP(C929,Nomina!$B$7:$B$51,Nomina!$I$7:$I$51)</f>
        <v>0</v>
      </c>
    </row>
    <row r="932" spans="1:6" ht="6" customHeight="1" x14ac:dyDescent="0.2">
      <c r="C932" s="148"/>
      <c r="D932" s="142"/>
      <c r="E932" s="148"/>
      <c r="F932" s="148"/>
    </row>
    <row r="933" spans="1:6" ht="18.75" customHeight="1" x14ac:dyDescent="0.2">
      <c r="B933" s="194" t="s">
        <v>84</v>
      </c>
      <c r="C933" s="194"/>
      <c r="D933" s="142"/>
      <c r="E933" s="195" t="s">
        <v>85</v>
      </c>
      <c r="F933" s="195"/>
    </row>
    <row r="934" spans="1:6" ht="5.25" customHeight="1" x14ac:dyDescent="0.2"/>
    <row r="935" spans="1:6" ht="18.75" customHeight="1" x14ac:dyDescent="0.2">
      <c r="B935" s="149" t="str">
        <f>+Nomina!$L$6</f>
        <v>Dias a Pagar</v>
      </c>
      <c r="C935" s="150">
        <f>LOOKUP($C929,Nomina!$B$7:$B$51,Nomina!$L$7:$L$51)</f>
        <v>12</v>
      </c>
      <c r="D935" s="142"/>
      <c r="E935" s="151" t="s">
        <v>13</v>
      </c>
      <c r="F935" s="152">
        <f>LOOKUP(C929,Nomina!$B$7:$B$51,Nomina!$X$7:$X$51)</f>
        <v>0</v>
      </c>
    </row>
    <row r="936" spans="1:6" ht="18.75" customHeight="1" x14ac:dyDescent="0.2">
      <c r="B936" s="149" t="str">
        <f>+Nomina!$M$6</f>
        <v>Sueldo</v>
      </c>
      <c r="C936" s="152">
        <f>LOOKUP(C929,Nomina!$B$7:$B$51,Nomina!$M$7:$M$51)</f>
        <v>0</v>
      </c>
      <c r="D936" s="142"/>
      <c r="E936" s="151" t="s">
        <v>3</v>
      </c>
      <c r="F936" s="152">
        <f>LOOKUP(C929,Nomina!$B$7:$B$51,Nomina!$Y$7:$Y$51)</f>
        <v>0</v>
      </c>
    </row>
    <row r="937" spans="1:6" ht="18.75" customHeight="1" x14ac:dyDescent="0.2">
      <c r="B937" s="149" t="str">
        <f>+Nomina!$N$6</f>
        <v>Horas Extras</v>
      </c>
      <c r="C937" s="152">
        <f>LOOKUP(C929,Nomina!$B$7:$B$51,Nomina!$N$7:$N$51)</f>
        <v>0</v>
      </c>
      <c r="D937" s="142"/>
      <c r="E937" s="151" t="s">
        <v>71</v>
      </c>
      <c r="F937" s="152">
        <f>LOOKUP(C929,Nomina!$B$7:$B$51,Nomina!$Z$7:$Z$51)</f>
        <v>0</v>
      </c>
    </row>
    <row r="938" spans="1:6" ht="18.75" customHeight="1" x14ac:dyDescent="0.2">
      <c r="B938" s="149" t="str">
        <f>+Nomina!$O$6</f>
        <v>Comisiones</v>
      </c>
      <c r="C938" s="152">
        <f>LOOKUP(C929,Nomina!$B$7:$B$51,Nomina!$O$7:$O$51)</f>
        <v>0</v>
      </c>
      <c r="D938" s="142"/>
      <c r="E938" s="149" t="str">
        <f>CONCATENATE(Nomina!$K$6," - ",Nomina!$K51)</f>
        <v>Faltas - 3</v>
      </c>
      <c r="F938" s="152">
        <f>LOOKUP(C929,Nomina!$B$7:$B$51,Nomina!$W$7:$W$51)</f>
        <v>0</v>
      </c>
    </row>
    <row r="939" spans="1:6" ht="18.75" customHeight="1" x14ac:dyDescent="0.2">
      <c r="B939" s="149" t="str">
        <f>+Nomina!$T$6</f>
        <v>Subsidio</v>
      </c>
      <c r="C939" s="152">
        <f>LOOKUP(C929,Nomina!$B$7:$B$51,Nomina!$T$7:$T$51)</f>
        <v>0</v>
      </c>
      <c r="D939" s="142"/>
      <c r="E939" s="149"/>
      <c r="F939" s="153"/>
    </row>
    <row r="940" spans="1:6" ht="18.75" customHeight="1" x14ac:dyDescent="0.2">
      <c r="B940" s="149" t="str">
        <f>+Nomina!$Q$6</f>
        <v xml:space="preserve">Bono x Asistencia </v>
      </c>
      <c r="C940" s="152">
        <f>LOOKUP(C929,Nomina!$B$7:$B$51,Nomina!$Q$7:$Q$51)</f>
        <v>0</v>
      </c>
      <c r="D940" s="142"/>
      <c r="E940" s="149"/>
      <c r="F940" s="153"/>
    </row>
    <row r="941" spans="1:6" ht="18.75" customHeight="1" x14ac:dyDescent="0.2">
      <c r="B941" s="149" t="str">
        <f>+Nomina!$R$6</f>
        <v>Bono x Puntualidad</v>
      </c>
      <c r="C941" s="152">
        <f>LOOKUP(C929,Nomina!$B$7:$B$51,Nomina!$R$7:$R$51)</f>
        <v>0</v>
      </c>
      <c r="D941" s="142"/>
      <c r="E941" s="149"/>
      <c r="F941" s="153"/>
    </row>
    <row r="942" spans="1:6" ht="6" customHeight="1" x14ac:dyDescent="0.2">
      <c r="A942" s="148"/>
      <c r="B942" s="148"/>
      <c r="C942" s="148"/>
      <c r="D942" s="148"/>
      <c r="E942" s="148"/>
      <c r="F942" s="154"/>
    </row>
    <row r="943" spans="1:6" ht="18.75" customHeight="1" thickBot="1" x14ac:dyDescent="0.25">
      <c r="B943" s="155" t="s">
        <v>33</v>
      </c>
      <c r="C943" s="156">
        <f>(LOOKUP(C929,Nomina!$B$7:$B$51,Nomina!$P$7:$P$51)+LOOKUP(C929,Nomina!$B$7:$B$51,Nomina!$U$7:$U$51))</f>
        <v>0</v>
      </c>
      <c r="D943" s="142"/>
      <c r="E943" s="138" t="s">
        <v>72</v>
      </c>
      <c r="F943" s="152">
        <f>LOOKUP(C929,Nomina!$B$7:$B$51,Nomina!$AA$7:$AA$51)</f>
        <v>0</v>
      </c>
    </row>
    <row r="944" spans="1:6" ht="18.75" customHeight="1" thickBot="1" x14ac:dyDescent="0.25">
      <c r="B944" s="157" t="s">
        <v>90</v>
      </c>
      <c r="C944" s="158">
        <f>+C943-F943</f>
        <v>0</v>
      </c>
      <c r="D944" s="142"/>
      <c r="E944" s="159"/>
      <c r="F944" s="159"/>
    </row>
    <row r="945" spans="2:6" ht="16.5" customHeight="1" thickBot="1" x14ac:dyDescent="0.25">
      <c r="B945" s="160"/>
      <c r="C945" s="161"/>
      <c r="D945" s="162"/>
      <c r="E945" s="163"/>
      <c r="F945" s="163"/>
    </row>
    <row r="946" spans="2:6" ht="16.5" customHeight="1" x14ac:dyDescent="0.2">
      <c r="B946" s="164"/>
      <c r="C946" s="164"/>
      <c r="D946" s="142"/>
      <c r="E946" s="164"/>
      <c r="F946" s="159"/>
    </row>
  </sheetData>
  <mergeCells count="180">
    <mergeCell ref="C822:F822"/>
    <mergeCell ref="B891:C891"/>
    <mergeCell ref="E891:F891"/>
    <mergeCell ref="B884:F884"/>
    <mergeCell ref="C885:F885"/>
    <mergeCell ref="B779:F779"/>
    <mergeCell ref="C780:F780"/>
    <mergeCell ref="B786:C786"/>
    <mergeCell ref="E786:F786"/>
    <mergeCell ref="B800:F800"/>
    <mergeCell ref="C801:F801"/>
    <mergeCell ref="B807:C807"/>
    <mergeCell ref="E807:F807"/>
    <mergeCell ref="B821:F821"/>
    <mergeCell ref="E723:F723"/>
    <mergeCell ref="B737:F737"/>
    <mergeCell ref="C738:F738"/>
    <mergeCell ref="B744:C744"/>
    <mergeCell ref="E744:F744"/>
    <mergeCell ref="B758:F758"/>
    <mergeCell ref="C759:F759"/>
    <mergeCell ref="B765:C765"/>
    <mergeCell ref="E765:F765"/>
    <mergeCell ref="B506:F506"/>
    <mergeCell ref="C507:F507"/>
    <mergeCell ref="B513:C513"/>
    <mergeCell ref="E513:F513"/>
    <mergeCell ref="C570:F570"/>
    <mergeCell ref="B576:C576"/>
    <mergeCell ref="E576:F576"/>
    <mergeCell ref="C633:F633"/>
    <mergeCell ref="B639:C639"/>
    <mergeCell ref="E639:F639"/>
    <mergeCell ref="B527:F527"/>
    <mergeCell ref="C528:F528"/>
    <mergeCell ref="B534:C534"/>
    <mergeCell ref="E534:F534"/>
    <mergeCell ref="B548:F548"/>
    <mergeCell ref="C549:F549"/>
    <mergeCell ref="B555:C555"/>
    <mergeCell ref="E555:F555"/>
    <mergeCell ref="B569:F569"/>
    <mergeCell ref="B590:F590"/>
    <mergeCell ref="C591:F591"/>
    <mergeCell ref="B597:C597"/>
    <mergeCell ref="E597:F597"/>
    <mergeCell ref="B611:F611"/>
    <mergeCell ref="B401:F401"/>
    <mergeCell ref="C402:F402"/>
    <mergeCell ref="B464:F464"/>
    <mergeCell ref="C465:F465"/>
    <mergeCell ref="B471:C471"/>
    <mergeCell ref="E471:F471"/>
    <mergeCell ref="B485:F485"/>
    <mergeCell ref="C486:F486"/>
    <mergeCell ref="B492:C492"/>
    <mergeCell ref="E492:F492"/>
    <mergeCell ref="B408:C408"/>
    <mergeCell ref="E408:F408"/>
    <mergeCell ref="B422:F422"/>
    <mergeCell ref="C423:F423"/>
    <mergeCell ref="B429:C429"/>
    <mergeCell ref="E429:F429"/>
    <mergeCell ref="B443:F443"/>
    <mergeCell ref="C444:F444"/>
    <mergeCell ref="B450:C450"/>
    <mergeCell ref="E450:F450"/>
    <mergeCell ref="B345:C345"/>
    <mergeCell ref="E345:F345"/>
    <mergeCell ref="B359:F359"/>
    <mergeCell ref="C360:F360"/>
    <mergeCell ref="B366:C366"/>
    <mergeCell ref="E366:F366"/>
    <mergeCell ref="B380:F380"/>
    <mergeCell ref="C381:F381"/>
    <mergeCell ref="B387:C387"/>
    <mergeCell ref="E387:F387"/>
    <mergeCell ref="C297:F297"/>
    <mergeCell ref="B303:C303"/>
    <mergeCell ref="E303:F303"/>
    <mergeCell ref="B317:F317"/>
    <mergeCell ref="C318:F318"/>
    <mergeCell ref="B324:C324"/>
    <mergeCell ref="E324:F324"/>
    <mergeCell ref="B338:F338"/>
    <mergeCell ref="C339:F339"/>
    <mergeCell ref="B254:F254"/>
    <mergeCell ref="C255:F255"/>
    <mergeCell ref="B261:C261"/>
    <mergeCell ref="E261:F261"/>
    <mergeCell ref="B275:F275"/>
    <mergeCell ref="C276:F276"/>
    <mergeCell ref="B282:C282"/>
    <mergeCell ref="E282:F282"/>
    <mergeCell ref="B296:F296"/>
    <mergeCell ref="C150:F150"/>
    <mergeCell ref="B156:C156"/>
    <mergeCell ref="E156:F156"/>
    <mergeCell ref="C213:F213"/>
    <mergeCell ref="B219:C219"/>
    <mergeCell ref="E219:F219"/>
    <mergeCell ref="B233:F233"/>
    <mergeCell ref="C234:F234"/>
    <mergeCell ref="B240:C240"/>
    <mergeCell ref="E240:F240"/>
    <mergeCell ref="B170:F170"/>
    <mergeCell ref="C171:F171"/>
    <mergeCell ref="B177:C177"/>
    <mergeCell ref="E177:F177"/>
    <mergeCell ref="B191:F191"/>
    <mergeCell ref="C192:F192"/>
    <mergeCell ref="B198:C198"/>
    <mergeCell ref="E198:F198"/>
    <mergeCell ref="B212:F212"/>
    <mergeCell ref="C66:F66"/>
    <mergeCell ref="B72:C72"/>
    <mergeCell ref="E72:F72"/>
    <mergeCell ref="B86:F86"/>
    <mergeCell ref="C87:F87"/>
    <mergeCell ref="B93:C93"/>
    <mergeCell ref="E93:F93"/>
    <mergeCell ref="B2:F2"/>
    <mergeCell ref="C3:F3"/>
    <mergeCell ref="B9:C9"/>
    <mergeCell ref="E9:F9"/>
    <mergeCell ref="E30:F30"/>
    <mergeCell ref="B30:C30"/>
    <mergeCell ref="C24:F24"/>
    <mergeCell ref="B23:F23"/>
    <mergeCell ref="B44:F44"/>
    <mergeCell ref="C45:F45"/>
    <mergeCell ref="B51:C51"/>
    <mergeCell ref="E51:F51"/>
    <mergeCell ref="B65:F65"/>
    <mergeCell ref="B107:F107"/>
    <mergeCell ref="C108:F108"/>
    <mergeCell ref="B114:C114"/>
    <mergeCell ref="E114:F114"/>
    <mergeCell ref="B128:F128"/>
    <mergeCell ref="C129:F129"/>
    <mergeCell ref="B135:C135"/>
    <mergeCell ref="E135:F135"/>
    <mergeCell ref="B149:F149"/>
    <mergeCell ref="C612:F612"/>
    <mergeCell ref="B618:C618"/>
    <mergeCell ref="E618:F618"/>
    <mergeCell ref="B632:F632"/>
    <mergeCell ref="B905:F905"/>
    <mergeCell ref="C906:F906"/>
    <mergeCell ref="B912:C912"/>
    <mergeCell ref="E912:F912"/>
    <mergeCell ref="B926:F926"/>
    <mergeCell ref="B653:F653"/>
    <mergeCell ref="C654:F654"/>
    <mergeCell ref="B660:C660"/>
    <mergeCell ref="E660:F660"/>
    <mergeCell ref="B674:F674"/>
    <mergeCell ref="C675:F675"/>
    <mergeCell ref="B681:C681"/>
    <mergeCell ref="E681:F681"/>
    <mergeCell ref="B695:F695"/>
    <mergeCell ref="C696:F696"/>
    <mergeCell ref="B702:C702"/>
    <mergeCell ref="E702:F702"/>
    <mergeCell ref="B716:F716"/>
    <mergeCell ref="C717:F717"/>
    <mergeCell ref="B723:C723"/>
    <mergeCell ref="C927:F927"/>
    <mergeCell ref="B933:C933"/>
    <mergeCell ref="E933:F933"/>
    <mergeCell ref="B828:C828"/>
    <mergeCell ref="E828:F828"/>
    <mergeCell ref="B842:F842"/>
    <mergeCell ref="C843:F843"/>
    <mergeCell ref="B849:C849"/>
    <mergeCell ref="E849:F849"/>
    <mergeCell ref="B863:F863"/>
    <mergeCell ref="C864:F864"/>
    <mergeCell ref="B870:C870"/>
    <mergeCell ref="E870:F870"/>
  </mergeCells>
  <pageMargins left="0.36" right="0.49" top="0.23" bottom="0.14000000000000001" header="0" footer="0"/>
  <pageSetup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1169B3"/>
  </sheetPr>
  <dimension ref="A1:BK51"/>
  <sheetViews>
    <sheetView showGridLines="0" topLeftCell="J1" workbookViewId="0">
      <selection activeCell="S7" sqref="S7"/>
    </sheetView>
  </sheetViews>
  <sheetFormatPr baseColWidth="10" defaultColWidth="11.42578125" defaultRowHeight="11.25" x14ac:dyDescent="0.25"/>
  <cols>
    <col min="1" max="1" width="3.85546875" style="1" customWidth="1"/>
    <col min="2" max="2" width="43.85546875" style="1" bestFit="1" customWidth="1"/>
    <col min="3" max="3" width="4" style="2" bestFit="1" customWidth="1"/>
    <col min="4" max="4" width="7" style="2" bestFit="1" customWidth="1"/>
    <col min="5" max="5" width="1.85546875" style="1" customWidth="1"/>
    <col min="6" max="6" width="9.85546875" style="3" customWidth="1"/>
    <col min="7" max="7" width="9" style="3" bestFit="1" customWidth="1"/>
    <col min="8" max="8" width="9.85546875" style="3" customWidth="1"/>
    <col min="9" max="9" width="6.28515625" style="1" customWidth="1"/>
    <col min="10" max="10" width="8.140625" style="3" customWidth="1"/>
    <col min="11" max="11" width="9" style="3" bestFit="1" customWidth="1"/>
    <col min="12" max="12" width="10" style="3" customWidth="1"/>
    <col min="13" max="13" width="9.140625" style="3" customWidth="1"/>
    <col min="14" max="14" width="9" style="3" customWidth="1"/>
    <col min="15" max="15" width="8.140625" style="1" customWidth="1"/>
    <col min="16" max="16" width="4.7109375" style="1" customWidth="1"/>
    <col min="17" max="17" width="11.42578125" style="1"/>
    <col min="18" max="18" width="9.42578125" style="1" customWidth="1"/>
    <col min="19" max="54" width="11.42578125" style="1"/>
    <col min="55" max="55" width="3.28515625" style="1" customWidth="1"/>
    <col min="56" max="56" width="10.140625" style="1" customWidth="1"/>
    <col min="57" max="57" width="9.140625" style="1" customWidth="1"/>
    <col min="58" max="58" width="2.42578125" style="1" customWidth="1"/>
    <col min="59" max="60" width="11.42578125" style="1"/>
    <col min="61" max="61" width="2.42578125" style="1" customWidth="1"/>
    <col min="62" max="16384" width="11.42578125" style="1"/>
  </cols>
  <sheetData>
    <row r="1" spans="1:63" x14ac:dyDescent="0.25">
      <c r="Q1" s="4"/>
      <c r="R1" s="4"/>
      <c r="S1" s="198" t="s">
        <v>4</v>
      </c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201" t="s">
        <v>5</v>
      </c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</row>
    <row r="2" spans="1:63" ht="11.25" customHeight="1" x14ac:dyDescent="0.25">
      <c r="B2" s="5"/>
      <c r="C2" s="5"/>
      <c r="D2" s="6"/>
      <c r="E2" s="5"/>
      <c r="Q2" s="4"/>
      <c r="R2" s="4"/>
      <c r="S2" s="198" t="s">
        <v>6</v>
      </c>
      <c r="T2" s="198"/>
      <c r="U2" s="198"/>
      <c r="V2" s="198"/>
      <c r="W2" s="198"/>
      <c r="X2" s="198"/>
      <c r="Y2" s="198"/>
      <c r="Z2" s="198"/>
      <c r="AA2" s="198"/>
      <c r="AB2" s="198" t="s">
        <v>68</v>
      </c>
      <c r="AC2" s="198"/>
      <c r="AD2" s="198"/>
      <c r="AE2" s="198" t="s">
        <v>78</v>
      </c>
      <c r="AF2" s="198"/>
      <c r="AG2" s="198"/>
      <c r="AH2" s="198" t="s">
        <v>7</v>
      </c>
      <c r="AI2" s="198"/>
      <c r="AJ2" s="198"/>
      <c r="AK2" s="198" t="s">
        <v>8</v>
      </c>
      <c r="AL2" s="198"/>
      <c r="AM2" s="198"/>
      <c r="AN2" s="202" t="s">
        <v>9</v>
      </c>
      <c r="AO2" s="202" t="s">
        <v>10</v>
      </c>
      <c r="AP2" s="202" t="s">
        <v>11</v>
      </c>
      <c r="AQ2" s="200" t="s">
        <v>12</v>
      </c>
      <c r="AR2" s="200"/>
      <c r="AS2" s="200"/>
      <c r="AT2" s="200" t="s">
        <v>79</v>
      </c>
      <c r="AU2" s="200"/>
      <c r="AV2" s="200"/>
      <c r="AW2" s="200" t="s">
        <v>13</v>
      </c>
      <c r="AX2" s="200"/>
      <c r="AY2" s="200"/>
      <c r="AZ2" s="199" t="s">
        <v>9</v>
      </c>
      <c r="BA2" s="199" t="s">
        <v>10</v>
      </c>
      <c r="BB2" s="199" t="s">
        <v>14</v>
      </c>
      <c r="BC2" s="82"/>
      <c r="BD2" s="82"/>
      <c r="BE2" s="82"/>
      <c r="BF2" s="82"/>
      <c r="BG2" s="82"/>
      <c r="BH2" s="82"/>
      <c r="BI2" s="82"/>
      <c r="BJ2" s="82"/>
      <c r="BK2" s="82"/>
    </row>
    <row r="3" spans="1:63" ht="15" x14ac:dyDescent="0.25">
      <c r="B3" s="67" t="s">
        <v>133</v>
      </c>
      <c r="C3" s="6"/>
      <c r="D3" s="6"/>
      <c r="E3" s="5"/>
      <c r="Q3" s="68" t="s">
        <v>100</v>
      </c>
      <c r="R3" s="69">
        <v>108.57</v>
      </c>
      <c r="S3" s="198" t="s">
        <v>16</v>
      </c>
      <c r="T3" s="198"/>
      <c r="U3" s="198"/>
      <c r="V3" s="198" t="s">
        <v>17</v>
      </c>
      <c r="W3" s="198"/>
      <c r="X3" s="198"/>
      <c r="Y3" s="198" t="s">
        <v>18</v>
      </c>
      <c r="Z3" s="198"/>
      <c r="AA3" s="198"/>
      <c r="AB3" s="198" t="s">
        <v>19</v>
      </c>
      <c r="AC3" s="198" t="s">
        <v>20</v>
      </c>
      <c r="AD3" s="198" t="s">
        <v>14</v>
      </c>
      <c r="AE3" s="198" t="s">
        <v>19</v>
      </c>
      <c r="AF3" s="198" t="s">
        <v>20</v>
      </c>
      <c r="AG3" s="198" t="s">
        <v>14</v>
      </c>
      <c r="AH3" s="198" t="s">
        <v>19</v>
      </c>
      <c r="AI3" s="198" t="s">
        <v>20</v>
      </c>
      <c r="AJ3" s="198" t="s">
        <v>14</v>
      </c>
      <c r="AK3" s="198" t="s">
        <v>19</v>
      </c>
      <c r="AL3" s="198" t="s">
        <v>20</v>
      </c>
      <c r="AM3" s="198" t="s">
        <v>14</v>
      </c>
      <c r="AN3" s="202"/>
      <c r="AO3" s="202"/>
      <c r="AP3" s="202"/>
      <c r="AQ3" s="200" t="s">
        <v>19</v>
      </c>
      <c r="AR3" s="200" t="s">
        <v>20</v>
      </c>
      <c r="AS3" s="200" t="s">
        <v>14</v>
      </c>
      <c r="AT3" s="200" t="s">
        <v>19</v>
      </c>
      <c r="AU3" s="200" t="s">
        <v>20</v>
      </c>
      <c r="AV3" s="200" t="s">
        <v>14</v>
      </c>
      <c r="AW3" s="200" t="s">
        <v>19</v>
      </c>
      <c r="AX3" s="200" t="s">
        <v>20</v>
      </c>
      <c r="AY3" s="200" t="s">
        <v>14</v>
      </c>
      <c r="AZ3" s="199"/>
      <c r="BA3" s="199"/>
      <c r="BB3" s="199"/>
      <c r="BC3" s="82"/>
      <c r="BD3" s="82"/>
      <c r="BE3" s="82"/>
      <c r="BF3" s="82"/>
      <c r="BG3" s="82"/>
      <c r="BH3" s="82"/>
      <c r="BI3" s="82"/>
      <c r="BJ3" s="82"/>
      <c r="BK3" s="82"/>
    </row>
    <row r="4" spans="1:63" x14ac:dyDescent="0.25">
      <c r="B4" s="5"/>
      <c r="C4" s="6"/>
      <c r="D4" s="6"/>
      <c r="E4" s="5"/>
      <c r="Q4" s="7"/>
      <c r="R4" s="7"/>
      <c r="S4" s="93" t="s">
        <v>19</v>
      </c>
      <c r="T4" s="93" t="s">
        <v>20</v>
      </c>
      <c r="U4" s="92"/>
      <c r="V4" s="93" t="s">
        <v>19</v>
      </c>
      <c r="W4" s="93" t="s">
        <v>20</v>
      </c>
      <c r="X4" s="198" t="s">
        <v>14</v>
      </c>
      <c r="Y4" s="93" t="s">
        <v>19</v>
      </c>
      <c r="Z4" s="93" t="s">
        <v>20</v>
      </c>
      <c r="AA4" s="198" t="s">
        <v>14</v>
      </c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202"/>
      <c r="AO4" s="202"/>
      <c r="AP4" s="202"/>
      <c r="AQ4" s="200"/>
      <c r="AR4" s="200"/>
      <c r="AS4" s="200"/>
      <c r="AT4" s="200"/>
      <c r="AU4" s="200"/>
      <c r="AV4" s="200"/>
      <c r="AW4" s="200"/>
      <c r="AX4" s="200"/>
      <c r="AY4" s="200"/>
      <c r="AZ4" s="199"/>
      <c r="BA4" s="199"/>
      <c r="BB4" s="199"/>
      <c r="BC4" s="82"/>
      <c r="BD4" s="82"/>
      <c r="BE4" s="82"/>
      <c r="BF4" s="82"/>
      <c r="BG4" s="82"/>
      <c r="BH4" s="82"/>
      <c r="BI4" s="82"/>
      <c r="BJ4" s="82"/>
      <c r="BK4" s="82"/>
    </row>
    <row r="5" spans="1:63" ht="33.75" customHeight="1" x14ac:dyDescent="0.25">
      <c r="B5" s="5"/>
      <c r="C5" s="6"/>
      <c r="D5" s="6"/>
      <c r="E5" s="5"/>
      <c r="M5" s="3">
        <f ca="1">Nomina!I7*Impuestos!Q7</f>
        <v>292.5490410958904</v>
      </c>
      <c r="Q5" s="8"/>
      <c r="R5" s="8"/>
      <c r="S5" s="94" t="s">
        <v>74</v>
      </c>
      <c r="T5" s="94" t="s">
        <v>21</v>
      </c>
      <c r="U5" s="92"/>
      <c r="V5" s="94" t="s">
        <v>77</v>
      </c>
      <c r="W5" s="94" t="s">
        <v>76</v>
      </c>
      <c r="X5" s="198"/>
      <c r="Y5" s="94" t="s">
        <v>22</v>
      </c>
      <c r="Z5" s="94" t="s">
        <v>23</v>
      </c>
      <c r="AA5" s="198"/>
      <c r="AB5" s="94" t="s">
        <v>69</v>
      </c>
      <c r="AC5" s="94" t="s">
        <v>70</v>
      </c>
      <c r="AD5" s="198"/>
      <c r="AE5" s="94" t="s">
        <v>24</v>
      </c>
      <c r="AF5" s="94" t="s">
        <v>25</v>
      </c>
      <c r="AG5" s="198"/>
      <c r="AH5" s="94" t="s">
        <v>26</v>
      </c>
      <c r="AI5" s="94" t="s">
        <v>27</v>
      </c>
      <c r="AJ5" s="198"/>
      <c r="AK5" s="94" t="s">
        <v>28</v>
      </c>
      <c r="AL5" s="94" t="s">
        <v>27</v>
      </c>
      <c r="AM5" s="198"/>
      <c r="AN5" s="202"/>
      <c r="AO5" s="202"/>
      <c r="AP5" s="202"/>
      <c r="AQ5" s="95" t="s">
        <v>29</v>
      </c>
      <c r="AR5" s="95" t="s">
        <v>27</v>
      </c>
      <c r="AS5" s="200"/>
      <c r="AT5" s="95" t="s">
        <v>30</v>
      </c>
      <c r="AU5" s="95" t="s">
        <v>31</v>
      </c>
      <c r="AV5" s="200"/>
      <c r="AW5" s="200"/>
      <c r="AX5" s="200"/>
      <c r="AY5" s="200"/>
      <c r="AZ5" s="199"/>
      <c r="BA5" s="199"/>
      <c r="BB5" s="199"/>
      <c r="BC5" s="82"/>
      <c r="BD5" s="82"/>
      <c r="BE5" s="82"/>
      <c r="BF5" s="82"/>
      <c r="BG5" s="82"/>
      <c r="BH5" s="82"/>
      <c r="BI5" s="82"/>
      <c r="BJ5" s="82"/>
      <c r="BK5" s="82"/>
    </row>
    <row r="6" spans="1:63" ht="33.75" x14ac:dyDescent="0.25">
      <c r="B6" s="94" t="s">
        <v>32</v>
      </c>
      <c r="C6" s="94" t="s">
        <v>88</v>
      </c>
      <c r="D6" s="94" t="s">
        <v>89</v>
      </c>
      <c r="E6" s="94"/>
      <c r="F6" s="96" t="s">
        <v>34</v>
      </c>
      <c r="G6" s="96" t="s">
        <v>35</v>
      </c>
      <c r="H6" s="96" t="s">
        <v>75</v>
      </c>
      <c r="I6" s="94" t="s">
        <v>36</v>
      </c>
      <c r="J6" s="96" t="s">
        <v>37</v>
      </c>
      <c r="K6" s="96" t="s">
        <v>38</v>
      </c>
      <c r="L6" s="96" t="s">
        <v>39</v>
      </c>
      <c r="M6" s="96" t="s">
        <v>40</v>
      </c>
      <c r="N6" s="97" t="s">
        <v>71</v>
      </c>
      <c r="O6" s="97" t="s">
        <v>98</v>
      </c>
      <c r="P6" s="82"/>
      <c r="Q6" s="94" t="s">
        <v>41</v>
      </c>
      <c r="R6" s="94" t="s">
        <v>42</v>
      </c>
      <c r="S6" s="98">
        <v>0.20399999999999999</v>
      </c>
      <c r="T6" s="93" t="s">
        <v>21</v>
      </c>
      <c r="U6" s="92" t="s">
        <v>14</v>
      </c>
      <c r="V6" s="98">
        <v>1.0999999999999999E-2</v>
      </c>
      <c r="W6" s="98">
        <v>4.0000000000000001E-3</v>
      </c>
      <c r="X6" s="198"/>
      <c r="Y6" s="98">
        <v>7.0000000000000001E-3</v>
      </c>
      <c r="Z6" s="98">
        <v>2.5000000000000001E-3</v>
      </c>
      <c r="AA6" s="198"/>
      <c r="AB6" s="99">
        <v>1.0500000000000001E-2</v>
      </c>
      <c r="AC6" s="99">
        <v>3.7499999999999999E-3</v>
      </c>
      <c r="AD6" s="198"/>
      <c r="AE6" s="99">
        <v>1.7500000000000002E-2</v>
      </c>
      <c r="AF6" s="99">
        <v>6.2500000000000003E-3</v>
      </c>
      <c r="AG6" s="198"/>
      <c r="AH6" s="100">
        <f>Nomina!AM6</f>
        <v>1.5984000000000002E-2</v>
      </c>
      <c r="AI6" s="99" t="s">
        <v>27</v>
      </c>
      <c r="AJ6" s="198"/>
      <c r="AK6" s="101">
        <v>0.01</v>
      </c>
      <c r="AL6" s="99" t="s">
        <v>27</v>
      </c>
      <c r="AM6" s="198"/>
      <c r="AN6" s="202"/>
      <c r="AO6" s="202"/>
      <c r="AP6" s="202"/>
      <c r="AQ6" s="102">
        <v>0.02</v>
      </c>
      <c r="AR6" s="103" t="s">
        <v>27</v>
      </c>
      <c r="AS6" s="200"/>
      <c r="AT6" s="103">
        <v>3.15E-2</v>
      </c>
      <c r="AU6" s="103">
        <v>1.125E-2</v>
      </c>
      <c r="AV6" s="200"/>
      <c r="AW6" s="104">
        <v>0.05</v>
      </c>
      <c r="AX6" s="95" t="s">
        <v>27</v>
      </c>
      <c r="AY6" s="200"/>
      <c r="AZ6" s="199"/>
      <c r="BA6" s="199"/>
      <c r="BB6" s="199"/>
      <c r="BC6" s="82"/>
      <c r="BD6" s="105" t="s">
        <v>92</v>
      </c>
      <c r="BE6" s="105" t="s">
        <v>93</v>
      </c>
      <c r="BF6" s="82"/>
      <c r="BG6" s="105" t="s">
        <v>94</v>
      </c>
      <c r="BH6" s="105" t="s">
        <v>95</v>
      </c>
      <c r="BI6" s="82"/>
      <c r="BJ6" s="105" t="s">
        <v>96</v>
      </c>
      <c r="BK6" s="105" t="s">
        <v>97</v>
      </c>
    </row>
    <row r="7" spans="1:63" x14ac:dyDescent="0.25">
      <c r="A7" s="82">
        <f>+Nomina!B7</f>
        <v>1</v>
      </c>
      <c r="B7" s="83" t="str">
        <f>Nomina!C7&amp;" "&amp;Nomina!D7</f>
        <v>Luis Manuel  Paterno y Materno</v>
      </c>
      <c r="C7" s="84">
        <v>15</v>
      </c>
      <c r="D7" s="84">
        <v>61</v>
      </c>
      <c r="E7" s="83"/>
      <c r="F7" s="85">
        <f>Nomina!P7*(30.4/30)</f>
        <v>4237.7599999999993</v>
      </c>
      <c r="G7" s="85">
        <f>IF(F7=0,0,LOOKUP(F7,Tablas!$A$4:'Tablas'!$D$14,Tablas!$A$4:'Tablas'!$A$14))</f>
        <v>3124.36</v>
      </c>
      <c r="H7" s="85">
        <f t="shared" ref="H7" si="0">F7-G7</f>
        <v>1113.3999999999992</v>
      </c>
      <c r="I7" s="86">
        <f>IF(F7=0,0,LOOKUP(F7,Tablas!$A$4:'Tablas'!$D$14,Tablas!$D$4:'Tablas'!$D$14))</f>
        <v>0.10879999999999999</v>
      </c>
      <c r="J7" s="85">
        <f t="shared" ref="J7" si="1">H7*I7</f>
        <v>121.13791999999991</v>
      </c>
      <c r="K7" s="85">
        <f>IF(F7=0,0,LOOKUP(F7,Tablas!$A$4:'Tablas'!$D$14,Tablas!$C$4:'Tablas'!$C$14))</f>
        <v>183.45</v>
      </c>
      <c r="L7" s="85">
        <f>J7+K7</f>
        <v>304.58791999999988</v>
      </c>
      <c r="M7" s="85">
        <f>IF(F7=0,0,LOOKUP(F7,Tablas!$A$20:'Tablas'!$C$30,Tablas!$C$20:'Tablas'!$C$30))</f>
        <v>237.47</v>
      </c>
      <c r="N7" s="85">
        <f>IF(L7&gt;M7,L7-M7,0)</f>
        <v>67.117919999999884</v>
      </c>
      <c r="O7" s="85">
        <f>IF(F7&lt;Tablas!$B$20,M7,0)</f>
        <v>237.47</v>
      </c>
      <c r="P7" s="87"/>
      <c r="Q7" s="88">
        <f ca="1">IF(Nomina!F7="",0,(VLOOKUP((ROUNDUP(((TODAY()-Nomina!F7)/365),0)),Tablas!$F$4:$I$23,4)))</f>
        <v>1.0493150684931507</v>
      </c>
      <c r="R7" s="89">
        <f ca="1">IF(Nomina!I7*Q7&gt;($R$3*25),$R$3*25,Nomina!I7*Q7)</f>
        <v>292.5490410958904</v>
      </c>
      <c r="S7" s="90">
        <f>($S$6*$R$3)*C7</f>
        <v>332.22419999999994</v>
      </c>
      <c r="T7" s="90">
        <v>0</v>
      </c>
      <c r="U7" s="83">
        <f t="shared" ref="U7" si="2">S7+T7</f>
        <v>332.22419999999994</v>
      </c>
      <c r="V7" s="90">
        <f t="shared" ref="V7:V51" ca="1" si="3">(IF(R7&gt;($R$3*3),(R7-($R$3*3))*$V$6,0))*C7</f>
        <v>0</v>
      </c>
      <c r="W7" s="90">
        <f t="shared" ref="W7:W51" ca="1" si="4">(IF(R7&gt;($R$3*3),(R7-($R$3*3))*$W$6,0))*C7</f>
        <v>0</v>
      </c>
      <c r="X7" s="83">
        <f t="shared" ref="X7" ca="1" si="5">SUM(V7:W7)</f>
        <v>0</v>
      </c>
      <c r="Y7" s="90">
        <f t="shared" ref="Y7" ca="1" si="6">(R7*C7)*$Y$6</f>
        <v>30.717649315068495</v>
      </c>
      <c r="Z7" s="90">
        <f t="shared" ref="Z7" ca="1" si="7">(R7*C7)*$Z$6</f>
        <v>10.970589041095892</v>
      </c>
      <c r="AA7" s="83">
        <f t="shared" ref="AA7" ca="1" si="8">SUM(Y7:Z7)</f>
        <v>41.688238356164391</v>
      </c>
      <c r="AB7" s="83">
        <f t="shared" ref="AB7" ca="1" si="9">($AB$6*R7)*C7</f>
        <v>46.076473972602741</v>
      </c>
      <c r="AC7" s="83">
        <f t="shared" ref="AC7" ca="1" si="10">($AC$6*R7)*C7</f>
        <v>16.455883561643837</v>
      </c>
      <c r="AD7" s="83">
        <f t="shared" ref="AD7" ca="1" si="11">SUM(AB7:AC7)</f>
        <v>62.532357534246579</v>
      </c>
      <c r="AE7" s="90">
        <f t="shared" ref="AE7" ca="1" si="12">(R7*$AE$6)*C7</f>
        <v>76.794123287671241</v>
      </c>
      <c r="AF7" s="90">
        <f t="shared" ref="AF7" ca="1" si="13">($AF$6*R7)*C7</f>
        <v>27.426472602739725</v>
      </c>
      <c r="AG7" s="83">
        <f t="shared" ref="AG7" ca="1" si="14">SUM(AE7:AF7)</f>
        <v>104.22059589041096</v>
      </c>
      <c r="AH7" s="90">
        <f t="shared" ref="AH7" ca="1" si="15">(R7*$AH$6)*C7</f>
        <v>70.141558093150692</v>
      </c>
      <c r="AI7" s="90">
        <v>0</v>
      </c>
      <c r="AJ7" s="83">
        <f t="shared" ref="AJ7" ca="1" si="16">SUM(AH7:AI7)</f>
        <v>70.141558093150692</v>
      </c>
      <c r="AK7" s="90">
        <f t="shared" ref="AK7" ca="1" si="17">(R7*$AK$6)*C7</f>
        <v>43.882356164383566</v>
      </c>
      <c r="AL7" s="90">
        <v>0</v>
      </c>
      <c r="AM7" s="83">
        <f t="shared" ref="AM7" ca="1" si="18">SUM(AK7:AL7)</f>
        <v>43.882356164383566</v>
      </c>
      <c r="AN7" s="83">
        <f t="shared" ref="AN7" ca="1" si="19">S7+V7+Y7+AE7+AH7+AK7+AB7</f>
        <v>599.83636083287684</v>
      </c>
      <c r="AO7" s="83">
        <f t="shared" ref="AO7" ca="1" si="20">T7+W7+Z7+AF7+AI7+AL7+AC7</f>
        <v>54.85294520547945</v>
      </c>
      <c r="AP7" s="83">
        <f t="shared" ref="AP7" ca="1" si="21">SUM(AN7:AO7)</f>
        <v>654.68930603835634</v>
      </c>
      <c r="AQ7" s="90">
        <f ca="1">(R7*$AQ$6)*D7</f>
        <v>356.90983013698633</v>
      </c>
      <c r="AR7" s="90">
        <v>0</v>
      </c>
      <c r="AS7" s="83">
        <f t="shared" ref="AS7" ca="1" si="22">SUM(AQ7:AR7)</f>
        <v>356.90983013698633</v>
      </c>
      <c r="AT7" s="90">
        <f t="shared" ref="AT7" ca="1" si="23">(R7*$AT$6)*D7</f>
        <v>562.13298246575334</v>
      </c>
      <c r="AU7" s="90">
        <f t="shared" ref="AU7" ca="1" si="24">(R7*$AU$6)*D7</f>
        <v>200.76177945205478</v>
      </c>
      <c r="AV7" s="83">
        <f t="shared" ref="AV7" ca="1" si="25">SUM(AT7:AU7)</f>
        <v>762.89476191780818</v>
      </c>
      <c r="AW7" s="90">
        <f t="shared" ref="AW7" ca="1" si="26">(R7*$AW$6)*D7</f>
        <v>892.27457534246582</v>
      </c>
      <c r="AX7" s="90">
        <v>0</v>
      </c>
      <c r="AY7" s="90">
        <f t="shared" ref="AY7" ca="1" si="27">SUM(AW7:AX7)</f>
        <v>892.27457534246582</v>
      </c>
      <c r="AZ7" s="83">
        <f t="shared" ref="AZ7" ca="1" si="28">AQ7+AT7+AW7</f>
        <v>1811.3173879452056</v>
      </c>
      <c r="BA7" s="83">
        <f t="shared" ref="BA7" ca="1" si="29">AR7+AU7+AX7</f>
        <v>200.76177945205478</v>
      </c>
      <c r="BB7" s="83">
        <f t="shared" ref="BB7" ca="1" si="30">SUM(AZ7:BA7)</f>
        <v>2012.0791673972603</v>
      </c>
      <c r="BC7" s="82"/>
      <c r="BD7" s="83">
        <f t="shared" ref="BD7" ca="1" si="31">AO7/C7</f>
        <v>3.6568630136986302</v>
      </c>
      <c r="BE7" s="83">
        <f t="shared" ref="BE7" ca="1" si="32">AN7/C7</f>
        <v>39.98909072219179</v>
      </c>
      <c r="BF7" s="82"/>
      <c r="BG7" s="83">
        <f ca="1">BA7/D7</f>
        <v>3.2911767123287667</v>
      </c>
      <c r="BH7" s="91">
        <f ca="1">AZ7/D7</f>
        <v>29.693727671232878</v>
      </c>
      <c r="BI7" s="82"/>
      <c r="BJ7" s="83">
        <f ca="1">IF(Nomina!I7=$R$3,0,IF(F7=0,0,BD7+BG7))</f>
        <v>6.9480397260273969</v>
      </c>
      <c r="BK7" s="83">
        <f ca="1">(IF(F7=0,0,BE7+BH7))+(IF(BJ7=0,BD7+BG7,0))</f>
        <v>69.682818393424668</v>
      </c>
    </row>
    <row r="8" spans="1:63" x14ac:dyDescent="0.25">
      <c r="A8" s="82">
        <f>+Nomina!B8</f>
        <v>2</v>
      </c>
      <c r="B8" s="83" t="str">
        <f>Nomina!C8&amp;" "&amp;Nomina!D8</f>
        <v>Jorge  Paterno y Materno</v>
      </c>
      <c r="C8" s="84">
        <v>15</v>
      </c>
      <c r="D8" s="84">
        <v>61</v>
      </c>
      <c r="E8" s="83"/>
      <c r="F8" s="85">
        <f>Nomina!P8*(30.4/30)</f>
        <v>4706.9333333333325</v>
      </c>
      <c r="G8" s="85">
        <f>IF(F8=0,0,LOOKUP(F8,Tablas!$A$4:'Tablas'!$D$14,Tablas!$A$4:'Tablas'!$A$14))</f>
        <v>3124.36</v>
      </c>
      <c r="H8" s="85">
        <f t="shared" ref="H8:H51" si="33">F8-G8</f>
        <v>1582.5733333333324</v>
      </c>
      <c r="I8" s="86">
        <f>IF(F8=0,0,LOOKUP(F8,Tablas!$A$4:'Tablas'!$D$14,Tablas!$D$4:'Tablas'!$D$14))</f>
        <v>0.10879999999999999</v>
      </c>
      <c r="J8" s="85">
        <f t="shared" ref="J8:J51" si="34">H8*I8</f>
        <v>172.18397866666655</v>
      </c>
      <c r="K8" s="85">
        <f>IF(F8=0,0,LOOKUP(F8,Tablas!$A$4:'Tablas'!$D$14,Tablas!$C$4:'Tablas'!$C$14))</f>
        <v>183.45</v>
      </c>
      <c r="L8" s="85">
        <f t="shared" ref="L8:L51" si="35">J8+K8</f>
        <v>355.63397866666651</v>
      </c>
      <c r="M8" s="85">
        <f>IF(F8=0,0,LOOKUP(F8,Tablas!$A$20:'Tablas'!$C$30,Tablas!$C$20:'Tablas'!$C$30))</f>
        <v>237.47</v>
      </c>
      <c r="N8" s="85">
        <f>IF(L8&gt;M8,L8-M8,0)</f>
        <v>118.16397866666651</v>
      </c>
      <c r="O8" s="85">
        <f>IF(F8&lt;Tablas!$B$20,M8,0)</f>
        <v>237.47</v>
      </c>
      <c r="P8" s="90"/>
      <c r="Q8" s="88">
        <f ca="1">IF(Nomina!F8="",0,(VLOOKUP((ROUNDUP(((TODAY()-Nomina!F8)/365),0)),Tablas!$F$4:$I$23,4)))</f>
        <v>1.0493150684931507</v>
      </c>
      <c r="R8" s="89">
        <f ca="1">IF(Nomina!I8*Q8&gt;($R$3*25),$R$3*25,Nomina!I8*Q8)</f>
        <v>314.79452054794524</v>
      </c>
      <c r="S8" s="90">
        <f>($S$6*$R$3)*C8</f>
        <v>332.22419999999994</v>
      </c>
      <c r="T8" s="90">
        <v>0</v>
      </c>
      <c r="U8" s="83">
        <f t="shared" ref="U8:U51" si="36">S8+T8</f>
        <v>332.22419999999994</v>
      </c>
      <c r="V8" s="90">
        <f t="shared" ca="1" si="3"/>
        <v>0</v>
      </c>
      <c r="W8" s="90">
        <f t="shared" ca="1" si="4"/>
        <v>0</v>
      </c>
      <c r="X8" s="83">
        <f t="shared" ref="X8:X51" ca="1" si="37">SUM(V8:W8)</f>
        <v>0</v>
      </c>
      <c r="Y8" s="90">
        <f t="shared" ref="Y8:Y51" ca="1" si="38">(R8*C8)*$Y$6</f>
        <v>33.053424657534251</v>
      </c>
      <c r="Z8" s="90">
        <f t="shared" ref="Z8:Z51" ca="1" si="39">(R8*C8)*$Z$6</f>
        <v>11.804794520547945</v>
      </c>
      <c r="AA8" s="83">
        <f t="shared" ref="AA8:AA51" ca="1" si="40">SUM(Y8:Z8)</f>
        <v>44.858219178082194</v>
      </c>
      <c r="AB8" s="83">
        <f t="shared" ref="AB8:AB51" ca="1" si="41">($AB$6*R8)*C8</f>
        <v>49.580136986301376</v>
      </c>
      <c r="AC8" s="83">
        <f t="shared" ref="AC8:AC51" ca="1" si="42">($AC$6*R8)*C8</f>
        <v>17.707191780821919</v>
      </c>
      <c r="AD8" s="83">
        <f t="shared" ref="AD8:AD51" ca="1" si="43">SUM(AB8:AC8)</f>
        <v>67.287328767123299</v>
      </c>
      <c r="AE8" s="90">
        <f t="shared" ref="AE8:AE51" ca="1" si="44">(R8*$AE$6)*C8</f>
        <v>82.633561643835634</v>
      </c>
      <c r="AF8" s="90">
        <f t="shared" ref="AF8:AF51" ca="1" si="45">($AF$6*R8)*C8</f>
        <v>29.511986301369866</v>
      </c>
      <c r="AG8" s="83">
        <f t="shared" ref="AG8:AG51" ca="1" si="46">SUM(AE8:AF8)</f>
        <v>112.14554794520549</v>
      </c>
      <c r="AH8" s="90">
        <f t="shared" ref="AH8:AH51" ca="1" si="47">(R8*$AH$6)*C8</f>
        <v>75.475134246575351</v>
      </c>
      <c r="AI8" s="90">
        <v>0</v>
      </c>
      <c r="AJ8" s="83">
        <f t="shared" ref="AJ8:AJ51" ca="1" si="48">SUM(AH8:AI8)</f>
        <v>75.475134246575351</v>
      </c>
      <c r="AK8" s="90">
        <f t="shared" ref="AK8:AK51" ca="1" si="49">(R8*$AK$6)*C8</f>
        <v>47.219178082191789</v>
      </c>
      <c r="AL8" s="90">
        <v>0</v>
      </c>
      <c r="AM8" s="83">
        <f t="shared" ref="AM8:AM51" ca="1" si="50">SUM(AK8:AL8)</f>
        <v>47.219178082191789</v>
      </c>
      <c r="AN8" s="83">
        <f t="shared" ref="AN8:AN51" ca="1" si="51">S8+V8+Y8+AE8+AH8+AK8+AB8</f>
        <v>620.18563561643828</v>
      </c>
      <c r="AO8" s="83">
        <f t="shared" ref="AO8:AO51" ca="1" si="52">T8+W8+Z8+AF8+AI8+AL8+AC8</f>
        <v>59.023972602739732</v>
      </c>
      <c r="AP8" s="83">
        <f t="shared" ref="AP8:AP51" ca="1" si="53">SUM(AN8:AO8)</f>
        <v>679.20960821917799</v>
      </c>
      <c r="AQ8" s="90">
        <f t="shared" ref="AQ8:AQ51" ca="1" si="54">(R8*$AQ$6)*D8</f>
        <v>384.04931506849323</v>
      </c>
      <c r="AR8" s="90">
        <v>0</v>
      </c>
      <c r="AS8" s="83">
        <f t="shared" ref="AS8:AS51" ca="1" si="55">SUM(AQ8:AR8)</f>
        <v>384.04931506849323</v>
      </c>
      <c r="AT8" s="90">
        <f t="shared" ref="AT8:AT51" ca="1" si="56">(R8*$AT$6)*D8</f>
        <v>604.87767123287688</v>
      </c>
      <c r="AU8" s="90">
        <f t="shared" ref="AU8:AU51" ca="1" si="57">(R8*$AU$6)*D8</f>
        <v>216.02773972602739</v>
      </c>
      <c r="AV8" s="83">
        <f t="shared" ref="AV8:AV51" ca="1" si="58">SUM(AT8:AU8)</f>
        <v>820.90541095890421</v>
      </c>
      <c r="AW8" s="90">
        <f t="shared" ref="AW8:AW51" ca="1" si="59">(R8*$AW$6)*D8</f>
        <v>960.12328767123302</v>
      </c>
      <c r="AX8" s="90">
        <v>0</v>
      </c>
      <c r="AY8" s="90">
        <f t="shared" ref="AY8:AY51" ca="1" si="60">SUM(AW8:AX8)</f>
        <v>960.12328767123302</v>
      </c>
      <c r="AZ8" s="83">
        <f t="shared" ref="AZ8:AZ51" ca="1" si="61">AQ8+AT8+AW8</f>
        <v>1949.050273972603</v>
      </c>
      <c r="BA8" s="83">
        <f t="shared" ref="BA8:BA51" ca="1" si="62">AR8+AU8+AX8</f>
        <v>216.02773972602739</v>
      </c>
      <c r="BB8" s="83">
        <f t="shared" ref="BB8:BB51" ca="1" si="63">SUM(AZ8:BA8)</f>
        <v>2165.0780136986305</v>
      </c>
      <c r="BC8" s="82"/>
      <c r="BD8" s="83">
        <f t="shared" ref="BD8:BD51" ca="1" si="64">AO8/C8</f>
        <v>3.9349315068493156</v>
      </c>
      <c r="BE8" s="83">
        <f ca="1">AN8/C8</f>
        <v>41.345709041095887</v>
      </c>
      <c r="BF8" s="82"/>
      <c r="BG8" s="83">
        <f t="shared" ref="BG8:BG51" ca="1" si="65">BA8/D8</f>
        <v>3.5414383561643836</v>
      </c>
      <c r="BH8" s="91">
        <f t="shared" ref="BH8:BH51" ca="1" si="66">AZ8/D8</f>
        <v>31.951643835616444</v>
      </c>
      <c r="BI8" s="82"/>
      <c r="BJ8" s="83">
        <f ca="1">IF(Nomina!I8=$R$3,0,IF(F8=0,0,BD8+BG8))</f>
        <v>7.4763698630136997</v>
      </c>
      <c r="BK8" s="83">
        <f t="shared" ref="BK8:BK51" ca="1" si="67">(IF(F8=0,0,BE8+BH8))+(IF(BJ8=0,BD8+BG8,0))</f>
        <v>73.297352876712324</v>
      </c>
    </row>
    <row r="9" spans="1:63" x14ac:dyDescent="0.25">
      <c r="A9" s="82">
        <f>+Nomina!B9</f>
        <v>3</v>
      </c>
      <c r="B9" s="83" t="str">
        <f>Nomina!C9&amp;" "&amp;Nomina!D9</f>
        <v>Guadalupe  Paterno y Materno</v>
      </c>
      <c r="C9" s="84">
        <v>15</v>
      </c>
      <c r="D9" s="84">
        <v>61</v>
      </c>
      <c r="E9" s="83"/>
      <c r="F9" s="85">
        <f>Nomina!P9*(30.4/30)</f>
        <v>4965.333333333333</v>
      </c>
      <c r="G9" s="85">
        <f>IF(F9=0,0,LOOKUP(F9,Tablas!$A$4:'Tablas'!$D$14,Tablas!$A$4:'Tablas'!$A$14))</f>
        <v>3124.36</v>
      </c>
      <c r="H9" s="85">
        <f t="shared" si="33"/>
        <v>1840.9733333333329</v>
      </c>
      <c r="I9" s="86">
        <f>IF(F9=0,0,LOOKUP(F9,Tablas!$A$4:'Tablas'!$D$14,Tablas!$D$4:'Tablas'!$D$14))</f>
        <v>0.10879999999999999</v>
      </c>
      <c r="J9" s="85">
        <f t="shared" si="34"/>
        <v>200.29789866666661</v>
      </c>
      <c r="K9" s="85">
        <f>IF(F9=0,0,LOOKUP(F9,Tablas!$A$4:'Tablas'!$D$14,Tablas!$C$4:'Tablas'!$C$14))</f>
        <v>183.45</v>
      </c>
      <c r="L9" s="85">
        <f t="shared" si="35"/>
        <v>383.74789866666663</v>
      </c>
      <c r="M9" s="85">
        <f>IF(F9=0,0,LOOKUP(F9,Tablas!$A$20:'Tablas'!$C$30,Tablas!$C$20:'Tablas'!$C$30))</f>
        <v>237.47</v>
      </c>
      <c r="N9" s="85">
        <f t="shared" ref="N9:N51" si="68">IF(L9&gt;M9,L9-M9,0)</f>
        <v>146.27789866666663</v>
      </c>
      <c r="O9" s="85">
        <f>IF(F9&lt;Tablas!$B$20,M9,0)</f>
        <v>237.47</v>
      </c>
      <c r="P9" s="90"/>
      <c r="Q9" s="88">
        <f ca="1">IF(Nomina!F9="",0,(VLOOKUP((ROUNDUP(((TODAY()-Nomina!F9)/365),0)),Tablas!$F$4:$I$23,4)))</f>
        <v>1.0493150684931507</v>
      </c>
      <c r="R9" s="89">
        <f ca="1">IF(Nomina!I9*Q9&gt;($R$3*25),$R$3*25,Nomina!I9*Q9)</f>
        <v>367.26027397260276</v>
      </c>
      <c r="S9" s="90">
        <f>($S$6*$R$3)*C9</f>
        <v>332.22419999999994</v>
      </c>
      <c r="T9" s="90">
        <v>0</v>
      </c>
      <c r="U9" s="83">
        <f t="shared" si="36"/>
        <v>332.22419999999994</v>
      </c>
      <c r="V9" s="90">
        <f t="shared" ca="1" si="3"/>
        <v>6.855795205479458</v>
      </c>
      <c r="W9" s="90">
        <f t="shared" ca="1" si="4"/>
        <v>2.4930164383561668</v>
      </c>
      <c r="X9" s="83">
        <f t="shared" ca="1" si="37"/>
        <v>9.3488116438356244</v>
      </c>
      <c r="Y9" s="90">
        <f t="shared" ca="1" si="38"/>
        <v>38.56232876712329</v>
      </c>
      <c r="Z9" s="90">
        <f t="shared" ca="1" si="39"/>
        <v>13.772260273972604</v>
      </c>
      <c r="AA9" s="83">
        <f t="shared" ca="1" si="40"/>
        <v>52.334589041095896</v>
      </c>
      <c r="AB9" s="83">
        <f t="shared" ca="1" si="41"/>
        <v>57.843493150684942</v>
      </c>
      <c r="AC9" s="83">
        <f t="shared" ca="1" si="42"/>
        <v>20.658390410958905</v>
      </c>
      <c r="AD9" s="83">
        <f t="shared" ca="1" si="43"/>
        <v>78.501883561643851</v>
      </c>
      <c r="AE9" s="90">
        <f t="shared" ca="1" si="44"/>
        <v>96.40582191780824</v>
      </c>
      <c r="AF9" s="90">
        <f t="shared" ca="1" si="45"/>
        <v>34.430650684931507</v>
      </c>
      <c r="AG9" s="83">
        <f t="shared" ca="1" si="46"/>
        <v>130.83647260273975</v>
      </c>
      <c r="AH9" s="90">
        <f t="shared" ca="1" si="47"/>
        <v>88.054323287671252</v>
      </c>
      <c r="AI9" s="90">
        <v>0</v>
      </c>
      <c r="AJ9" s="83">
        <f t="shared" ca="1" si="48"/>
        <v>88.054323287671252</v>
      </c>
      <c r="AK9" s="90">
        <f t="shared" ca="1" si="49"/>
        <v>55.089041095890408</v>
      </c>
      <c r="AL9" s="90">
        <v>0</v>
      </c>
      <c r="AM9" s="83">
        <f t="shared" ca="1" si="50"/>
        <v>55.089041095890408</v>
      </c>
      <c r="AN9" s="83">
        <f t="shared" ca="1" si="51"/>
        <v>675.03500342465748</v>
      </c>
      <c r="AO9" s="83">
        <f t="shared" ca="1" si="52"/>
        <v>71.354317808219179</v>
      </c>
      <c r="AP9" s="83">
        <f t="shared" ca="1" si="53"/>
        <v>746.38932123287668</v>
      </c>
      <c r="AQ9" s="90">
        <f t="shared" ca="1" si="54"/>
        <v>448.05753424657536</v>
      </c>
      <c r="AR9" s="90">
        <v>0</v>
      </c>
      <c r="AS9" s="83">
        <f t="shared" ca="1" si="55"/>
        <v>448.05753424657536</v>
      </c>
      <c r="AT9" s="90">
        <f t="shared" ca="1" si="56"/>
        <v>705.69061643835619</v>
      </c>
      <c r="AU9" s="90">
        <f t="shared" ca="1" si="57"/>
        <v>252.03236301369867</v>
      </c>
      <c r="AV9" s="83">
        <f t="shared" ca="1" si="58"/>
        <v>957.72297945205491</v>
      </c>
      <c r="AW9" s="90">
        <f t="shared" ca="1" si="59"/>
        <v>1120.1438356164383</v>
      </c>
      <c r="AX9" s="90">
        <v>0</v>
      </c>
      <c r="AY9" s="90">
        <f t="shared" ca="1" si="60"/>
        <v>1120.1438356164383</v>
      </c>
      <c r="AZ9" s="83">
        <f t="shared" ca="1" si="61"/>
        <v>2273.8919863013698</v>
      </c>
      <c r="BA9" s="83">
        <f t="shared" ca="1" si="62"/>
        <v>252.03236301369867</v>
      </c>
      <c r="BB9" s="83">
        <f t="shared" ca="1" si="63"/>
        <v>2525.9243493150684</v>
      </c>
      <c r="BC9" s="82"/>
      <c r="BD9" s="83">
        <f t="shared" ca="1" si="64"/>
        <v>4.7569545205479455</v>
      </c>
      <c r="BE9" s="83">
        <f t="shared" ref="BE9:BE51" ca="1" si="69">AN9/C9</f>
        <v>45.00233356164383</v>
      </c>
      <c r="BF9" s="82"/>
      <c r="BG9" s="83">
        <f t="shared" ca="1" si="65"/>
        <v>4.1316780821917813</v>
      </c>
      <c r="BH9" s="91">
        <f t="shared" ca="1" si="66"/>
        <v>37.276917808219174</v>
      </c>
      <c r="BI9" s="82"/>
      <c r="BJ9" s="83">
        <f ca="1">IF(Nomina!I9=$R$3,0,IF(F9=0,0,BD9+BG9))</f>
        <v>8.888632602739726</v>
      </c>
      <c r="BK9" s="83">
        <f t="shared" ca="1" si="67"/>
        <v>82.279251369863005</v>
      </c>
    </row>
    <row r="10" spans="1:63" x14ac:dyDescent="0.25">
      <c r="A10" s="82">
        <f>+Nomina!B10</f>
        <v>4</v>
      </c>
      <c r="B10" s="83" t="str">
        <f>Nomina!C10&amp;" "&amp;Nomina!D10</f>
        <v xml:space="preserve"> </v>
      </c>
      <c r="C10" s="84">
        <v>15</v>
      </c>
      <c r="D10" s="84">
        <v>61</v>
      </c>
      <c r="E10" s="83"/>
      <c r="F10" s="85">
        <f>Nomina!P10*(30.4/30)</f>
        <v>0</v>
      </c>
      <c r="G10" s="85">
        <f>IF(F10=0,0,LOOKUP(F10,Tablas!$A$4:'Tablas'!$D$14,Tablas!$A$4:'Tablas'!$A$14))</f>
        <v>0</v>
      </c>
      <c r="H10" s="85">
        <f t="shared" si="33"/>
        <v>0</v>
      </c>
      <c r="I10" s="86">
        <f>IF(F10=0,0,LOOKUP(F10,Tablas!$A$4:'Tablas'!$D$14,Tablas!$D$4:'Tablas'!$D$14))</f>
        <v>0</v>
      </c>
      <c r="J10" s="85">
        <f t="shared" si="34"/>
        <v>0</v>
      </c>
      <c r="K10" s="85">
        <f>IF(F10=0,0,LOOKUP(F10,Tablas!$A$4:'Tablas'!$D$14,Tablas!$C$4:'Tablas'!$C$14))</f>
        <v>0</v>
      </c>
      <c r="L10" s="85">
        <f t="shared" si="35"/>
        <v>0</v>
      </c>
      <c r="M10" s="85">
        <f>IF(F10=0,0,LOOKUP(F10,Tablas!$A$20:'Tablas'!$C$30,Tablas!$C$20:'Tablas'!$C$30))</f>
        <v>0</v>
      </c>
      <c r="N10" s="85">
        <f t="shared" si="68"/>
        <v>0</v>
      </c>
      <c r="O10" s="85">
        <f>IF(F10&lt;Tablas!$B$20,M10,0)</f>
        <v>0</v>
      </c>
      <c r="P10" s="90"/>
      <c r="Q10" s="88">
        <f ca="1">IF(Nomina!F10="",0,(VLOOKUP((ROUNDUP(((TODAY()-Nomina!F10)/365),0)),Tablas!$F$4:$I$23,4)))</f>
        <v>0</v>
      </c>
      <c r="R10" s="89">
        <f ca="1">IF(Nomina!I10*Q10&gt;($R$3*25),$R$3*25,Nomina!I10*Q10)</f>
        <v>0</v>
      </c>
      <c r="S10" s="90">
        <f>($S$6*$R$3)*C10</f>
        <v>332.22419999999994</v>
      </c>
      <c r="T10" s="90">
        <v>0</v>
      </c>
      <c r="U10" s="83">
        <f t="shared" si="36"/>
        <v>332.22419999999994</v>
      </c>
      <c r="V10" s="90">
        <f t="shared" ca="1" si="3"/>
        <v>0</v>
      </c>
      <c r="W10" s="90">
        <f t="shared" ca="1" si="4"/>
        <v>0</v>
      </c>
      <c r="X10" s="83">
        <f t="shared" ca="1" si="37"/>
        <v>0</v>
      </c>
      <c r="Y10" s="90">
        <f t="shared" ca="1" si="38"/>
        <v>0</v>
      </c>
      <c r="Z10" s="90">
        <f t="shared" ca="1" si="39"/>
        <v>0</v>
      </c>
      <c r="AA10" s="83">
        <f t="shared" ca="1" si="40"/>
        <v>0</v>
      </c>
      <c r="AB10" s="83">
        <f t="shared" ca="1" si="41"/>
        <v>0</v>
      </c>
      <c r="AC10" s="83">
        <f t="shared" ca="1" si="42"/>
        <v>0</v>
      </c>
      <c r="AD10" s="83">
        <f t="shared" ca="1" si="43"/>
        <v>0</v>
      </c>
      <c r="AE10" s="90">
        <f t="shared" ca="1" si="44"/>
        <v>0</v>
      </c>
      <c r="AF10" s="90">
        <f t="shared" ca="1" si="45"/>
        <v>0</v>
      </c>
      <c r="AG10" s="83">
        <f t="shared" ca="1" si="46"/>
        <v>0</v>
      </c>
      <c r="AH10" s="90">
        <f t="shared" ca="1" si="47"/>
        <v>0</v>
      </c>
      <c r="AI10" s="90">
        <v>0</v>
      </c>
      <c r="AJ10" s="83">
        <f t="shared" ca="1" si="48"/>
        <v>0</v>
      </c>
      <c r="AK10" s="90">
        <f t="shared" ca="1" si="49"/>
        <v>0</v>
      </c>
      <c r="AL10" s="90">
        <v>0</v>
      </c>
      <c r="AM10" s="83">
        <f t="shared" ca="1" si="50"/>
        <v>0</v>
      </c>
      <c r="AN10" s="83">
        <f t="shared" ca="1" si="51"/>
        <v>332.22419999999994</v>
      </c>
      <c r="AO10" s="83">
        <f t="shared" ca="1" si="52"/>
        <v>0</v>
      </c>
      <c r="AP10" s="83">
        <f t="shared" ca="1" si="53"/>
        <v>332.22419999999994</v>
      </c>
      <c r="AQ10" s="90">
        <f t="shared" ca="1" si="54"/>
        <v>0</v>
      </c>
      <c r="AR10" s="90">
        <v>0</v>
      </c>
      <c r="AS10" s="83">
        <f t="shared" ca="1" si="55"/>
        <v>0</v>
      </c>
      <c r="AT10" s="90">
        <f t="shared" ca="1" si="56"/>
        <v>0</v>
      </c>
      <c r="AU10" s="90">
        <f t="shared" ca="1" si="57"/>
        <v>0</v>
      </c>
      <c r="AV10" s="83">
        <f t="shared" ca="1" si="58"/>
        <v>0</v>
      </c>
      <c r="AW10" s="90">
        <f t="shared" ca="1" si="59"/>
        <v>0</v>
      </c>
      <c r="AX10" s="90">
        <v>0</v>
      </c>
      <c r="AY10" s="90">
        <f t="shared" ca="1" si="60"/>
        <v>0</v>
      </c>
      <c r="AZ10" s="83">
        <f t="shared" ca="1" si="61"/>
        <v>0</v>
      </c>
      <c r="BA10" s="83">
        <f t="shared" ca="1" si="62"/>
        <v>0</v>
      </c>
      <c r="BB10" s="83">
        <f t="shared" ca="1" si="63"/>
        <v>0</v>
      </c>
      <c r="BC10" s="82"/>
      <c r="BD10" s="83">
        <f t="shared" ca="1" si="64"/>
        <v>0</v>
      </c>
      <c r="BE10" s="83">
        <f t="shared" ca="1" si="69"/>
        <v>22.148279999999996</v>
      </c>
      <c r="BF10" s="82"/>
      <c r="BG10" s="83">
        <f t="shared" ca="1" si="65"/>
        <v>0</v>
      </c>
      <c r="BH10" s="91">
        <f t="shared" ca="1" si="66"/>
        <v>0</v>
      </c>
      <c r="BI10" s="82"/>
      <c r="BJ10" s="83">
        <f>IF(Nomina!I10=$R$3,0,IF(F10=0,0,BD10+BG10))</f>
        <v>0</v>
      </c>
      <c r="BK10" s="83">
        <f t="shared" ca="1" si="67"/>
        <v>0</v>
      </c>
    </row>
    <row r="11" spans="1:63" x14ac:dyDescent="0.25">
      <c r="A11" s="82">
        <f>+Nomina!B11</f>
        <v>5</v>
      </c>
      <c r="B11" s="83" t="str">
        <f>Nomina!C11&amp;" "&amp;Nomina!D11</f>
        <v xml:space="preserve"> </v>
      </c>
      <c r="C11" s="84">
        <v>15</v>
      </c>
      <c r="D11" s="84">
        <v>61</v>
      </c>
      <c r="E11" s="83"/>
      <c r="F11" s="85">
        <f>Nomina!P11*(30.4/30)</f>
        <v>0</v>
      </c>
      <c r="G11" s="85">
        <f>IF(F11=0,0,LOOKUP(F11,Tablas!$A$4:'Tablas'!$D$14,Tablas!$A$4:'Tablas'!$A$14))</f>
        <v>0</v>
      </c>
      <c r="H11" s="85">
        <f t="shared" si="33"/>
        <v>0</v>
      </c>
      <c r="I11" s="86">
        <f>IF(F11=0,0,LOOKUP(F11,Tablas!$A$4:'Tablas'!$D$14,Tablas!$D$4:'Tablas'!$D$14))</f>
        <v>0</v>
      </c>
      <c r="J11" s="85">
        <f t="shared" si="34"/>
        <v>0</v>
      </c>
      <c r="K11" s="85">
        <f>IF(F11=0,0,LOOKUP(F11,Tablas!$A$4:'Tablas'!$D$14,Tablas!$C$4:'Tablas'!$C$14))</f>
        <v>0</v>
      </c>
      <c r="L11" s="85">
        <f t="shared" si="35"/>
        <v>0</v>
      </c>
      <c r="M11" s="85">
        <f>IF(F11=0,0,LOOKUP(F11,Tablas!$A$20:'Tablas'!$C$30,Tablas!$C$20:'Tablas'!$C$30))</f>
        <v>0</v>
      </c>
      <c r="N11" s="85">
        <f t="shared" si="68"/>
        <v>0</v>
      </c>
      <c r="O11" s="85">
        <f>IF(F11&lt;Tablas!$B$20,M11,0)</f>
        <v>0</v>
      </c>
      <c r="P11" s="90"/>
      <c r="Q11" s="88">
        <f ca="1">IF(Nomina!F11="",0,(VLOOKUP((ROUNDUP(((TODAY()-Nomina!F11)/365),0)),Tablas!$F$4:$I$23,4)))</f>
        <v>0</v>
      </c>
      <c r="R11" s="89">
        <f ca="1">IF(Nomina!I11*Q11&gt;($R$3*25),$R$3*25,Nomina!I11*Q11)</f>
        <v>0</v>
      </c>
      <c r="S11" s="90">
        <f t="shared" ref="S11:S51" si="70">($S$6*$R$3)*C11</f>
        <v>332.22419999999994</v>
      </c>
      <c r="T11" s="90">
        <v>0</v>
      </c>
      <c r="U11" s="83">
        <f t="shared" si="36"/>
        <v>332.22419999999994</v>
      </c>
      <c r="V11" s="90">
        <f t="shared" ca="1" si="3"/>
        <v>0</v>
      </c>
      <c r="W11" s="90">
        <f t="shared" ca="1" si="4"/>
        <v>0</v>
      </c>
      <c r="X11" s="83">
        <f t="shared" ca="1" si="37"/>
        <v>0</v>
      </c>
      <c r="Y11" s="90">
        <f t="shared" ca="1" si="38"/>
        <v>0</v>
      </c>
      <c r="Z11" s="90">
        <f t="shared" ca="1" si="39"/>
        <v>0</v>
      </c>
      <c r="AA11" s="83">
        <f t="shared" ca="1" si="40"/>
        <v>0</v>
      </c>
      <c r="AB11" s="83">
        <f t="shared" ca="1" si="41"/>
        <v>0</v>
      </c>
      <c r="AC11" s="83">
        <f t="shared" ca="1" si="42"/>
        <v>0</v>
      </c>
      <c r="AD11" s="83">
        <f t="shared" ca="1" si="43"/>
        <v>0</v>
      </c>
      <c r="AE11" s="90">
        <f t="shared" ca="1" si="44"/>
        <v>0</v>
      </c>
      <c r="AF11" s="90">
        <f t="shared" ca="1" si="45"/>
        <v>0</v>
      </c>
      <c r="AG11" s="83">
        <f t="shared" ca="1" si="46"/>
        <v>0</v>
      </c>
      <c r="AH11" s="90">
        <f t="shared" ca="1" si="47"/>
        <v>0</v>
      </c>
      <c r="AI11" s="90">
        <v>0</v>
      </c>
      <c r="AJ11" s="83">
        <f t="shared" ca="1" si="48"/>
        <v>0</v>
      </c>
      <c r="AK11" s="90">
        <f t="shared" ca="1" si="49"/>
        <v>0</v>
      </c>
      <c r="AL11" s="90">
        <v>0</v>
      </c>
      <c r="AM11" s="83">
        <f t="shared" ca="1" si="50"/>
        <v>0</v>
      </c>
      <c r="AN11" s="83">
        <f t="shared" ca="1" si="51"/>
        <v>332.22419999999994</v>
      </c>
      <c r="AO11" s="83">
        <f t="shared" ca="1" si="52"/>
        <v>0</v>
      </c>
      <c r="AP11" s="83">
        <f t="shared" ca="1" si="53"/>
        <v>332.22419999999994</v>
      </c>
      <c r="AQ11" s="90">
        <f t="shared" ca="1" si="54"/>
        <v>0</v>
      </c>
      <c r="AR11" s="90">
        <v>0</v>
      </c>
      <c r="AS11" s="83">
        <f t="shared" ca="1" si="55"/>
        <v>0</v>
      </c>
      <c r="AT11" s="90">
        <f t="shared" ca="1" si="56"/>
        <v>0</v>
      </c>
      <c r="AU11" s="90">
        <f t="shared" ca="1" si="57"/>
        <v>0</v>
      </c>
      <c r="AV11" s="83">
        <f t="shared" ca="1" si="58"/>
        <v>0</v>
      </c>
      <c r="AW11" s="90">
        <f t="shared" ca="1" si="59"/>
        <v>0</v>
      </c>
      <c r="AX11" s="90">
        <v>0</v>
      </c>
      <c r="AY11" s="90">
        <f t="shared" ca="1" si="60"/>
        <v>0</v>
      </c>
      <c r="AZ11" s="83">
        <f t="shared" ca="1" si="61"/>
        <v>0</v>
      </c>
      <c r="BA11" s="83">
        <f t="shared" ca="1" si="62"/>
        <v>0</v>
      </c>
      <c r="BB11" s="83">
        <f t="shared" ca="1" si="63"/>
        <v>0</v>
      </c>
      <c r="BC11" s="82"/>
      <c r="BD11" s="83">
        <f t="shared" ca="1" si="64"/>
        <v>0</v>
      </c>
      <c r="BE11" s="83">
        <f t="shared" ca="1" si="69"/>
        <v>22.148279999999996</v>
      </c>
      <c r="BF11" s="82"/>
      <c r="BG11" s="83">
        <f t="shared" ca="1" si="65"/>
        <v>0</v>
      </c>
      <c r="BH11" s="91">
        <f t="shared" ca="1" si="66"/>
        <v>0</v>
      </c>
      <c r="BI11" s="82"/>
      <c r="BJ11" s="83">
        <f>IF(Nomina!I11=$R$3,0,IF(F11=0,0,BD11+BG11))</f>
        <v>0</v>
      </c>
      <c r="BK11" s="83">
        <f t="shared" ca="1" si="67"/>
        <v>0</v>
      </c>
    </row>
    <row r="12" spans="1:63" x14ac:dyDescent="0.25">
      <c r="A12" s="82">
        <f>+Nomina!B12</f>
        <v>6</v>
      </c>
      <c r="B12" s="83" t="str">
        <f>Nomina!C12&amp;" "&amp;Nomina!D12</f>
        <v xml:space="preserve"> </v>
      </c>
      <c r="C12" s="84">
        <v>15</v>
      </c>
      <c r="D12" s="84">
        <v>61</v>
      </c>
      <c r="E12" s="83"/>
      <c r="F12" s="85">
        <f>Nomina!P12*(30.4/30)</f>
        <v>0</v>
      </c>
      <c r="G12" s="85">
        <f>IF(F12=0,0,LOOKUP(F12,Tablas!$A$4:'Tablas'!$D$14,Tablas!$A$4:'Tablas'!$A$14))</f>
        <v>0</v>
      </c>
      <c r="H12" s="85">
        <f t="shared" si="33"/>
        <v>0</v>
      </c>
      <c r="I12" s="86">
        <f>IF(F12=0,0,LOOKUP(F12,Tablas!$A$4:'Tablas'!$D$14,Tablas!$D$4:'Tablas'!$D$14))</f>
        <v>0</v>
      </c>
      <c r="J12" s="85">
        <f t="shared" si="34"/>
        <v>0</v>
      </c>
      <c r="K12" s="85">
        <f>IF(F12=0,0,LOOKUP(F12,Tablas!$A$4:'Tablas'!$D$14,Tablas!$C$4:'Tablas'!$C$14))</f>
        <v>0</v>
      </c>
      <c r="L12" s="85">
        <f t="shared" si="35"/>
        <v>0</v>
      </c>
      <c r="M12" s="85">
        <f>IF(F12=0,0,LOOKUP(F12,Tablas!$A$20:'Tablas'!$C$30,Tablas!$C$20:'Tablas'!$C$30))</f>
        <v>0</v>
      </c>
      <c r="N12" s="85">
        <f t="shared" si="68"/>
        <v>0</v>
      </c>
      <c r="O12" s="85">
        <f>IF(F12&lt;Tablas!$B$20,M12,0)</f>
        <v>0</v>
      </c>
      <c r="P12" s="90"/>
      <c r="Q12" s="88">
        <f ca="1">IF(Nomina!F12="",0,(VLOOKUP((ROUNDUP(((TODAY()-Nomina!F12)/365),0)),Tablas!$F$4:$I$23,4)))</f>
        <v>0</v>
      </c>
      <c r="R12" s="89">
        <f ca="1">IF(Nomina!I12*Q12&gt;($R$3*25),$R$3*25,Nomina!I12*Q12)</f>
        <v>0</v>
      </c>
      <c r="S12" s="90">
        <f t="shared" si="70"/>
        <v>332.22419999999994</v>
      </c>
      <c r="T12" s="90">
        <v>0</v>
      </c>
      <c r="U12" s="83">
        <f t="shared" si="36"/>
        <v>332.22419999999994</v>
      </c>
      <c r="V12" s="90">
        <f t="shared" ca="1" si="3"/>
        <v>0</v>
      </c>
      <c r="W12" s="90">
        <f t="shared" ca="1" si="4"/>
        <v>0</v>
      </c>
      <c r="X12" s="83">
        <f t="shared" ca="1" si="37"/>
        <v>0</v>
      </c>
      <c r="Y12" s="90">
        <f t="shared" ca="1" si="38"/>
        <v>0</v>
      </c>
      <c r="Z12" s="90">
        <f t="shared" ca="1" si="39"/>
        <v>0</v>
      </c>
      <c r="AA12" s="83">
        <f t="shared" ca="1" si="40"/>
        <v>0</v>
      </c>
      <c r="AB12" s="83">
        <f t="shared" ca="1" si="41"/>
        <v>0</v>
      </c>
      <c r="AC12" s="83">
        <f t="shared" ca="1" si="42"/>
        <v>0</v>
      </c>
      <c r="AD12" s="83">
        <f t="shared" ca="1" si="43"/>
        <v>0</v>
      </c>
      <c r="AE12" s="90">
        <f t="shared" ca="1" si="44"/>
        <v>0</v>
      </c>
      <c r="AF12" s="90">
        <f t="shared" ca="1" si="45"/>
        <v>0</v>
      </c>
      <c r="AG12" s="83">
        <f t="shared" ca="1" si="46"/>
        <v>0</v>
      </c>
      <c r="AH12" s="90">
        <f t="shared" ca="1" si="47"/>
        <v>0</v>
      </c>
      <c r="AI12" s="90">
        <v>0</v>
      </c>
      <c r="AJ12" s="83">
        <f t="shared" ca="1" si="48"/>
        <v>0</v>
      </c>
      <c r="AK12" s="90">
        <f t="shared" ca="1" si="49"/>
        <v>0</v>
      </c>
      <c r="AL12" s="90">
        <v>0</v>
      </c>
      <c r="AM12" s="83">
        <f t="shared" ca="1" si="50"/>
        <v>0</v>
      </c>
      <c r="AN12" s="83">
        <f t="shared" ca="1" si="51"/>
        <v>332.22419999999994</v>
      </c>
      <c r="AO12" s="83">
        <f t="shared" ca="1" si="52"/>
        <v>0</v>
      </c>
      <c r="AP12" s="83">
        <f t="shared" ca="1" si="53"/>
        <v>332.22419999999994</v>
      </c>
      <c r="AQ12" s="90">
        <f t="shared" ca="1" si="54"/>
        <v>0</v>
      </c>
      <c r="AR12" s="90">
        <v>0</v>
      </c>
      <c r="AS12" s="83">
        <f t="shared" ca="1" si="55"/>
        <v>0</v>
      </c>
      <c r="AT12" s="90">
        <f t="shared" ca="1" si="56"/>
        <v>0</v>
      </c>
      <c r="AU12" s="90">
        <f t="shared" ca="1" si="57"/>
        <v>0</v>
      </c>
      <c r="AV12" s="83">
        <f t="shared" ca="1" si="58"/>
        <v>0</v>
      </c>
      <c r="AW12" s="90">
        <f t="shared" ca="1" si="59"/>
        <v>0</v>
      </c>
      <c r="AX12" s="90">
        <v>0</v>
      </c>
      <c r="AY12" s="90">
        <f t="shared" ca="1" si="60"/>
        <v>0</v>
      </c>
      <c r="AZ12" s="83">
        <f t="shared" ca="1" si="61"/>
        <v>0</v>
      </c>
      <c r="BA12" s="83">
        <f t="shared" ca="1" si="62"/>
        <v>0</v>
      </c>
      <c r="BB12" s="83">
        <f t="shared" ca="1" si="63"/>
        <v>0</v>
      </c>
      <c r="BC12" s="82"/>
      <c r="BD12" s="83">
        <f t="shared" ca="1" si="64"/>
        <v>0</v>
      </c>
      <c r="BE12" s="83">
        <f t="shared" ca="1" si="69"/>
        <v>22.148279999999996</v>
      </c>
      <c r="BF12" s="82"/>
      <c r="BG12" s="83">
        <f t="shared" ca="1" si="65"/>
        <v>0</v>
      </c>
      <c r="BH12" s="91">
        <f t="shared" ca="1" si="66"/>
        <v>0</v>
      </c>
      <c r="BI12" s="82"/>
      <c r="BJ12" s="83">
        <f>IF(Nomina!I12=$R$3,0,IF(F12=0,0,BD12+BG12))</f>
        <v>0</v>
      </c>
      <c r="BK12" s="83">
        <f t="shared" ca="1" si="67"/>
        <v>0</v>
      </c>
    </row>
    <row r="13" spans="1:63" x14ac:dyDescent="0.25">
      <c r="A13" s="82">
        <f>+Nomina!B13</f>
        <v>7</v>
      </c>
      <c r="B13" s="83" t="str">
        <f>Nomina!C13&amp;" "&amp;Nomina!D13</f>
        <v xml:space="preserve"> </v>
      </c>
      <c r="C13" s="84">
        <v>15</v>
      </c>
      <c r="D13" s="84">
        <v>61</v>
      </c>
      <c r="E13" s="83"/>
      <c r="F13" s="85">
        <f>Nomina!P13*(30.4/30)</f>
        <v>0</v>
      </c>
      <c r="G13" s="85">
        <f>IF(F13=0,0,LOOKUP(F13,Tablas!$A$4:'Tablas'!$D$14,Tablas!$A$4:'Tablas'!$A$14))</f>
        <v>0</v>
      </c>
      <c r="H13" s="85">
        <f t="shared" si="33"/>
        <v>0</v>
      </c>
      <c r="I13" s="86">
        <f>IF(F13=0,0,LOOKUP(F13,Tablas!$A$4:'Tablas'!$D$14,Tablas!$D$4:'Tablas'!$D$14))</f>
        <v>0</v>
      </c>
      <c r="J13" s="85">
        <f t="shared" si="34"/>
        <v>0</v>
      </c>
      <c r="K13" s="85">
        <f>IF(F13=0,0,LOOKUP(F13,Tablas!$A$4:'Tablas'!$D$14,Tablas!$C$4:'Tablas'!$C$14))</f>
        <v>0</v>
      </c>
      <c r="L13" s="85">
        <f t="shared" si="35"/>
        <v>0</v>
      </c>
      <c r="M13" s="85">
        <f>IF(F13=0,0,LOOKUP(F13,Tablas!$A$20:'Tablas'!$C$30,Tablas!$C$20:'Tablas'!$C$30))</f>
        <v>0</v>
      </c>
      <c r="N13" s="85">
        <f t="shared" si="68"/>
        <v>0</v>
      </c>
      <c r="O13" s="85">
        <f>IF(F13&lt;Tablas!$B$20,M13,0)</f>
        <v>0</v>
      </c>
      <c r="P13" s="90"/>
      <c r="Q13" s="88">
        <f ca="1">IF(Nomina!F13="",0,(VLOOKUP((ROUNDUP(((TODAY()-Nomina!F13)/365),0)),Tablas!$F$4:$I$23,4)))</f>
        <v>0</v>
      </c>
      <c r="R13" s="89">
        <f ca="1">IF(Nomina!I13*Q13&gt;($R$3*25),$R$3*25,Nomina!I13*Q13)</f>
        <v>0</v>
      </c>
      <c r="S13" s="90">
        <f t="shared" si="70"/>
        <v>332.22419999999994</v>
      </c>
      <c r="T13" s="90">
        <v>0</v>
      </c>
      <c r="U13" s="83">
        <f t="shared" si="36"/>
        <v>332.22419999999994</v>
      </c>
      <c r="V13" s="90">
        <f t="shared" ca="1" si="3"/>
        <v>0</v>
      </c>
      <c r="W13" s="90">
        <f t="shared" ca="1" si="4"/>
        <v>0</v>
      </c>
      <c r="X13" s="83">
        <f t="shared" ca="1" si="37"/>
        <v>0</v>
      </c>
      <c r="Y13" s="90">
        <f t="shared" ca="1" si="38"/>
        <v>0</v>
      </c>
      <c r="Z13" s="90">
        <f t="shared" ca="1" si="39"/>
        <v>0</v>
      </c>
      <c r="AA13" s="83">
        <f t="shared" ca="1" si="40"/>
        <v>0</v>
      </c>
      <c r="AB13" s="83">
        <f t="shared" ca="1" si="41"/>
        <v>0</v>
      </c>
      <c r="AC13" s="83">
        <f t="shared" ca="1" si="42"/>
        <v>0</v>
      </c>
      <c r="AD13" s="83">
        <f t="shared" ca="1" si="43"/>
        <v>0</v>
      </c>
      <c r="AE13" s="90">
        <f t="shared" ca="1" si="44"/>
        <v>0</v>
      </c>
      <c r="AF13" s="90">
        <f t="shared" ca="1" si="45"/>
        <v>0</v>
      </c>
      <c r="AG13" s="83">
        <f t="shared" ca="1" si="46"/>
        <v>0</v>
      </c>
      <c r="AH13" s="90">
        <f t="shared" ca="1" si="47"/>
        <v>0</v>
      </c>
      <c r="AI13" s="90">
        <v>0</v>
      </c>
      <c r="AJ13" s="83">
        <f t="shared" ca="1" si="48"/>
        <v>0</v>
      </c>
      <c r="AK13" s="90">
        <f t="shared" ca="1" si="49"/>
        <v>0</v>
      </c>
      <c r="AL13" s="90">
        <v>0</v>
      </c>
      <c r="AM13" s="83">
        <f t="shared" ca="1" si="50"/>
        <v>0</v>
      </c>
      <c r="AN13" s="83">
        <f t="shared" ca="1" si="51"/>
        <v>332.22419999999994</v>
      </c>
      <c r="AO13" s="83">
        <f t="shared" ca="1" si="52"/>
        <v>0</v>
      </c>
      <c r="AP13" s="83">
        <f t="shared" ca="1" si="53"/>
        <v>332.22419999999994</v>
      </c>
      <c r="AQ13" s="90">
        <f t="shared" ca="1" si="54"/>
        <v>0</v>
      </c>
      <c r="AR13" s="90">
        <v>0</v>
      </c>
      <c r="AS13" s="83">
        <f t="shared" ca="1" si="55"/>
        <v>0</v>
      </c>
      <c r="AT13" s="90">
        <f t="shared" ca="1" si="56"/>
        <v>0</v>
      </c>
      <c r="AU13" s="90">
        <f t="shared" ca="1" si="57"/>
        <v>0</v>
      </c>
      <c r="AV13" s="83">
        <f t="shared" ca="1" si="58"/>
        <v>0</v>
      </c>
      <c r="AW13" s="90">
        <f t="shared" ca="1" si="59"/>
        <v>0</v>
      </c>
      <c r="AX13" s="90">
        <v>0</v>
      </c>
      <c r="AY13" s="90">
        <f t="shared" ca="1" si="60"/>
        <v>0</v>
      </c>
      <c r="AZ13" s="83">
        <f t="shared" ca="1" si="61"/>
        <v>0</v>
      </c>
      <c r="BA13" s="83">
        <f t="shared" ca="1" si="62"/>
        <v>0</v>
      </c>
      <c r="BB13" s="83">
        <f t="shared" ca="1" si="63"/>
        <v>0</v>
      </c>
      <c r="BC13" s="82"/>
      <c r="BD13" s="83">
        <f t="shared" ca="1" si="64"/>
        <v>0</v>
      </c>
      <c r="BE13" s="83">
        <f t="shared" ca="1" si="69"/>
        <v>22.148279999999996</v>
      </c>
      <c r="BF13" s="82"/>
      <c r="BG13" s="83">
        <f t="shared" ca="1" si="65"/>
        <v>0</v>
      </c>
      <c r="BH13" s="91">
        <f t="shared" ca="1" si="66"/>
        <v>0</v>
      </c>
      <c r="BI13" s="82"/>
      <c r="BJ13" s="83">
        <f>IF(Nomina!I13=$R$3,0,IF(F13=0,0,BD13+BG13))</f>
        <v>0</v>
      </c>
      <c r="BK13" s="83">
        <f t="shared" ca="1" si="67"/>
        <v>0</v>
      </c>
    </row>
    <row r="14" spans="1:63" x14ac:dyDescent="0.25">
      <c r="A14" s="82">
        <f>+Nomina!B14</f>
        <v>8</v>
      </c>
      <c r="B14" s="83" t="str">
        <f>Nomina!C14&amp;" "&amp;Nomina!D14</f>
        <v xml:space="preserve"> </v>
      </c>
      <c r="C14" s="84">
        <v>15</v>
      </c>
      <c r="D14" s="84">
        <v>61</v>
      </c>
      <c r="E14" s="83"/>
      <c r="F14" s="85">
        <f>Nomina!P14*(30.4/30)</f>
        <v>0</v>
      </c>
      <c r="G14" s="85">
        <f>IF(F14=0,0,LOOKUP(F14,Tablas!$A$4:'Tablas'!$D$14,Tablas!$A$4:'Tablas'!$A$14))</f>
        <v>0</v>
      </c>
      <c r="H14" s="85">
        <f t="shared" si="33"/>
        <v>0</v>
      </c>
      <c r="I14" s="86">
        <f>IF(F14=0,0,LOOKUP(F14,Tablas!$A$4:'Tablas'!$D$14,Tablas!$D$4:'Tablas'!$D$14))</f>
        <v>0</v>
      </c>
      <c r="J14" s="85">
        <f t="shared" si="34"/>
        <v>0</v>
      </c>
      <c r="K14" s="85">
        <f>IF(F14=0,0,LOOKUP(F14,Tablas!$A$4:'Tablas'!$D$14,Tablas!$C$4:'Tablas'!$C$14))</f>
        <v>0</v>
      </c>
      <c r="L14" s="85">
        <f t="shared" si="35"/>
        <v>0</v>
      </c>
      <c r="M14" s="85">
        <f>IF(F14=0,0,LOOKUP(F14,Tablas!$A$20:'Tablas'!$C$30,Tablas!$C$20:'Tablas'!$C$30))</f>
        <v>0</v>
      </c>
      <c r="N14" s="85">
        <f t="shared" si="68"/>
        <v>0</v>
      </c>
      <c r="O14" s="85">
        <f>IF(F14&lt;Tablas!$B$20,M14,0)</f>
        <v>0</v>
      </c>
      <c r="P14" s="90"/>
      <c r="Q14" s="88">
        <f ca="1">IF(Nomina!F14="",0,(VLOOKUP((ROUNDUP(((TODAY()-Nomina!F14)/365),0)),Tablas!$F$4:$I$23,4)))</f>
        <v>0</v>
      </c>
      <c r="R14" s="89">
        <f ca="1">IF(Nomina!I14*Q14&gt;($R$3*25),$R$3*25,Nomina!I14*Q14)</f>
        <v>0</v>
      </c>
      <c r="S14" s="90">
        <f t="shared" si="70"/>
        <v>332.22419999999994</v>
      </c>
      <c r="T14" s="90">
        <v>0</v>
      </c>
      <c r="U14" s="83">
        <f t="shared" si="36"/>
        <v>332.22419999999994</v>
      </c>
      <c r="V14" s="90">
        <f t="shared" ca="1" si="3"/>
        <v>0</v>
      </c>
      <c r="W14" s="90">
        <f t="shared" ca="1" si="4"/>
        <v>0</v>
      </c>
      <c r="X14" s="83">
        <f t="shared" ca="1" si="37"/>
        <v>0</v>
      </c>
      <c r="Y14" s="90">
        <f t="shared" ca="1" si="38"/>
        <v>0</v>
      </c>
      <c r="Z14" s="90">
        <f t="shared" ca="1" si="39"/>
        <v>0</v>
      </c>
      <c r="AA14" s="83">
        <f t="shared" ca="1" si="40"/>
        <v>0</v>
      </c>
      <c r="AB14" s="83">
        <f t="shared" ca="1" si="41"/>
        <v>0</v>
      </c>
      <c r="AC14" s="83">
        <f t="shared" ca="1" si="42"/>
        <v>0</v>
      </c>
      <c r="AD14" s="83">
        <f t="shared" ca="1" si="43"/>
        <v>0</v>
      </c>
      <c r="AE14" s="90">
        <f t="shared" ca="1" si="44"/>
        <v>0</v>
      </c>
      <c r="AF14" s="90">
        <f t="shared" ca="1" si="45"/>
        <v>0</v>
      </c>
      <c r="AG14" s="83">
        <f t="shared" ca="1" si="46"/>
        <v>0</v>
      </c>
      <c r="AH14" s="90">
        <f t="shared" ca="1" si="47"/>
        <v>0</v>
      </c>
      <c r="AI14" s="90">
        <v>0</v>
      </c>
      <c r="AJ14" s="83">
        <f t="shared" ca="1" si="48"/>
        <v>0</v>
      </c>
      <c r="AK14" s="90">
        <f t="shared" ca="1" si="49"/>
        <v>0</v>
      </c>
      <c r="AL14" s="90">
        <v>0</v>
      </c>
      <c r="AM14" s="83">
        <f t="shared" ca="1" si="50"/>
        <v>0</v>
      </c>
      <c r="AN14" s="83">
        <f t="shared" ca="1" si="51"/>
        <v>332.22419999999994</v>
      </c>
      <c r="AO14" s="83">
        <f t="shared" ca="1" si="52"/>
        <v>0</v>
      </c>
      <c r="AP14" s="83">
        <f t="shared" ca="1" si="53"/>
        <v>332.22419999999994</v>
      </c>
      <c r="AQ14" s="90">
        <f t="shared" ca="1" si="54"/>
        <v>0</v>
      </c>
      <c r="AR14" s="90">
        <v>0</v>
      </c>
      <c r="AS14" s="83">
        <f t="shared" ca="1" si="55"/>
        <v>0</v>
      </c>
      <c r="AT14" s="90">
        <f t="shared" ca="1" si="56"/>
        <v>0</v>
      </c>
      <c r="AU14" s="90">
        <f t="shared" ca="1" si="57"/>
        <v>0</v>
      </c>
      <c r="AV14" s="83">
        <f t="shared" ca="1" si="58"/>
        <v>0</v>
      </c>
      <c r="AW14" s="90">
        <f t="shared" ca="1" si="59"/>
        <v>0</v>
      </c>
      <c r="AX14" s="90">
        <v>0</v>
      </c>
      <c r="AY14" s="90">
        <f t="shared" ca="1" si="60"/>
        <v>0</v>
      </c>
      <c r="AZ14" s="83">
        <f t="shared" ca="1" si="61"/>
        <v>0</v>
      </c>
      <c r="BA14" s="83">
        <f t="shared" ca="1" si="62"/>
        <v>0</v>
      </c>
      <c r="BB14" s="83">
        <f t="shared" ca="1" si="63"/>
        <v>0</v>
      </c>
      <c r="BC14" s="82"/>
      <c r="BD14" s="83">
        <f t="shared" ca="1" si="64"/>
        <v>0</v>
      </c>
      <c r="BE14" s="83">
        <f t="shared" ca="1" si="69"/>
        <v>22.148279999999996</v>
      </c>
      <c r="BF14" s="82"/>
      <c r="BG14" s="83">
        <f t="shared" ca="1" si="65"/>
        <v>0</v>
      </c>
      <c r="BH14" s="91">
        <f t="shared" ca="1" si="66"/>
        <v>0</v>
      </c>
      <c r="BI14" s="82"/>
      <c r="BJ14" s="83">
        <f>IF(Nomina!I14=$R$3,0,IF(F14=0,0,BD14+BG14))</f>
        <v>0</v>
      </c>
      <c r="BK14" s="83">
        <f t="shared" ca="1" si="67"/>
        <v>0</v>
      </c>
    </row>
    <row r="15" spans="1:63" x14ac:dyDescent="0.25">
      <c r="A15" s="82">
        <f>+Nomina!B15</f>
        <v>9</v>
      </c>
      <c r="B15" s="83" t="str">
        <f>Nomina!C15&amp;" "&amp;Nomina!D15</f>
        <v xml:space="preserve"> </v>
      </c>
      <c r="C15" s="84">
        <v>15</v>
      </c>
      <c r="D15" s="84">
        <v>61</v>
      </c>
      <c r="E15" s="83"/>
      <c r="F15" s="85">
        <f>Nomina!P15*(30.4/30)</f>
        <v>0</v>
      </c>
      <c r="G15" s="85">
        <f>IF(F15=0,0,LOOKUP(F15,Tablas!$A$4:'Tablas'!$D$14,Tablas!$A$4:'Tablas'!$A$14))</f>
        <v>0</v>
      </c>
      <c r="H15" s="85">
        <f t="shared" si="33"/>
        <v>0</v>
      </c>
      <c r="I15" s="86">
        <f>IF(F15=0,0,LOOKUP(F15,Tablas!$A$4:'Tablas'!$D$14,Tablas!$D$4:'Tablas'!$D$14))</f>
        <v>0</v>
      </c>
      <c r="J15" s="85">
        <f t="shared" si="34"/>
        <v>0</v>
      </c>
      <c r="K15" s="85">
        <f>IF(F15=0,0,LOOKUP(F15,Tablas!$A$4:'Tablas'!$D$14,Tablas!$C$4:'Tablas'!$C$14))</f>
        <v>0</v>
      </c>
      <c r="L15" s="85">
        <f t="shared" si="35"/>
        <v>0</v>
      </c>
      <c r="M15" s="85">
        <f>IF(F15=0,0,LOOKUP(F15,Tablas!$A$20:'Tablas'!$C$30,Tablas!$C$20:'Tablas'!$C$30))</f>
        <v>0</v>
      </c>
      <c r="N15" s="85">
        <f t="shared" si="68"/>
        <v>0</v>
      </c>
      <c r="O15" s="85">
        <f>IF(F15&lt;Tablas!$B$20,M15,0)</f>
        <v>0</v>
      </c>
      <c r="P15" s="90"/>
      <c r="Q15" s="88">
        <f ca="1">IF(Nomina!F15="",0,(VLOOKUP((ROUNDUP(((TODAY()-Nomina!F15)/365),0)),Tablas!$F$4:$I$23,4)))</f>
        <v>0</v>
      </c>
      <c r="R15" s="89">
        <f ca="1">IF(Nomina!I15*Q15&gt;($R$3*25),$R$3*25,Nomina!I15*Q15)</f>
        <v>0</v>
      </c>
      <c r="S15" s="90">
        <f t="shared" si="70"/>
        <v>332.22419999999994</v>
      </c>
      <c r="T15" s="90">
        <v>0</v>
      </c>
      <c r="U15" s="83">
        <f t="shared" si="36"/>
        <v>332.22419999999994</v>
      </c>
      <c r="V15" s="90">
        <f t="shared" ca="1" si="3"/>
        <v>0</v>
      </c>
      <c r="W15" s="90">
        <f t="shared" ca="1" si="4"/>
        <v>0</v>
      </c>
      <c r="X15" s="83">
        <f t="shared" ca="1" si="37"/>
        <v>0</v>
      </c>
      <c r="Y15" s="90">
        <f t="shared" ca="1" si="38"/>
        <v>0</v>
      </c>
      <c r="Z15" s="90">
        <f t="shared" ca="1" si="39"/>
        <v>0</v>
      </c>
      <c r="AA15" s="83">
        <f t="shared" ca="1" si="40"/>
        <v>0</v>
      </c>
      <c r="AB15" s="83">
        <f t="shared" ca="1" si="41"/>
        <v>0</v>
      </c>
      <c r="AC15" s="83">
        <f t="shared" ca="1" si="42"/>
        <v>0</v>
      </c>
      <c r="AD15" s="83">
        <f t="shared" ca="1" si="43"/>
        <v>0</v>
      </c>
      <c r="AE15" s="90">
        <f t="shared" ca="1" si="44"/>
        <v>0</v>
      </c>
      <c r="AF15" s="90">
        <f t="shared" ca="1" si="45"/>
        <v>0</v>
      </c>
      <c r="AG15" s="83">
        <f t="shared" ca="1" si="46"/>
        <v>0</v>
      </c>
      <c r="AH15" s="90">
        <f t="shared" ca="1" si="47"/>
        <v>0</v>
      </c>
      <c r="AI15" s="90">
        <v>0</v>
      </c>
      <c r="AJ15" s="83">
        <f t="shared" ca="1" si="48"/>
        <v>0</v>
      </c>
      <c r="AK15" s="90">
        <f t="shared" ca="1" si="49"/>
        <v>0</v>
      </c>
      <c r="AL15" s="90">
        <v>0</v>
      </c>
      <c r="AM15" s="83">
        <f t="shared" ca="1" si="50"/>
        <v>0</v>
      </c>
      <c r="AN15" s="83">
        <f t="shared" ca="1" si="51"/>
        <v>332.22419999999994</v>
      </c>
      <c r="AO15" s="83">
        <f t="shared" ca="1" si="52"/>
        <v>0</v>
      </c>
      <c r="AP15" s="83">
        <f t="shared" ca="1" si="53"/>
        <v>332.22419999999994</v>
      </c>
      <c r="AQ15" s="90">
        <f t="shared" ca="1" si="54"/>
        <v>0</v>
      </c>
      <c r="AR15" s="90">
        <v>0</v>
      </c>
      <c r="AS15" s="83">
        <f t="shared" ca="1" si="55"/>
        <v>0</v>
      </c>
      <c r="AT15" s="90">
        <f t="shared" ca="1" si="56"/>
        <v>0</v>
      </c>
      <c r="AU15" s="90">
        <f t="shared" ca="1" si="57"/>
        <v>0</v>
      </c>
      <c r="AV15" s="83">
        <f t="shared" ca="1" si="58"/>
        <v>0</v>
      </c>
      <c r="AW15" s="90">
        <f t="shared" ca="1" si="59"/>
        <v>0</v>
      </c>
      <c r="AX15" s="90">
        <v>0</v>
      </c>
      <c r="AY15" s="90">
        <f t="shared" ca="1" si="60"/>
        <v>0</v>
      </c>
      <c r="AZ15" s="83">
        <f t="shared" ca="1" si="61"/>
        <v>0</v>
      </c>
      <c r="BA15" s="83">
        <f t="shared" ca="1" si="62"/>
        <v>0</v>
      </c>
      <c r="BB15" s="83">
        <f t="shared" ca="1" si="63"/>
        <v>0</v>
      </c>
      <c r="BC15" s="82"/>
      <c r="BD15" s="83">
        <f t="shared" ca="1" si="64"/>
        <v>0</v>
      </c>
      <c r="BE15" s="83">
        <f t="shared" ca="1" si="69"/>
        <v>22.148279999999996</v>
      </c>
      <c r="BF15" s="82"/>
      <c r="BG15" s="83">
        <f t="shared" ca="1" si="65"/>
        <v>0</v>
      </c>
      <c r="BH15" s="91">
        <f t="shared" ca="1" si="66"/>
        <v>0</v>
      </c>
      <c r="BI15" s="82"/>
      <c r="BJ15" s="83">
        <f>IF(Nomina!I15=$R$3,0,IF(F15=0,0,BD15+BG15))</f>
        <v>0</v>
      </c>
      <c r="BK15" s="83">
        <f t="shared" ca="1" si="67"/>
        <v>0</v>
      </c>
    </row>
    <row r="16" spans="1:63" x14ac:dyDescent="0.25">
      <c r="A16" s="82">
        <f>+Nomina!B16</f>
        <v>10</v>
      </c>
      <c r="B16" s="83" t="str">
        <f>Nomina!C16&amp;" "&amp;Nomina!D16</f>
        <v xml:space="preserve"> </v>
      </c>
      <c r="C16" s="84">
        <v>15</v>
      </c>
      <c r="D16" s="84">
        <v>61</v>
      </c>
      <c r="E16" s="83"/>
      <c r="F16" s="85">
        <f>Nomina!P16*(30.4/30)</f>
        <v>0</v>
      </c>
      <c r="G16" s="85">
        <f>IF(F16=0,0,LOOKUP(F16,Tablas!$A$4:'Tablas'!$D$14,Tablas!$A$4:'Tablas'!$A$14))</f>
        <v>0</v>
      </c>
      <c r="H16" s="85">
        <f t="shared" si="33"/>
        <v>0</v>
      </c>
      <c r="I16" s="86">
        <f>IF(F16=0,0,LOOKUP(F16,Tablas!$A$4:'Tablas'!$D$14,Tablas!$D$4:'Tablas'!$D$14))</f>
        <v>0</v>
      </c>
      <c r="J16" s="85">
        <f t="shared" si="34"/>
        <v>0</v>
      </c>
      <c r="K16" s="85">
        <f>IF(F16=0,0,LOOKUP(F16,Tablas!$A$4:'Tablas'!$D$14,Tablas!$C$4:'Tablas'!$C$14))</f>
        <v>0</v>
      </c>
      <c r="L16" s="85">
        <f t="shared" si="35"/>
        <v>0</v>
      </c>
      <c r="M16" s="85">
        <f>IF(F16=0,0,LOOKUP(F16,Tablas!$A$20:'Tablas'!$C$30,Tablas!$C$20:'Tablas'!$C$30))</f>
        <v>0</v>
      </c>
      <c r="N16" s="85">
        <f t="shared" si="68"/>
        <v>0</v>
      </c>
      <c r="O16" s="85">
        <f>IF(F16&lt;Tablas!$B$20,M16,0)</f>
        <v>0</v>
      </c>
      <c r="P16" s="90"/>
      <c r="Q16" s="88">
        <f ca="1">IF(Nomina!F16="",0,(VLOOKUP((ROUNDUP(((TODAY()-Nomina!F16)/365),0)),Tablas!$F$4:$I$23,4)))</f>
        <v>0</v>
      </c>
      <c r="R16" s="89">
        <f ca="1">IF(Nomina!I16*Q16&gt;($R$3*25),$R$3*25,Nomina!I16*Q16)</f>
        <v>0</v>
      </c>
      <c r="S16" s="90">
        <f t="shared" si="70"/>
        <v>332.22419999999994</v>
      </c>
      <c r="T16" s="90">
        <v>0</v>
      </c>
      <c r="U16" s="83">
        <f t="shared" si="36"/>
        <v>332.22419999999994</v>
      </c>
      <c r="V16" s="90">
        <f t="shared" ca="1" si="3"/>
        <v>0</v>
      </c>
      <c r="W16" s="90">
        <f t="shared" ca="1" si="4"/>
        <v>0</v>
      </c>
      <c r="X16" s="83">
        <f t="shared" ca="1" si="37"/>
        <v>0</v>
      </c>
      <c r="Y16" s="90">
        <f t="shared" ca="1" si="38"/>
        <v>0</v>
      </c>
      <c r="Z16" s="90">
        <f t="shared" ca="1" si="39"/>
        <v>0</v>
      </c>
      <c r="AA16" s="83">
        <f t="shared" ca="1" si="40"/>
        <v>0</v>
      </c>
      <c r="AB16" s="83">
        <f t="shared" ca="1" si="41"/>
        <v>0</v>
      </c>
      <c r="AC16" s="83">
        <f t="shared" ca="1" si="42"/>
        <v>0</v>
      </c>
      <c r="AD16" s="83">
        <f t="shared" ca="1" si="43"/>
        <v>0</v>
      </c>
      <c r="AE16" s="90">
        <f t="shared" ca="1" si="44"/>
        <v>0</v>
      </c>
      <c r="AF16" s="90">
        <f t="shared" ca="1" si="45"/>
        <v>0</v>
      </c>
      <c r="AG16" s="83">
        <f t="shared" ca="1" si="46"/>
        <v>0</v>
      </c>
      <c r="AH16" s="90">
        <f t="shared" ca="1" si="47"/>
        <v>0</v>
      </c>
      <c r="AI16" s="90">
        <v>0</v>
      </c>
      <c r="AJ16" s="83">
        <f t="shared" ca="1" si="48"/>
        <v>0</v>
      </c>
      <c r="AK16" s="90">
        <f t="shared" ca="1" si="49"/>
        <v>0</v>
      </c>
      <c r="AL16" s="90">
        <v>0</v>
      </c>
      <c r="AM16" s="83">
        <f t="shared" ca="1" si="50"/>
        <v>0</v>
      </c>
      <c r="AN16" s="83">
        <f t="shared" ca="1" si="51"/>
        <v>332.22419999999994</v>
      </c>
      <c r="AO16" s="83">
        <f t="shared" ca="1" si="52"/>
        <v>0</v>
      </c>
      <c r="AP16" s="83">
        <f t="shared" ca="1" si="53"/>
        <v>332.22419999999994</v>
      </c>
      <c r="AQ16" s="90">
        <f t="shared" ca="1" si="54"/>
        <v>0</v>
      </c>
      <c r="AR16" s="90">
        <v>0</v>
      </c>
      <c r="AS16" s="83">
        <f t="shared" ca="1" si="55"/>
        <v>0</v>
      </c>
      <c r="AT16" s="90">
        <f t="shared" ca="1" si="56"/>
        <v>0</v>
      </c>
      <c r="AU16" s="90">
        <f t="shared" ca="1" si="57"/>
        <v>0</v>
      </c>
      <c r="AV16" s="83">
        <f t="shared" ca="1" si="58"/>
        <v>0</v>
      </c>
      <c r="AW16" s="90">
        <f t="shared" ca="1" si="59"/>
        <v>0</v>
      </c>
      <c r="AX16" s="90">
        <v>0</v>
      </c>
      <c r="AY16" s="90">
        <f t="shared" ca="1" si="60"/>
        <v>0</v>
      </c>
      <c r="AZ16" s="83">
        <f t="shared" ca="1" si="61"/>
        <v>0</v>
      </c>
      <c r="BA16" s="83">
        <f t="shared" ca="1" si="62"/>
        <v>0</v>
      </c>
      <c r="BB16" s="83">
        <f t="shared" ca="1" si="63"/>
        <v>0</v>
      </c>
      <c r="BC16" s="82"/>
      <c r="BD16" s="83">
        <f t="shared" ca="1" si="64"/>
        <v>0</v>
      </c>
      <c r="BE16" s="83">
        <f t="shared" ca="1" si="69"/>
        <v>22.148279999999996</v>
      </c>
      <c r="BF16" s="82"/>
      <c r="BG16" s="83">
        <f t="shared" ca="1" si="65"/>
        <v>0</v>
      </c>
      <c r="BH16" s="91">
        <f t="shared" ca="1" si="66"/>
        <v>0</v>
      </c>
      <c r="BI16" s="82"/>
      <c r="BJ16" s="83">
        <f>IF(Nomina!I16=$R$3,0,IF(F16=0,0,BD16+BG16))</f>
        <v>0</v>
      </c>
      <c r="BK16" s="83">
        <f t="shared" ca="1" si="67"/>
        <v>0</v>
      </c>
    </row>
    <row r="17" spans="1:63" x14ac:dyDescent="0.25">
      <c r="A17" s="82">
        <f>+Nomina!B17</f>
        <v>11</v>
      </c>
      <c r="B17" s="83" t="str">
        <f>Nomina!C17&amp;" "&amp;Nomina!D17</f>
        <v xml:space="preserve"> </v>
      </c>
      <c r="C17" s="84">
        <v>15</v>
      </c>
      <c r="D17" s="84">
        <v>61</v>
      </c>
      <c r="E17" s="83"/>
      <c r="F17" s="85">
        <f>Nomina!P17*(30.4/30)</f>
        <v>0</v>
      </c>
      <c r="G17" s="85">
        <f>IF(F17=0,0,LOOKUP(F17,Tablas!$A$4:'Tablas'!$D$14,Tablas!$A$4:'Tablas'!$A$14))</f>
        <v>0</v>
      </c>
      <c r="H17" s="85">
        <f t="shared" si="33"/>
        <v>0</v>
      </c>
      <c r="I17" s="86">
        <f>IF(F17=0,0,LOOKUP(F17,Tablas!$A$4:'Tablas'!$D$14,Tablas!$D$4:'Tablas'!$D$14))</f>
        <v>0</v>
      </c>
      <c r="J17" s="85">
        <f t="shared" si="34"/>
        <v>0</v>
      </c>
      <c r="K17" s="85">
        <f>IF(F17=0,0,LOOKUP(F17,Tablas!$A$4:'Tablas'!$D$14,Tablas!$C$4:'Tablas'!$C$14))</f>
        <v>0</v>
      </c>
      <c r="L17" s="85">
        <f t="shared" si="35"/>
        <v>0</v>
      </c>
      <c r="M17" s="85">
        <f>IF(F17=0,0,LOOKUP(F17,Tablas!$A$20:'Tablas'!$C$30,Tablas!$C$20:'Tablas'!$C$30))</f>
        <v>0</v>
      </c>
      <c r="N17" s="85">
        <f t="shared" si="68"/>
        <v>0</v>
      </c>
      <c r="O17" s="85">
        <f>IF(F17&lt;Tablas!$B$20,M17,0)</f>
        <v>0</v>
      </c>
      <c r="P17" s="90"/>
      <c r="Q17" s="88">
        <f ca="1">IF(Nomina!F17="",0,(VLOOKUP((ROUNDUP(((TODAY()-Nomina!F17)/365),0)),Tablas!$F$4:$I$23,4)))</f>
        <v>0</v>
      </c>
      <c r="R17" s="89">
        <f ca="1">IF(Nomina!I17*Q17&gt;($R$3*25),$R$3*25,Nomina!I17*Q17)</f>
        <v>0</v>
      </c>
      <c r="S17" s="90">
        <f t="shared" si="70"/>
        <v>332.22419999999994</v>
      </c>
      <c r="T17" s="90">
        <v>0</v>
      </c>
      <c r="U17" s="83">
        <f t="shared" si="36"/>
        <v>332.22419999999994</v>
      </c>
      <c r="V17" s="90">
        <f t="shared" ca="1" si="3"/>
        <v>0</v>
      </c>
      <c r="W17" s="90">
        <f t="shared" ca="1" si="4"/>
        <v>0</v>
      </c>
      <c r="X17" s="83">
        <f t="shared" ca="1" si="37"/>
        <v>0</v>
      </c>
      <c r="Y17" s="90">
        <f t="shared" ca="1" si="38"/>
        <v>0</v>
      </c>
      <c r="Z17" s="90">
        <f t="shared" ca="1" si="39"/>
        <v>0</v>
      </c>
      <c r="AA17" s="83">
        <f t="shared" ca="1" si="40"/>
        <v>0</v>
      </c>
      <c r="AB17" s="83">
        <f t="shared" ca="1" si="41"/>
        <v>0</v>
      </c>
      <c r="AC17" s="83">
        <f t="shared" ca="1" si="42"/>
        <v>0</v>
      </c>
      <c r="AD17" s="83">
        <f t="shared" ca="1" si="43"/>
        <v>0</v>
      </c>
      <c r="AE17" s="90">
        <f t="shared" ca="1" si="44"/>
        <v>0</v>
      </c>
      <c r="AF17" s="90">
        <f t="shared" ca="1" si="45"/>
        <v>0</v>
      </c>
      <c r="AG17" s="83">
        <f t="shared" ca="1" si="46"/>
        <v>0</v>
      </c>
      <c r="AH17" s="90">
        <f t="shared" ca="1" si="47"/>
        <v>0</v>
      </c>
      <c r="AI17" s="90">
        <v>0</v>
      </c>
      <c r="AJ17" s="83">
        <f t="shared" ca="1" si="48"/>
        <v>0</v>
      </c>
      <c r="AK17" s="90">
        <f t="shared" ca="1" si="49"/>
        <v>0</v>
      </c>
      <c r="AL17" s="90">
        <v>0</v>
      </c>
      <c r="AM17" s="83">
        <f t="shared" ca="1" si="50"/>
        <v>0</v>
      </c>
      <c r="AN17" s="83">
        <f t="shared" ca="1" si="51"/>
        <v>332.22419999999994</v>
      </c>
      <c r="AO17" s="83">
        <f t="shared" ca="1" si="52"/>
        <v>0</v>
      </c>
      <c r="AP17" s="83">
        <f t="shared" ca="1" si="53"/>
        <v>332.22419999999994</v>
      </c>
      <c r="AQ17" s="90">
        <f t="shared" ca="1" si="54"/>
        <v>0</v>
      </c>
      <c r="AR17" s="90">
        <v>0</v>
      </c>
      <c r="AS17" s="83">
        <f t="shared" ca="1" si="55"/>
        <v>0</v>
      </c>
      <c r="AT17" s="90">
        <f t="shared" ca="1" si="56"/>
        <v>0</v>
      </c>
      <c r="AU17" s="90">
        <f t="shared" ca="1" si="57"/>
        <v>0</v>
      </c>
      <c r="AV17" s="83">
        <f t="shared" ca="1" si="58"/>
        <v>0</v>
      </c>
      <c r="AW17" s="90">
        <f t="shared" ca="1" si="59"/>
        <v>0</v>
      </c>
      <c r="AX17" s="90">
        <v>0</v>
      </c>
      <c r="AY17" s="90">
        <f t="shared" ca="1" si="60"/>
        <v>0</v>
      </c>
      <c r="AZ17" s="83">
        <f t="shared" ca="1" si="61"/>
        <v>0</v>
      </c>
      <c r="BA17" s="83">
        <f t="shared" ca="1" si="62"/>
        <v>0</v>
      </c>
      <c r="BB17" s="83">
        <f t="shared" ca="1" si="63"/>
        <v>0</v>
      </c>
      <c r="BC17" s="82"/>
      <c r="BD17" s="83">
        <f t="shared" ca="1" si="64"/>
        <v>0</v>
      </c>
      <c r="BE17" s="83">
        <f t="shared" ca="1" si="69"/>
        <v>22.148279999999996</v>
      </c>
      <c r="BF17" s="82"/>
      <c r="BG17" s="83">
        <f t="shared" ca="1" si="65"/>
        <v>0</v>
      </c>
      <c r="BH17" s="91">
        <f t="shared" ca="1" si="66"/>
        <v>0</v>
      </c>
      <c r="BI17" s="82"/>
      <c r="BJ17" s="83">
        <f>IF(Nomina!I17=$R$3,0,IF(F17=0,0,BD17+BG17))</f>
        <v>0</v>
      </c>
      <c r="BK17" s="83">
        <f t="shared" ca="1" si="67"/>
        <v>0</v>
      </c>
    </row>
    <row r="18" spans="1:63" x14ac:dyDescent="0.25">
      <c r="A18" s="82">
        <f>+Nomina!B18</f>
        <v>12</v>
      </c>
      <c r="B18" s="83" t="str">
        <f>Nomina!C18&amp;" "&amp;Nomina!D18</f>
        <v xml:space="preserve"> </v>
      </c>
      <c r="C18" s="84">
        <v>15</v>
      </c>
      <c r="D18" s="84">
        <v>61</v>
      </c>
      <c r="E18" s="83"/>
      <c r="F18" s="85">
        <f>Nomina!P18*(30.4/30)</f>
        <v>0</v>
      </c>
      <c r="G18" s="85">
        <f>IF(F18=0,0,LOOKUP(F18,Tablas!$A$4:'Tablas'!$D$14,Tablas!$A$4:'Tablas'!$A$14))</f>
        <v>0</v>
      </c>
      <c r="H18" s="85">
        <f t="shared" si="33"/>
        <v>0</v>
      </c>
      <c r="I18" s="86">
        <f>IF(F18=0,0,LOOKUP(F18,Tablas!$A$4:'Tablas'!$D$14,Tablas!$D$4:'Tablas'!$D$14))</f>
        <v>0</v>
      </c>
      <c r="J18" s="85">
        <f t="shared" si="34"/>
        <v>0</v>
      </c>
      <c r="K18" s="85">
        <f>IF(F18=0,0,LOOKUP(F18,Tablas!$A$4:'Tablas'!$D$14,Tablas!$C$4:'Tablas'!$C$14))</f>
        <v>0</v>
      </c>
      <c r="L18" s="85">
        <f t="shared" si="35"/>
        <v>0</v>
      </c>
      <c r="M18" s="85">
        <f>IF(F18=0,0,LOOKUP(F18,Tablas!$A$20:'Tablas'!$C$30,Tablas!$C$20:'Tablas'!$C$30))</f>
        <v>0</v>
      </c>
      <c r="N18" s="85">
        <f t="shared" si="68"/>
        <v>0</v>
      </c>
      <c r="O18" s="85">
        <f>IF(F18&lt;Tablas!$B$20,M18,0)</f>
        <v>0</v>
      </c>
      <c r="P18" s="90"/>
      <c r="Q18" s="88">
        <f ca="1">IF(Nomina!F18="",0,(VLOOKUP((ROUNDUP(((TODAY()-Nomina!F18)/365),0)),Tablas!$F$4:$I$23,4)))</f>
        <v>0</v>
      </c>
      <c r="R18" s="89">
        <f ca="1">IF(Nomina!I18*Q18&gt;($R$3*25),$R$3*25,Nomina!I18*Q18)</f>
        <v>0</v>
      </c>
      <c r="S18" s="90">
        <f t="shared" si="70"/>
        <v>332.22419999999994</v>
      </c>
      <c r="T18" s="90">
        <v>0</v>
      </c>
      <c r="U18" s="83">
        <f t="shared" si="36"/>
        <v>332.22419999999994</v>
      </c>
      <c r="V18" s="90">
        <f t="shared" ca="1" si="3"/>
        <v>0</v>
      </c>
      <c r="W18" s="90">
        <f t="shared" ca="1" si="4"/>
        <v>0</v>
      </c>
      <c r="X18" s="83">
        <f t="shared" ca="1" si="37"/>
        <v>0</v>
      </c>
      <c r="Y18" s="90">
        <f t="shared" ca="1" si="38"/>
        <v>0</v>
      </c>
      <c r="Z18" s="90">
        <f t="shared" ca="1" si="39"/>
        <v>0</v>
      </c>
      <c r="AA18" s="83">
        <f t="shared" ca="1" si="40"/>
        <v>0</v>
      </c>
      <c r="AB18" s="83">
        <f t="shared" ca="1" si="41"/>
        <v>0</v>
      </c>
      <c r="AC18" s="83">
        <f t="shared" ca="1" si="42"/>
        <v>0</v>
      </c>
      <c r="AD18" s="83">
        <f t="shared" ca="1" si="43"/>
        <v>0</v>
      </c>
      <c r="AE18" s="90">
        <f t="shared" ca="1" si="44"/>
        <v>0</v>
      </c>
      <c r="AF18" s="90">
        <f t="shared" ca="1" si="45"/>
        <v>0</v>
      </c>
      <c r="AG18" s="83">
        <f t="shared" ca="1" si="46"/>
        <v>0</v>
      </c>
      <c r="AH18" s="90">
        <f t="shared" ca="1" si="47"/>
        <v>0</v>
      </c>
      <c r="AI18" s="90">
        <v>0</v>
      </c>
      <c r="AJ18" s="83">
        <f t="shared" ca="1" si="48"/>
        <v>0</v>
      </c>
      <c r="AK18" s="90">
        <f t="shared" ca="1" si="49"/>
        <v>0</v>
      </c>
      <c r="AL18" s="90">
        <v>0</v>
      </c>
      <c r="AM18" s="83">
        <f t="shared" ca="1" si="50"/>
        <v>0</v>
      </c>
      <c r="AN18" s="83">
        <f t="shared" ca="1" si="51"/>
        <v>332.22419999999994</v>
      </c>
      <c r="AO18" s="83">
        <f t="shared" ca="1" si="52"/>
        <v>0</v>
      </c>
      <c r="AP18" s="83">
        <f t="shared" ca="1" si="53"/>
        <v>332.22419999999994</v>
      </c>
      <c r="AQ18" s="90">
        <f t="shared" ca="1" si="54"/>
        <v>0</v>
      </c>
      <c r="AR18" s="90">
        <v>0</v>
      </c>
      <c r="AS18" s="83">
        <f t="shared" ca="1" si="55"/>
        <v>0</v>
      </c>
      <c r="AT18" s="90">
        <f t="shared" ca="1" si="56"/>
        <v>0</v>
      </c>
      <c r="AU18" s="90">
        <f t="shared" ca="1" si="57"/>
        <v>0</v>
      </c>
      <c r="AV18" s="83">
        <f t="shared" ca="1" si="58"/>
        <v>0</v>
      </c>
      <c r="AW18" s="90">
        <f t="shared" ca="1" si="59"/>
        <v>0</v>
      </c>
      <c r="AX18" s="90">
        <v>0</v>
      </c>
      <c r="AY18" s="90">
        <f t="shared" ca="1" si="60"/>
        <v>0</v>
      </c>
      <c r="AZ18" s="83">
        <f t="shared" ca="1" si="61"/>
        <v>0</v>
      </c>
      <c r="BA18" s="83">
        <f t="shared" ca="1" si="62"/>
        <v>0</v>
      </c>
      <c r="BB18" s="83">
        <f t="shared" ca="1" si="63"/>
        <v>0</v>
      </c>
      <c r="BC18" s="82"/>
      <c r="BD18" s="83">
        <f t="shared" ca="1" si="64"/>
        <v>0</v>
      </c>
      <c r="BE18" s="83">
        <f t="shared" ca="1" si="69"/>
        <v>22.148279999999996</v>
      </c>
      <c r="BF18" s="82"/>
      <c r="BG18" s="83">
        <f t="shared" ca="1" si="65"/>
        <v>0</v>
      </c>
      <c r="BH18" s="91">
        <f t="shared" ca="1" si="66"/>
        <v>0</v>
      </c>
      <c r="BI18" s="82"/>
      <c r="BJ18" s="83">
        <f>IF(Nomina!I18=$R$3,0,IF(F18=0,0,BD18+BG18))</f>
        <v>0</v>
      </c>
      <c r="BK18" s="83">
        <f t="shared" ca="1" si="67"/>
        <v>0</v>
      </c>
    </row>
    <row r="19" spans="1:63" x14ac:dyDescent="0.25">
      <c r="A19" s="82">
        <f>+Nomina!B19</f>
        <v>13</v>
      </c>
      <c r="B19" s="83" t="str">
        <f>Nomina!C19&amp;" "&amp;Nomina!D19</f>
        <v xml:space="preserve"> </v>
      </c>
      <c r="C19" s="84">
        <v>15</v>
      </c>
      <c r="D19" s="84">
        <v>61</v>
      </c>
      <c r="E19" s="83"/>
      <c r="F19" s="85">
        <f>Nomina!P19*(30.4/30)</f>
        <v>0</v>
      </c>
      <c r="G19" s="85">
        <f>IF(F19=0,0,LOOKUP(F19,Tablas!$A$4:'Tablas'!$D$14,Tablas!$A$4:'Tablas'!$A$14))</f>
        <v>0</v>
      </c>
      <c r="H19" s="85">
        <f t="shared" si="33"/>
        <v>0</v>
      </c>
      <c r="I19" s="86">
        <f>IF(F19=0,0,LOOKUP(F19,Tablas!$A$4:'Tablas'!$D$14,Tablas!$D$4:'Tablas'!$D$14))</f>
        <v>0</v>
      </c>
      <c r="J19" s="85">
        <f t="shared" si="34"/>
        <v>0</v>
      </c>
      <c r="K19" s="85">
        <f>IF(F19=0,0,LOOKUP(F19,Tablas!$A$4:'Tablas'!$D$14,Tablas!$C$4:'Tablas'!$C$14))</f>
        <v>0</v>
      </c>
      <c r="L19" s="85">
        <f t="shared" si="35"/>
        <v>0</v>
      </c>
      <c r="M19" s="85">
        <f>IF(F19=0,0,LOOKUP(F19,Tablas!$A$20:'Tablas'!$C$30,Tablas!$C$20:'Tablas'!$C$30))</f>
        <v>0</v>
      </c>
      <c r="N19" s="85">
        <f t="shared" si="68"/>
        <v>0</v>
      </c>
      <c r="O19" s="85">
        <f>IF(F19&lt;Tablas!$B$20,M19,0)</f>
        <v>0</v>
      </c>
      <c r="P19" s="90"/>
      <c r="Q19" s="88">
        <f ca="1">IF(Nomina!F19="",0,(VLOOKUP((ROUNDUP(((TODAY()-Nomina!F19)/365),0)),Tablas!$F$4:$I$23,4)))</f>
        <v>0</v>
      </c>
      <c r="R19" s="89">
        <f ca="1">IF(Nomina!I19*Q19&gt;($R$3*25),$R$3*25,Nomina!I19*Q19)</f>
        <v>0</v>
      </c>
      <c r="S19" s="90">
        <f t="shared" si="70"/>
        <v>332.22419999999994</v>
      </c>
      <c r="T19" s="90">
        <v>0</v>
      </c>
      <c r="U19" s="83">
        <f t="shared" si="36"/>
        <v>332.22419999999994</v>
      </c>
      <c r="V19" s="90">
        <f t="shared" ca="1" si="3"/>
        <v>0</v>
      </c>
      <c r="W19" s="90">
        <f t="shared" ca="1" si="4"/>
        <v>0</v>
      </c>
      <c r="X19" s="83">
        <f t="shared" ca="1" si="37"/>
        <v>0</v>
      </c>
      <c r="Y19" s="90">
        <f t="shared" ca="1" si="38"/>
        <v>0</v>
      </c>
      <c r="Z19" s="90">
        <f t="shared" ca="1" si="39"/>
        <v>0</v>
      </c>
      <c r="AA19" s="83">
        <f t="shared" ca="1" si="40"/>
        <v>0</v>
      </c>
      <c r="AB19" s="83">
        <f t="shared" ca="1" si="41"/>
        <v>0</v>
      </c>
      <c r="AC19" s="83">
        <f t="shared" ca="1" si="42"/>
        <v>0</v>
      </c>
      <c r="AD19" s="83">
        <f t="shared" ca="1" si="43"/>
        <v>0</v>
      </c>
      <c r="AE19" s="90">
        <f t="shared" ca="1" si="44"/>
        <v>0</v>
      </c>
      <c r="AF19" s="90">
        <f t="shared" ca="1" si="45"/>
        <v>0</v>
      </c>
      <c r="AG19" s="83">
        <f t="shared" ca="1" si="46"/>
        <v>0</v>
      </c>
      <c r="AH19" s="90">
        <f t="shared" ca="1" si="47"/>
        <v>0</v>
      </c>
      <c r="AI19" s="90">
        <v>0</v>
      </c>
      <c r="AJ19" s="83">
        <f t="shared" ca="1" si="48"/>
        <v>0</v>
      </c>
      <c r="AK19" s="90">
        <f t="shared" ca="1" si="49"/>
        <v>0</v>
      </c>
      <c r="AL19" s="90">
        <v>0</v>
      </c>
      <c r="AM19" s="83">
        <f t="shared" ca="1" si="50"/>
        <v>0</v>
      </c>
      <c r="AN19" s="83">
        <f t="shared" ca="1" si="51"/>
        <v>332.22419999999994</v>
      </c>
      <c r="AO19" s="83">
        <f t="shared" ca="1" si="52"/>
        <v>0</v>
      </c>
      <c r="AP19" s="83">
        <f t="shared" ca="1" si="53"/>
        <v>332.22419999999994</v>
      </c>
      <c r="AQ19" s="90">
        <f t="shared" ca="1" si="54"/>
        <v>0</v>
      </c>
      <c r="AR19" s="90">
        <v>0</v>
      </c>
      <c r="AS19" s="83">
        <f t="shared" ca="1" si="55"/>
        <v>0</v>
      </c>
      <c r="AT19" s="90">
        <f t="shared" ca="1" si="56"/>
        <v>0</v>
      </c>
      <c r="AU19" s="90">
        <f t="shared" ca="1" si="57"/>
        <v>0</v>
      </c>
      <c r="AV19" s="83">
        <f t="shared" ca="1" si="58"/>
        <v>0</v>
      </c>
      <c r="AW19" s="90">
        <f t="shared" ca="1" si="59"/>
        <v>0</v>
      </c>
      <c r="AX19" s="90">
        <v>0</v>
      </c>
      <c r="AY19" s="90">
        <f t="shared" ca="1" si="60"/>
        <v>0</v>
      </c>
      <c r="AZ19" s="83">
        <f t="shared" ca="1" si="61"/>
        <v>0</v>
      </c>
      <c r="BA19" s="83">
        <f t="shared" ca="1" si="62"/>
        <v>0</v>
      </c>
      <c r="BB19" s="83">
        <f t="shared" ca="1" si="63"/>
        <v>0</v>
      </c>
      <c r="BC19" s="82"/>
      <c r="BD19" s="83">
        <f t="shared" ca="1" si="64"/>
        <v>0</v>
      </c>
      <c r="BE19" s="83">
        <f t="shared" ca="1" si="69"/>
        <v>22.148279999999996</v>
      </c>
      <c r="BF19" s="82"/>
      <c r="BG19" s="83">
        <f t="shared" ca="1" si="65"/>
        <v>0</v>
      </c>
      <c r="BH19" s="91">
        <f t="shared" ca="1" si="66"/>
        <v>0</v>
      </c>
      <c r="BI19" s="82"/>
      <c r="BJ19" s="83">
        <f>IF(Nomina!I19=$R$3,0,IF(F19=0,0,BD19+BG19))</f>
        <v>0</v>
      </c>
      <c r="BK19" s="83">
        <f t="shared" ca="1" si="67"/>
        <v>0</v>
      </c>
    </row>
    <row r="20" spans="1:63" x14ac:dyDescent="0.25">
      <c r="A20" s="82">
        <f>+Nomina!B20</f>
        <v>14</v>
      </c>
      <c r="B20" s="83" t="str">
        <f>Nomina!C20&amp;" "&amp;Nomina!D20</f>
        <v xml:space="preserve"> </v>
      </c>
      <c r="C20" s="84">
        <v>15</v>
      </c>
      <c r="D20" s="84">
        <v>61</v>
      </c>
      <c r="E20" s="83"/>
      <c r="F20" s="85">
        <f>Nomina!P20*(30.4/30)</f>
        <v>0</v>
      </c>
      <c r="G20" s="85">
        <f>IF(F20=0,0,LOOKUP(F20,Tablas!$A$4:'Tablas'!$D$14,Tablas!$A$4:'Tablas'!$A$14))</f>
        <v>0</v>
      </c>
      <c r="H20" s="85">
        <f t="shared" si="33"/>
        <v>0</v>
      </c>
      <c r="I20" s="86">
        <f>IF(F20=0,0,LOOKUP(F20,Tablas!$A$4:'Tablas'!$D$14,Tablas!$D$4:'Tablas'!$D$14))</f>
        <v>0</v>
      </c>
      <c r="J20" s="85">
        <f t="shared" si="34"/>
        <v>0</v>
      </c>
      <c r="K20" s="85">
        <f>IF(F20=0,0,LOOKUP(F20,Tablas!$A$4:'Tablas'!$D$14,Tablas!$C$4:'Tablas'!$C$14))</f>
        <v>0</v>
      </c>
      <c r="L20" s="85">
        <f t="shared" si="35"/>
        <v>0</v>
      </c>
      <c r="M20" s="85">
        <f>IF(F20=0,0,LOOKUP(F20,Tablas!$A$20:'Tablas'!$C$30,Tablas!$C$20:'Tablas'!$C$30))</f>
        <v>0</v>
      </c>
      <c r="N20" s="85">
        <f t="shared" si="68"/>
        <v>0</v>
      </c>
      <c r="O20" s="85">
        <f>IF(F20&lt;Tablas!$B$20,M20,0)</f>
        <v>0</v>
      </c>
      <c r="P20" s="90"/>
      <c r="Q20" s="88">
        <f ca="1">IF(Nomina!F20="",0,(VLOOKUP((ROUNDUP(((TODAY()-Nomina!F20)/365),0)),Tablas!$F$4:$I$23,4)))</f>
        <v>0</v>
      </c>
      <c r="R20" s="89">
        <f ca="1">IF(Nomina!I20*Q20&gt;($R$3*25),$R$3*25,Nomina!I20*Q20)</f>
        <v>0</v>
      </c>
      <c r="S20" s="90">
        <f t="shared" si="70"/>
        <v>332.22419999999994</v>
      </c>
      <c r="T20" s="90">
        <v>0</v>
      </c>
      <c r="U20" s="83">
        <f t="shared" si="36"/>
        <v>332.22419999999994</v>
      </c>
      <c r="V20" s="90">
        <f t="shared" ca="1" si="3"/>
        <v>0</v>
      </c>
      <c r="W20" s="90">
        <f t="shared" ca="1" si="4"/>
        <v>0</v>
      </c>
      <c r="X20" s="83">
        <f t="shared" ca="1" si="37"/>
        <v>0</v>
      </c>
      <c r="Y20" s="90">
        <f t="shared" ca="1" si="38"/>
        <v>0</v>
      </c>
      <c r="Z20" s="90">
        <f t="shared" ca="1" si="39"/>
        <v>0</v>
      </c>
      <c r="AA20" s="83">
        <f t="shared" ca="1" si="40"/>
        <v>0</v>
      </c>
      <c r="AB20" s="83">
        <f t="shared" ca="1" si="41"/>
        <v>0</v>
      </c>
      <c r="AC20" s="83">
        <f t="shared" ca="1" si="42"/>
        <v>0</v>
      </c>
      <c r="AD20" s="83">
        <f t="shared" ca="1" si="43"/>
        <v>0</v>
      </c>
      <c r="AE20" s="90">
        <f t="shared" ca="1" si="44"/>
        <v>0</v>
      </c>
      <c r="AF20" s="90">
        <f t="shared" ca="1" si="45"/>
        <v>0</v>
      </c>
      <c r="AG20" s="83">
        <f t="shared" ca="1" si="46"/>
        <v>0</v>
      </c>
      <c r="AH20" s="90">
        <f t="shared" ca="1" si="47"/>
        <v>0</v>
      </c>
      <c r="AI20" s="90">
        <v>0</v>
      </c>
      <c r="AJ20" s="83">
        <f t="shared" ca="1" si="48"/>
        <v>0</v>
      </c>
      <c r="AK20" s="90">
        <f t="shared" ca="1" si="49"/>
        <v>0</v>
      </c>
      <c r="AL20" s="90">
        <v>0</v>
      </c>
      <c r="AM20" s="83">
        <f t="shared" ca="1" si="50"/>
        <v>0</v>
      </c>
      <c r="AN20" s="83">
        <f t="shared" ca="1" si="51"/>
        <v>332.22419999999994</v>
      </c>
      <c r="AO20" s="83">
        <f t="shared" ca="1" si="52"/>
        <v>0</v>
      </c>
      <c r="AP20" s="83">
        <f t="shared" ca="1" si="53"/>
        <v>332.22419999999994</v>
      </c>
      <c r="AQ20" s="90">
        <f t="shared" ca="1" si="54"/>
        <v>0</v>
      </c>
      <c r="AR20" s="90">
        <v>0</v>
      </c>
      <c r="AS20" s="83">
        <f t="shared" ca="1" si="55"/>
        <v>0</v>
      </c>
      <c r="AT20" s="90">
        <f t="shared" ca="1" si="56"/>
        <v>0</v>
      </c>
      <c r="AU20" s="90">
        <f t="shared" ca="1" si="57"/>
        <v>0</v>
      </c>
      <c r="AV20" s="83">
        <f t="shared" ca="1" si="58"/>
        <v>0</v>
      </c>
      <c r="AW20" s="90">
        <f t="shared" ca="1" si="59"/>
        <v>0</v>
      </c>
      <c r="AX20" s="90">
        <v>0</v>
      </c>
      <c r="AY20" s="90">
        <f t="shared" ca="1" si="60"/>
        <v>0</v>
      </c>
      <c r="AZ20" s="83">
        <f t="shared" ca="1" si="61"/>
        <v>0</v>
      </c>
      <c r="BA20" s="83">
        <f t="shared" ca="1" si="62"/>
        <v>0</v>
      </c>
      <c r="BB20" s="83">
        <f t="shared" ca="1" si="63"/>
        <v>0</v>
      </c>
      <c r="BC20" s="82"/>
      <c r="BD20" s="83">
        <f t="shared" ca="1" si="64"/>
        <v>0</v>
      </c>
      <c r="BE20" s="83">
        <f t="shared" ca="1" si="69"/>
        <v>22.148279999999996</v>
      </c>
      <c r="BF20" s="82"/>
      <c r="BG20" s="83">
        <f t="shared" ca="1" si="65"/>
        <v>0</v>
      </c>
      <c r="BH20" s="91">
        <f t="shared" ca="1" si="66"/>
        <v>0</v>
      </c>
      <c r="BI20" s="82"/>
      <c r="BJ20" s="83">
        <f>IF(Nomina!I20=$R$3,0,IF(F20=0,0,BD20+BG20))</f>
        <v>0</v>
      </c>
      <c r="BK20" s="83">
        <f t="shared" ca="1" si="67"/>
        <v>0</v>
      </c>
    </row>
    <row r="21" spans="1:63" x14ac:dyDescent="0.25">
      <c r="A21" s="82">
        <f>+Nomina!B21</f>
        <v>15</v>
      </c>
      <c r="B21" s="83" t="str">
        <f>Nomina!C21&amp;" "&amp;Nomina!D21</f>
        <v xml:space="preserve"> </v>
      </c>
      <c r="C21" s="84">
        <v>15</v>
      </c>
      <c r="D21" s="84">
        <v>61</v>
      </c>
      <c r="E21" s="83"/>
      <c r="F21" s="85">
        <f>Nomina!P21*(30.4/30)</f>
        <v>0</v>
      </c>
      <c r="G21" s="85">
        <f>IF(F21=0,0,LOOKUP(F21,Tablas!$A$4:'Tablas'!$D$14,Tablas!$A$4:'Tablas'!$A$14))</f>
        <v>0</v>
      </c>
      <c r="H21" s="85">
        <f t="shared" si="33"/>
        <v>0</v>
      </c>
      <c r="I21" s="86">
        <f>IF(F21=0,0,LOOKUP(F21,Tablas!$A$4:'Tablas'!$D$14,Tablas!$D$4:'Tablas'!$D$14))</f>
        <v>0</v>
      </c>
      <c r="J21" s="85">
        <f t="shared" si="34"/>
        <v>0</v>
      </c>
      <c r="K21" s="85">
        <f>IF(F21=0,0,LOOKUP(F21,Tablas!$A$4:'Tablas'!$D$14,Tablas!$C$4:'Tablas'!$C$14))</f>
        <v>0</v>
      </c>
      <c r="L21" s="85">
        <f t="shared" si="35"/>
        <v>0</v>
      </c>
      <c r="M21" s="85">
        <f>IF(F21=0,0,LOOKUP(F21,Tablas!$A$20:'Tablas'!$C$30,Tablas!$C$20:'Tablas'!$C$30))</f>
        <v>0</v>
      </c>
      <c r="N21" s="85">
        <f t="shared" si="68"/>
        <v>0</v>
      </c>
      <c r="O21" s="85">
        <f>IF(F21&lt;Tablas!$B$20,M21,0)</f>
        <v>0</v>
      </c>
      <c r="P21" s="90"/>
      <c r="Q21" s="88">
        <f ca="1">IF(Nomina!F21="",0,(VLOOKUP((ROUNDUP(((TODAY()-Nomina!F21)/365),0)),Tablas!$F$4:$I$23,4)))</f>
        <v>0</v>
      </c>
      <c r="R21" s="89">
        <f ca="1">IF(Nomina!I21*Q21&gt;($R$3*25),$R$3*25,Nomina!I21*Q21)</f>
        <v>0</v>
      </c>
      <c r="S21" s="90">
        <f t="shared" si="70"/>
        <v>332.22419999999994</v>
      </c>
      <c r="T21" s="90">
        <v>0</v>
      </c>
      <c r="U21" s="83">
        <f t="shared" si="36"/>
        <v>332.22419999999994</v>
      </c>
      <c r="V21" s="90">
        <f t="shared" ca="1" si="3"/>
        <v>0</v>
      </c>
      <c r="W21" s="90">
        <f t="shared" ca="1" si="4"/>
        <v>0</v>
      </c>
      <c r="X21" s="83">
        <f t="shared" ca="1" si="37"/>
        <v>0</v>
      </c>
      <c r="Y21" s="90">
        <f t="shared" ca="1" si="38"/>
        <v>0</v>
      </c>
      <c r="Z21" s="90">
        <f t="shared" ca="1" si="39"/>
        <v>0</v>
      </c>
      <c r="AA21" s="83">
        <f t="shared" ca="1" si="40"/>
        <v>0</v>
      </c>
      <c r="AB21" s="83">
        <f t="shared" ca="1" si="41"/>
        <v>0</v>
      </c>
      <c r="AC21" s="83">
        <f t="shared" ca="1" si="42"/>
        <v>0</v>
      </c>
      <c r="AD21" s="83">
        <f t="shared" ca="1" si="43"/>
        <v>0</v>
      </c>
      <c r="AE21" s="90">
        <f t="shared" ca="1" si="44"/>
        <v>0</v>
      </c>
      <c r="AF21" s="90">
        <f t="shared" ca="1" si="45"/>
        <v>0</v>
      </c>
      <c r="AG21" s="83">
        <f t="shared" ca="1" si="46"/>
        <v>0</v>
      </c>
      <c r="AH21" s="90">
        <f t="shared" ca="1" si="47"/>
        <v>0</v>
      </c>
      <c r="AI21" s="90">
        <v>0</v>
      </c>
      <c r="AJ21" s="83">
        <f t="shared" ca="1" si="48"/>
        <v>0</v>
      </c>
      <c r="AK21" s="90">
        <f t="shared" ca="1" si="49"/>
        <v>0</v>
      </c>
      <c r="AL21" s="90">
        <v>0</v>
      </c>
      <c r="AM21" s="83">
        <f t="shared" ca="1" si="50"/>
        <v>0</v>
      </c>
      <c r="AN21" s="83">
        <f t="shared" ca="1" si="51"/>
        <v>332.22419999999994</v>
      </c>
      <c r="AO21" s="83">
        <f t="shared" ca="1" si="52"/>
        <v>0</v>
      </c>
      <c r="AP21" s="83">
        <f t="shared" ca="1" si="53"/>
        <v>332.22419999999994</v>
      </c>
      <c r="AQ21" s="90">
        <f t="shared" ca="1" si="54"/>
        <v>0</v>
      </c>
      <c r="AR21" s="90">
        <v>0</v>
      </c>
      <c r="AS21" s="83">
        <f t="shared" ca="1" si="55"/>
        <v>0</v>
      </c>
      <c r="AT21" s="90">
        <f t="shared" ca="1" si="56"/>
        <v>0</v>
      </c>
      <c r="AU21" s="90">
        <f t="shared" ca="1" si="57"/>
        <v>0</v>
      </c>
      <c r="AV21" s="83">
        <f t="shared" ca="1" si="58"/>
        <v>0</v>
      </c>
      <c r="AW21" s="90">
        <f t="shared" ca="1" si="59"/>
        <v>0</v>
      </c>
      <c r="AX21" s="90">
        <v>0</v>
      </c>
      <c r="AY21" s="90">
        <f t="shared" ca="1" si="60"/>
        <v>0</v>
      </c>
      <c r="AZ21" s="83">
        <f t="shared" ca="1" si="61"/>
        <v>0</v>
      </c>
      <c r="BA21" s="83">
        <f t="shared" ca="1" si="62"/>
        <v>0</v>
      </c>
      <c r="BB21" s="83">
        <f t="shared" ca="1" si="63"/>
        <v>0</v>
      </c>
      <c r="BC21" s="82"/>
      <c r="BD21" s="83">
        <f t="shared" ca="1" si="64"/>
        <v>0</v>
      </c>
      <c r="BE21" s="83">
        <f t="shared" ca="1" si="69"/>
        <v>22.148279999999996</v>
      </c>
      <c r="BF21" s="82"/>
      <c r="BG21" s="83">
        <f t="shared" ca="1" si="65"/>
        <v>0</v>
      </c>
      <c r="BH21" s="91">
        <f t="shared" ca="1" si="66"/>
        <v>0</v>
      </c>
      <c r="BI21" s="82"/>
      <c r="BJ21" s="83">
        <f>IF(Nomina!I21=$R$3,0,IF(F21=0,0,BD21+BG21))</f>
        <v>0</v>
      </c>
      <c r="BK21" s="83">
        <f t="shared" ca="1" si="67"/>
        <v>0</v>
      </c>
    </row>
    <row r="22" spans="1:63" x14ac:dyDescent="0.25">
      <c r="A22" s="82">
        <f>+Nomina!B22</f>
        <v>16</v>
      </c>
      <c r="B22" s="83" t="str">
        <f>Nomina!C22&amp;" "&amp;Nomina!D22</f>
        <v xml:space="preserve"> </v>
      </c>
      <c r="C22" s="84">
        <v>15</v>
      </c>
      <c r="D22" s="84">
        <v>61</v>
      </c>
      <c r="E22" s="83"/>
      <c r="F22" s="85">
        <f>Nomina!P22*(30.4/30)</f>
        <v>0</v>
      </c>
      <c r="G22" s="85">
        <f>IF(F22=0,0,LOOKUP(F22,Tablas!$A$4:'Tablas'!$D$14,Tablas!$A$4:'Tablas'!$A$14))</f>
        <v>0</v>
      </c>
      <c r="H22" s="85">
        <f t="shared" si="33"/>
        <v>0</v>
      </c>
      <c r="I22" s="86">
        <f>IF(F22=0,0,LOOKUP(F22,Tablas!$A$4:'Tablas'!$D$14,Tablas!$D$4:'Tablas'!$D$14))</f>
        <v>0</v>
      </c>
      <c r="J22" s="85">
        <f t="shared" si="34"/>
        <v>0</v>
      </c>
      <c r="K22" s="85">
        <f>IF(F22=0,0,LOOKUP(F22,Tablas!$A$4:'Tablas'!$D$14,Tablas!$C$4:'Tablas'!$C$14))</f>
        <v>0</v>
      </c>
      <c r="L22" s="85">
        <f t="shared" si="35"/>
        <v>0</v>
      </c>
      <c r="M22" s="85">
        <f>IF(F22=0,0,LOOKUP(F22,Tablas!$A$20:'Tablas'!$C$30,Tablas!$C$20:'Tablas'!$C$30))</f>
        <v>0</v>
      </c>
      <c r="N22" s="85">
        <f t="shared" si="68"/>
        <v>0</v>
      </c>
      <c r="O22" s="85">
        <f>IF(F22&lt;Tablas!$B$20,M22,0)</f>
        <v>0</v>
      </c>
      <c r="P22" s="90"/>
      <c r="Q22" s="88">
        <f ca="1">IF(Nomina!F22="",0,(VLOOKUP((ROUNDUP(((TODAY()-Nomina!F22)/365),0)),Tablas!$F$4:$I$23,4)))</f>
        <v>0</v>
      </c>
      <c r="R22" s="89">
        <f ca="1">IF(Nomina!I22*Q22&gt;($R$3*25),$R$3*25,Nomina!I22*Q22)</f>
        <v>0</v>
      </c>
      <c r="S22" s="90">
        <f t="shared" si="70"/>
        <v>332.22419999999994</v>
      </c>
      <c r="T22" s="90">
        <v>0</v>
      </c>
      <c r="U22" s="83">
        <f t="shared" si="36"/>
        <v>332.22419999999994</v>
      </c>
      <c r="V22" s="90">
        <f t="shared" ca="1" si="3"/>
        <v>0</v>
      </c>
      <c r="W22" s="90">
        <f t="shared" ca="1" si="4"/>
        <v>0</v>
      </c>
      <c r="X22" s="83">
        <f t="shared" ca="1" si="37"/>
        <v>0</v>
      </c>
      <c r="Y22" s="90">
        <f t="shared" ca="1" si="38"/>
        <v>0</v>
      </c>
      <c r="Z22" s="90">
        <f t="shared" ca="1" si="39"/>
        <v>0</v>
      </c>
      <c r="AA22" s="83">
        <f t="shared" ca="1" si="40"/>
        <v>0</v>
      </c>
      <c r="AB22" s="83">
        <f t="shared" ca="1" si="41"/>
        <v>0</v>
      </c>
      <c r="AC22" s="83">
        <f t="shared" ca="1" si="42"/>
        <v>0</v>
      </c>
      <c r="AD22" s="83">
        <f t="shared" ca="1" si="43"/>
        <v>0</v>
      </c>
      <c r="AE22" s="90">
        <f t="shared" ca="1" si="44"/>
        <v>0</v>
      </c>
      <c r="AF22" s="90">
        <f t="shared" ca="1" si="45"/>
        <v>0</v>
      </c>
      <c r="AG22" s="83">
        <f t="shared" ca="1" si="46"/>
        <v>0</v>
      </c>
      <c r="AH22" s="90">
        <f t="shared" ca="1" si="47"/>
        <v>0</v>
      </c>
      <c r="AI22" s="90">
        <v>0</v>
      </c>
      <c r="AJ22" s="83">
        <f t="shared" ca="1" si="48"/>
        <v>0</v>
      </c>
      <c r="AK22" s="90">
        <f t="shared" ca="1" si="49"/>
        <v>0</v>
      </c>
      <c r="AL22" s="90">
        <v>0</v>
      </c>
      <c r="AM22" s="83">
        <f t="shared" ca="1" si="50"/>
        <v>0</v>
      </c>
      <c r="AN22" s="83">
        <f t="shared" ca="1" si="51"/>
        <v>332.22419999999994</v>
      </c>
      <c r="AO22" s="83">
        <f t="shared" ca="1" si="52"/>
        <v>0</v>
      </c>
      <c r="AP22" s="83">
        <f t="shared" ca="1" si="53"/>
        <v>332.22419999999994</v>
      </c>
      <c r="AQ22" s="90">
        <f t="shared" ca="1" si="54"/>
        <v>0</v>
      </c>
      <c r="AR22" s="90">
        <v>0</v>
      </c>
      <c r="AS22" s="83">
        <f t="shared" ca="1" si="55"/>
        <v>0</v>
      </c>
      <c r="AT22" s="90">
        <f t="shared" ca="1" si="56"/>
        <v>0</v>
      </c>
      <c r="AU22" s="90">
        <f t="shared" ca="1" si="57"/>
        <v>0</v>
      </c>
      <c r="AV22" s="83">
        <f t="shared" ca="1" si="58"/>
        <v>0</v>
      </c>
      <c r="AW22" s="90">
        <f t="shared" ca="1" si="59"/>
        <v>0</v>
      </c>
      <c r="AX22" s="90">
        <v>0</v>
      </c>
      <c r="AY22" s="90">
        <f t="shared" ca="1" si="60"/>
        <v>0</v>
      </c>
      <c r="AZ22" s="83">
        <f t="shared" ca="1" si="61"/>
        <v>0</v>
      </c>
      <c r="BA22" s="83">
        <f t="shared" ca="1" si="62"/>
        <v>0</v>
      </c>
      <c r="BB22" s="83">
        <f t="shared" ca="1" si="63"/>
        <v>0</v>
      </c>
      <c r="BC22" s="82"/>
      <c r="BD22" s="83">
        <f t="shared" ca="1" si="64"/>
        <v>0</v>
      </c>
      <c r="BE22" s="83">
        <f t="shared" ca="1" si="69"/>
        <v>22.148279999999996</v>
      </c>
      <c r="BF22" s="82"/>
      <c r="BG22" s="83">
        <f t="shared" ca="1" si="65"/>
        <v>0</v>
      </c>
      <c r="BH22" s="91">
        <f t="shared" ca="1" si="66"/>
        <v>0</v>
      </c>
      <c r="BI22" s="82"/>
      <c r="BJ22" s="83">
        <f>IF(Nomina!I22=$R$3,0,IF(F22=0,0,BD22+BG22))</f>
        <v>0</v>
      </c>
      <c r="BK22" s="83">
        <f t="shared" ca="1" si="67"/>
        <v>0</v>
      </c>
    </row>
    <row r="23" spans="1:63" x14ac:dyDescent="0.25">
      <c r="A23" s="82">
        <f>+Nomina!B23</f>
        <v>17</v>
      </c>
      <c r="B23" s="83" t="str">
        <f>Nomina!C23&amp;" "&amp;Nomina!D23</f>
        <v xml:space="preserve"> </v>
      </c>
      <c r="C23" s="84">
        <v>15</v>
      </c>
      <c r="D23" s="84">
        <v>61</v>
      </c>
      <c r="E23" s="83"/>
      <c r="F23" s="85">
        <f>Nomina!P23*(30.4/30)</f>
        <v>0</v>
      </c>
      <c r="G23" s="85">
        <f>IF(F23=0,0,LOOKUP(F23,Tablas!$A$4:'Tablas'!$D$14,Tablas!$A$4:'Tablas'!$A$14))</f>
        <v>0</v>
      </c>
      <c r="H23" s="85">
        <f t="shared" si="33"/>
        <v>0</v>
      </c>
      <c r="I23" s="86">
        <f>IF(F23=0,0,LOOKUP(F23,Tablas!$A$4:'Tablas'!$D$14,Tablas!$D$4:'Tablas'!$D$14))</f>
        <v>0</v>
      </c>
      <c r="J23" s="85">
        <f t="shared" si="34"/>
        <v>0</v>
      </c>
      <c r="K23" s="85">
        <f>IF(F23=0,0,LOOKUP(F23,Tablas!$A$4:'Tablas'!$D$14,Tablas!$C$4:'Tablas'!$C$14))</f>
        <v>0</v>
      </c>
      <c r="L23" s="85">
        <f t="shared" si="35"/>
        <v>0</v>
      </c>
      <c r="M23" s="85">
        <f>IF(F23=0,0,LOOKUP(F23,Tablas!$A$20:'Tablas'!$C$30,Tablas!$C$20:'Tablas'!$C$30))</f>
        <v>0</v>
      </c>
      <c r="N23" s="85">
        <f t="shared" si="68"/>
        <v>0</v>
      </c>
      <c r="O23" s="85">
        <f>IF(F23&lt;Tablas!$B$20,M23,0)</f>
        <v>0</v>
      </c>
      <c r="P23" s="90"/>
      <c r="Q23" s="88">
        <f ca="1">IF(Nomina!F23="",0,(VLOOKUP((ROUNDUP(((TODAY()-Nomina!F23)/365),0)),Tablas!$F$4:$I$23,4)))</f>
        <v>0</v>
      </c>
      <c r="R23" s="89">
        <f ca="1">IF(Nomina!I23*Q23&gt;($R$3*25),$R$3*25,Nomina!I23*Q23)</f>
        <v>0</v>
      </c>
      <c r="S23" s="90">
        <f t="shared" si="70"/>
        <v>332.22419999999994</v>
      </c>
      <c r="T23" s="90">
        <v>0</v>
      </c>
      <c r="U23" s="83">
        <f t="shared" si="36"/>
        <v>332.22419999999994</v>
      </c>
      <c r="V23" s="90">
        <f t="shared" ca="1" si="3"/>
        <v>0</v>
      </c>
      <c r="W23" s="90">
        <f t="shared" ca="1" si="4"/>
        <v>0</v>
      </c>
      <c r="X23" s="83">
        <f t="shared" ca="1" si="37"/>
        <v>0</v>
      </c>
      <c r="Y23" s="90">
        <f t="shared" ca="1" si="38"/>
        <v>0</v>
      </c>
      <c r="Z23" s="90">
        <f t="shared" ca="1" si="39"/>
        <v>0</v>
      </c>
      <c r="AA23" s="83">
        <f t="shared" ca="1" si="40"/>
        <v>0</v>
      </c>
      <c r="AB23" s="83">
        <f t="shared" ca="1" si="41"/>
        <v>0</v>
      </c>
      <c r="AC23" s="83">
        <f t="shared" ca="1" si="42"/>
        <v>0</v>
      </c>
      <c r="AD23" s="83">
        <f t="shared" ca="1" si="43"/>
        <v>0</v>
      </c>
      <c r="AE23" s="90">
        <f t="shared" ca="1" si="44"/>
        <v>0</v>
      </c>
      <c r="AF23" s="90">
        <f t="shared" ca="1" si="45"/>
        <v>0</v>
      </c>
      <c r="AG23" s="83">
        <f t="shared" ca="1" si="46"/>
        <v>0</v>
      </c>
      <c r="AH23" s="90">
        <f t="shared" ca="1" si="47"/>
        <v>0</v>
      </c>
      <c r="AI23" s="90">
        <v>0</v>
      </c>
      <c r="AJ23" s="83">
        <f t="shared" ca="1" si="48"/>
        <v>0</v>
      </c>
      <c r="AK23" s="90">
        <f t="shared" ca="1" si="49"/>
        <v>0</v>
      </c>
      <c r="AL23" s="90">
        <v>0</v>
      </c>
      <c r="AM23" s="83">
        <f t="shared" ca="1" si="50"/>
        <v>0</v>
      </c>
      <c r="AN23" s="83">
        <f t="shared" ca="1" si="51"/>
        <v>332.22419999999994</v>
      </c>
      <c r="AO23" s="83">
        <f t="shared" ca="1" si="52"/>
        <v>0</v>
      </c>
      <c r="AP23" s="83">
        <f t="shared" ca="1" si="53"/>
        <v>332.22419999999994</v>
      </c>
      <c r="AQ23" s="90">
        <f t="shared" ca="1" si="54"/>
        <v>0</v>
      </c>
      <c r="AR23" s="90">
        <v>0</v>
      </c>
      <c r="AS23" s="83">
        <f t="shared" ca="1" si="55"/>
        <v>0</v>
      </c>
      <c r="AT23" s="90">
        <f t="shared" ca="1" si="56"/>
        <v>0</v>
      </c>
      <c r="AU23" s="90">
        <f t="shared" ca="1" si="57"/>
        <v>0</v>
      </c>
      <c r="AV23" s="83">
        <f t="shared" ca="1" si="58"/>
        <v>0</v>
      </c>
      <c r="AW23" s="90">
        <f t="shared" ca="1" si="59"/>
        <v>0</v>
      </c>
      <c r="AX23" s="90">
        <v>0</v>
      </c>
      <c r="AY23" s="90">
        <f t="shared" ca="1" si="60"/>
        <v>0</v>
      </c>
      <c r="AZ23" s="83">
        <f t="shared" ca="1" si="61"/>
        <v>0</v>
      </c>
      <c r="BA23" s="83">
        <f t="shared" ca="1" si="62"/>
        <v>0</v>
      </c>
      <c r="BB23" s="83">
        <f t="shared" ca="1" si="63"/>
        <v>0</v>
      </c>
      <c r="BC23" s="82"/>
      <c r="BD23" s="83">
        <f t="shared" ca="1" si="64"/>
        <v>0</v>
      </c>
      <c r="BE23" s="83">
        <f t="shared" ca="1" si="69"/>
        <v>22.148279999999996</v>
      </c>
      <c r="BF23" s="82"/>
      <c r="BG23" s="83">
        <f t="shared" ca="1" si="65"/>
        <v>0</v>
      </c>
      <c r="BH23" s="91">
        <f t="shared" ca="1" si="66"/>
        <v>0</v>
      </c>
      <c r="BI23" s="82"/>
      <c r="BJ23" s="83">
        <f>IF(Nomina!I23=$R$3,0,IF(F23=0,0,BD23+BG23))</f>
        <v>0</v>
      </c>
      <c r="BK23" s="83">
        <f t="shared" ca="1" si="67"/>
        <v>0</v>
      </c>
    </row>
    <row r="24" spans="1:63" x14ac:dyDescent="0.25">
      <c r="A24" s="82">
        <f>+Nomina!B24</f>
        <v>18</v>
      </c>
      <c r="B24" s="83" t="str">
        <f>Nomina!C24&amp;" "&amp;Nomina!D24</f>
        <v xml:space="preserve"> </v>
      </c>
      <c r="C24" s="84">
        <v>15</v>
      </c>
      <c r="D24" s="84">
        <v>61</v>
      </c>
      <c r="E24" s="83"/>
      <c r="F24" s="85">
        <f>Nomina!P24*(30.4/30)</f>
        <v>0</v>
      </c>
      <c r="G24" s="85">
        <f>IF(F24=0,0,LOOKUP(F24,Tablas!$A$4:'Tablas'!$D$14,Tablas!$A$4:'Tablas'!$A$14))</f>
        <v>0</v>
      </c>
      <c r="H24" s="85">
        <f t="shared" si="33"/>
        <v>0</v>
      </c>
      <c r="I24" s="86">
        <f>IF(F24=0,0,LOOKUP(F24,Tablas!$A$4:'Tablas'!$D$14,Tablas!$D$4:'Tablas'!$D$14))</f>
        <v>0</v>
      </c>
      <c r="J24" s="85">
        <f t="shared" si="34"/>
        <v>0</v>
      </c>
      <c r="K24" s="85">
        <f>IF(F24=0,0,LOOKUP(F24,Tablas!$A$4:'Tablas'!$D$14,Tablas!$C$4:'Tablas'!$C$14))</f>
        <v>0</v>
      </c>
      <c r="L24" s="85">
        <f t="shared" si="35"/>
        <v>0</v>
      </c>
      <c r="M24" s="85">
        <f>IF(F24=0,0,LOOKUP(F24,Tablas!$A$20:'Tablas'!$C$30,Tablas!$C$20:'Tablas'!$C$30))</f>
        <v>0</v>
      </c>
      <c r="N24" s="85">
        <f t="shared" si="68"/>
        <v>0</v>
      </c>
      <c r="O24" s="85">
        <f>IF(F24&lt;Tablas!$B$20,M24,0)</f>
        <v>0</v>
      </c>
      <c r="P24" s="90"/>
      <c r="Q24" s="88">
        <f ca="1">IF(Nomina!F24="",0,(VLOOKUP((ROUNDUP(((TODAY()-Nomina!F24)/365),0)),Tablas!$F$4:$I$23,4)))</f>
        <v>0</v>
      </c>
      <c r="R24" s="89">
        <f ca="1">IF(Nomina!I24*Q24&gt;($R$3*25),$R$3*25,Nomina!I24*Q24)</f>
        <v>0</v>
      </c>
      <c r="S24" s="90">
        <f t="shared" si="70"/>
        <v>332.22419999999994</v>
      </c>
      <c r="T24" s="90">
        <v>0</v>
      </c>
      <c r="U24" s="83">
        <f t="shared" si="36"/>
        <v>332.22419999999994</v>
      </c>
      <c r="V24" s="90">
        <f t="shared" ca="1" si="3"/>
        <v>0</v>
      </c>
      <c r="W24" s="90">
        <f t="shared" ca="1" si="4"/>
        <v>0</v>
      </c>
      <c r="X24" s="83">
        <f t="shared" ca="1" si="37"/>
        <v>0</v>
      </c>
      <c r="Y24" s="90">
        <f t="shared" ca="1" si="38"/>
        <v>0</v>
      </c>
      <c r="Z24" s="90">
        <f t="shared" ca="1" si="39"/>
        <v>0</v>
      </c>
      <c r="AA24" s="83">
        <f t="shared" ca="1" si="40"/>
        <v>0</v>
      </c>
      <c r="AB24" s="83">
        <f t="shared" ca="1" si="41"/>
        <v>0</v>
      </c>
      <c r="AC24" s="83">
        <f t="shared" ca="1" si="42"/>
        <v>0</v>
      </c>
      <c r="AD24" s="83">
        <f t="shared" ca="1" si="43"/>
        <v>0</v>
      </c>
      <c r="AE24" s="90">
        <f t="shared" ca="1" si="44"/>
        <v>0</v>
      </c>
      <c r="AF24" s="90">
        <f t="shared" ca="1" si="45"/>
        <v>0</v>
      </c>
      <c r="AG24" s="83">
        <f t="shared" ca="1" si="46"/>
        <v>0</v>
      </c>
      <c r="AH24" s="90">
        <f t="shared" ca="1" si="47"/>
        <v>0</v>
      </c>
      <c r="AI24" s="90">
        <v>0</v>
      </c>
      <c r="AJ24" s="83">
        <f t="shared" ca="1" si="48"/>
        <v>0</v>
      </c>
      <c r="AK24" s="90">
        <f t="shared" ca="1" si="49"/>
        <v>0</v>
      </c>
      <c r="AL24" s="90">
        <v>0</v>
      </c>
      <c r="AM24" s="83">
        <f t="shared" ca="1" si="50"/>
        <v>0</v>
      </c>
      <c r="AN24" s="83">
        <f t="shared" ca="1" si="51"/>
        <v>332.22419999999994</v>
      </c>
      <c r="AO24" s="83">
        <f t="shared" ca="1" si="52"/>
        <v>0</v>
      </c>
      <c r="AP24" s="83">
        <f t="shared" ca="1" si="53"/>
        <v>332.22419999999994</v>
      </c>
      <c r="AQ24" s="90">
        <f t="shared" ca="1" si="54"/>
        <v>0</v>
      </c>
      <c r="AR24" s="90">
        <v>0</v>
      </c>
      <c r="AS24" s="83">
        <f t="shared" ca="1" si="55"/>
        <v>0</v>
      </c>
      <c r="AT24" s="90">
        <f t="shared" ca="1" si="56"/>
        <v>0</v>
      </c>
      <c r="AU24" s="90">
        <f t="shared" ca="1" si="57"/>
        <v>0</v>
      </c>
      <c r="AV24" s="83">
        <f t="shared" ca="1" si="58"/>
        <v>0</v>
      </c>
      <c r="AW24" s="90">
        <f t="shared" ca="1" si="59"/>
        <v>0</v>
      </c>
      <c r="AX24" s="90">
        <v>0</v>
      </c>
      <c r="AY24" s="90">
        <f t="shared" ca="1" si="60"/>
        <v>0</v>
      </c>
      <c r="AZ24" s="83">
        <f t="shared" ca="1" si="61"/>
        <v>0</v>
      </c>
      <c r="BA24" s="83">
        <f t="shared" ca="1" si="62"/>
        <v>0</v>
      </c>
      <c r="BB24" s="83">
        <f t="shared" ca="1" si="63"/>
        <v>0</v>
      </c>
      <c r="BC24" s="82"/>
      <c r="BD24" s="83">
        <f t="shared" ca="1" si="64"/>
        <v>0</v>
      </c>
      <c r="BE24" s="83">
        <f t="shared" ca="1" si="69"/>
        <v>22.148279999999996</v>
      </c>
      <c r="BF24" s="82"/>
      <c r="BG24" s="83">
        <f t="shared" ca="1" si="65"/>
        <v>0</v>
      </c>
      <c r="BH24" s="91">
        <f t="shared" ca="1" si="66"/>
        <v>0</v>
      </c>
      <c r="BI24" s="82"/>
      <c r="BJ24" s="83">
        <f>IF(Nomina!I24=$R$3,0,IF(F24=0,0,BD24+BG24))</f>
        <v>0</v>
      </c>
      <c r="BK24" s="83">
        <f t="shared" ca="1" si="67"/>
        <v>0</v>
      </c>
    </row>
    <row r="25" spans="1:63" x14ac:dyDescent="0.25">
      <c r="A25" s="82">
        <f>+Nomina!B25</f>
        <v>19</v>
      </c>
      <c r="B25" s="83" t="str">
        <f>Nomina!C25&amp;" "&amp;Nomina!D25</f>
        <v xml:space="preserve"> </v>
      </c>
      <c r="C25" s="84">
        <v>15</v>
      </c>
      <c r="D25" s="84">
        <v>61</v>
      </c>
      <c r="E25" s="83"/>
      <c r="F25" s="85">
        <f>Nomina!P25*(30.4/30)</f>
        <v>0</v>
      </c>
      <c r="G25" s="85">
        <f>IF(F25=0,0,LOOKUP(F25,Tablas!$A$4:'Tablas'!$D$14,Tablas!$A$4:'Tablas'!$A$14))</f>
        <v>0</v>
      </c>
      <c r="H25" s="85">
        <f t="shared" si="33"/>
        <v>0</v>
      </c>
      <c r="I25" s="86">
        <f>IF(F25=0,0,LOOKUP(F25,Tablas!$A$4:'Tablas'!$D$14,Tablas!$D$4:'Tablas'!$D$14))</f>
        <v>0</v>
      </c>
      <c r="J25" s="85">
        <f t="shared" si="34"/>
        <v>0</v>
      </c>
      <c r="K25" s="85">
        <f>IF(F25=0,0,LOOKUP(F25,Tablas!$A$4:'Tablas'!$D$14,Tablas!$C$4:'Tablas'!$C$14))</f>
        <v>0</v>
      </c>
      <c r="L25" s="85">
        <f t="shared" si="35"/>
        <v>0</v>
      </c>
      <c r="M25" s="85">
        <f>IF(F25=0,0,LOOKUP(F25,Tablas!$A$20:'Tablas'!$C$30,Tablas!$C$20:'Tablas'!$C$30))</f>
        <v>0</v>
      </c>
      <c r="N25" s="85">
        <f t="shared" si="68"/>
        <v>0</v>
      </c>
      <c r="O25" s="85">
        <f>IF(F25&lt;Tablas!$B$20,M25,0)</f>
        <v>0</v>
      </c>
      <c r="P25" s="90"/>
      <c r="Q25" s="88">
        <f ca="1">IF(Nomina!F25="",0,(VLOOKUP((ROUNDUP(((TODAY()-Nomina!F25)/365),0)),Tablas!$F$4:$I$23,4)))</f>
        <v>0</v>
      </c>
      <c r="R25" s="89">
        <f ca="1">IF(Nomina!I25*Q25&gt;($R$3*25),$R$3*25,Nomina!I25*Q25)</f>
        <v>0</v>
      </c>
      <c r="S25" s="90">
        <f t="shared" si="70"/>
        <v>332.22419999999994</v>
      </c>
      <c r="T25" s="90">
        <v>0</v>
      </c>
      <c r="U25" s="83">
        <f t="shared" si="36"/>
        <v>332.22419999999994</v>
      </c>
      <c r="V25" s="90">
        <f t="shared" ca="1" si="3"/>
        <v>0</v>
      </c>
      <c r="W25" s="90">
        <f t="shared" ca="1" si="4"/>
        <v>0</v>
      </c>
      <c r="X25" s="83">
        <f t="shared" ca="1" si="37"/>
        <v>0</v>
      </c>
      <c r="Y25" s="90">
        <f t="shared" ca="1" si="38"/>
        <v>0</v>
      </c>
      <c r="Z25" s="90">
        <f t="shared" ca="1" si="39"/>
        <v>0</v>
      </c>
      <c r="AA25" s="83">
        <f t="shared" ca="1" si="40"/>
        <v>0</v>
      </c>
      <c r="AB25" s="83">
        <f t="shared" ca="1" si="41"/>
        <v>0</v>
      </c>
      <c r="AC25" s="83">
        <f t="shared" ca="1" si="42"/>
        <v>0</v>
      </c>
      <c r="AD25" s="83">
        <f t="shared" ca="1" si="43"/>
        <v>0</v>
      </c>
      <c r="AE25" s="90">
        <f t="shared" ca="1" si="44"/>
        <v>0</v>
      </c>
      <c r="AF25" s="90">
        <f t="shared" ca="1" si="45"/>
        <v>0</v>
      </c>
      <c r="AG25" s="83">
        <f t="shared" ca="1" si="46"/>
        <v>0</v>
      </c>
      <c r="AH25" s="90">
        <f t="shared" ca="1" si="47"/>
        <v>0</v>
      </c>
      <c r="AI25" s="90">
        <v>0</v>
      </c>
      <c r="AJ25" s="83">
        <f t="shared" ca="1" si="48"/>
        <v>0</v>
      </c>
      <c r="AK25" s="90">
        <f t="shared" ca="1" si="49"/>
        <v>0</v>
      </c>
      <c r="AL25" s="90">
        <v>0</v>
      </c>
      <c r="AM25" s="83">
        <f t="shared" ca="1" si="50"/>
        <v>0</v>
      </c>
      <c r="AN25" s="83">
        <f t="shared" ca="1" si="51"/>
        <v>332.22419999999994</v>
      </c>
      <c r="AO25" s="83">
        <f t="shared" ca="1" si="52"/>
        <v>0</v>
      </c>
      <c r="AP25" s="83">
        <f t="shared" ca="1" si="53"/>
        <v>332.22419999999994</v>
      </c>
      <c r="AQ25" s="90">
        <f t="shared" ca="1" si="54"/>
        <v>0</v>
      </c>
      <c r="AR25" s="90">
        <v>0</v>
      </c>
      <c r="AS25" s="83">
        <f t="shared" ca="1" si="55"/>
        <v>0</v>
      </c>
      <c r="AT25" s="90">
        <f t="shared" ca="1" si="56"/>
        <v>0</v>
      </c>
      <c r="AU25" s="90">
        <f t="shared" ca="1" si="57"/>
        <v>0</v>
      </c>
      <c r="AV25" s="83">
        <f t="shared" ca="1" si="58"/>
        <v>0</v>
      </c>
      <c r="AW25" s="90">
        <f t="shared" ca="1" si="59"/>
        <v>0</v>
      </c>
      <c r="AX25" s="90">
        <v>0</v>
      </c>
      <c r="AY25" s="90">
        <f t="shared" ca="1" si="60"/>
        <v>0</v>
      </c>
      <c r="AZ25" s="83">
        <f t="shared" ca="1" si="61"/>
        <v>0</v>
      </c>
      <c r="BA25" s="83">
        <f t="shared" ca="1" si="62"/>
        <v>0</v>
      </c>
      <c r="BB25" s="83">
        <f t="shared" ca="1" si="63"/>
        <v>0</v>
      </c>
      <c r="BC25" s="82"/>
      <c r="BD25" s="83">
        <f t="shared" ca="1" si="64"/>
        <v>0</v>
      </c>
      <c r="BE25" s="83">
        <f t="shared" ca="1" si="69"/>
        <v>22.148279999999996</v>
      </c>
      <c r="BF25" s="82"/>
      <c r="BG25" s="83">
        <f t="shared" ca="1" si="65"/>
        <v>0</v>
      </c>
      <c r="BH25" s="91">
        <f t="shared" ca="1" si="66"/>
        <v>0</v>
      </c>
      <c r="BI25" s="82"/>
      <c r="BJ25" s="83">
        <f>IF(Nomina!I25=$R$3,0,IF(F25=0,0,BD25+BG25))</f>
        <v>0</v>
      </c>
      <c r="BK25" s="83">
        <f t="shared" ca="1" si="67"/>
        <v>0</v>
      </c>
    </row>
    <row r="26" spans="1:63" x14ac:dyDescent="0.25">
      <c r="A26" s="82">
        <f>+Nomina!B26</f>
        <v>20</v>
      </c>
      <c r="B26" s="83" t="str">
        <f>Nomina!C26&amp;" "&amp;Nomina!D26</f>
        <v xml:space="preserve"> </v>
      </c>
      <c r="C26" s="84">
        <v>15</v>
      </c>
      <c r="D26" s="84">
        <v>61</v>
      </c>
      <c r="E26" s="83"/>
      <c r="F26" s="85">
        <f>Nomina!P26*(30.4/30)</f>
        <v>0</v>
      </c>
      <c r="G26" s="85">
        <f>IF(F26=0,0,LOOKUP(F26,Tablas!$A$4:'Tablas'!$D$14,Tablas!$A$4:'Tablas'!$A$14))</f>
        <v>0</v>
      </c>
      <c r="H26" s="85">
        <f t="shared" si="33"/>
        <v>0</v>
      </c>
      <c r="I26" s="86">
        <f>IF(F26=0,0,LOOKUP(F26,Tablas!$A$4:'Tablas'!$D$14,Tablas!$D$4:'Tablas'!$D$14))</f>
        <v>0</v>
      </c>
      <c r="J26" s="85">
        <f t="shared" si="34"/>
        <v>0</v>
      </c>
      <c r="K26" s="85">
        <f>IF(F26=0,0,LOOKUP(F26,Tablas!$A$4:'Tablas'!$D$14,Tablas!$C$4:'Tablas'!$C$14))</f>
        <v>0</v>
      </c>
      <c r="L26" s="85">
        <f t="shared" si="35"/>
        <v>0</v>
      </c>
      <c r="M26" s="85">
        <f>IF(F26=0,0,LOOKUP(F26,Tablas!$A$20:'Tablas'!$C$30,Tablas!$C$20:'Tablas'!$C$30))</f>
        <v>0</v>
      </c>
      <c r="N26" s="85">
        <f t="shared" si="68"/>
        <v>0</v>
      </c>
      <c r="O26" s="85">
        <f>IF(F26&lt;Tablas!$B$20,M26,0)</f>
        <v>0</v>
      </c>
      <c r="P26" s="90"/>
      <c r="Q26" s="88">
        <f ca="1">IF(Nomina!F26="",0,(VLOOKUP((ROUNDUP(((TODAY()-Nomina!F26)/365),0)),Tablas!$F$4:$I$23,4)))</f>
        <v>0</v>
      </c>
      <c r="R26" s="89">
        <f ca="1">IF(Nomina!I26*Q26&gt;($R$3*25),$R$3*25,Nomina!I26*Q26)</f>
        <v>0</v>
      </c>
      <c r="S26" s="90">
        <f t="shared" si="70"/>
        <v>332.22419999999994</v>
      </c>
      <c r="T26" s="90">
        <v>0</v>
      </c>
      <c r="U26" s="83">
        <f t="shared" si="36"/>
        <v>332.22419999999994</v>
      </c>
      <c r="V26" s="90">
        <f t="shared" ca="1" si="3"/>
        <v>0</v>
      </c>
      <c r="W26" s="90">
        <f t="shared" ca="1" si="4"/>
        <v>0</v>
      </c>
      <c r="X26" s="83">
        <f t="shared" ca="1" si="37"/>
        <v>0</v>
      </c>
      <c r="Y26" s="90">
        <f t="shared" ca="1" si="38"/>
        <v>0</v>
      </c>
      <c r="Z26" s="90">
        <f t="shared" ca="1" si="39"/>
        <v>0</v>
      </c>
      <c r="AA26" s="83">
        <f t="shared" ca="1" si="40"/>
        <v>0</v>
      </c>
      <c r="AB26" s="83">
        <f t="shared" ca="1" si="41"/>
        <v>0</v>
      </c>
      <c r="AC26" s="83">
        <f t="shared" ca="1" si="42"/>
        <v>0</v>
      </c>
      <c r="AD26" s="83">
        <f t="shared" ca="1" si="43"/>
        <v>0</v>
      </c>
      <c r="AE26" s="90">
        <f t="shared" ca="1" si="44"/>
        <v>0</v>
      </c>
      <c r="AF26" s="90">
        <f t="shared" ca="1" si="45"/>
        <v>0</v>
      </c>
      <c r="AG26" s="83">
        <f t="shared" ca="1" si="46"/>
        <v>0</v>
      </c>
      <c r="AH26" s="90">
        <f t="shared" ca="1" si="47"/>
        <v>0</v>
      </c>
      <c r="AI26" s="90">
        <v>0</v>
      </c>
      <c r="AJ26" s="83">
        <f t="shared" ca="1" si="48"/>
        <v>0</v>
      </c>
      <c r="AK26" s="90">
        <f t="shared" ca="1" si="49"/>
        <v>0</v>
      </c>
      <c r="AL26" s="90">
        <v>0</v>
      </c>
      <c r="AM26" s="83">
        <f t="shared" ca="1" si="50"/>
        <v>0</v>
      </c>
      <c r="AN26" s="83">
        <f t="shared" ca="1" si="51"/>
        <v>332.22419999999994</v>
      </c>
      <c r="AO26" s="83">
        <f t="shared" ca="1" si="52"/>
        <v>0</v>
      </c>
      <c r="AP26" s="83">
        <f t="shared" ca="1" si="53"/>
        <v>332.22419999999994</v>
      </c>
      <c r="AQ26" s="90">
        <f t="shared" ca="1" si="54"/>
        <v>0</v>
      </c>
      <c r="AR26" s="90">
        <v>0</v>
      </c>
      <c r="AS26" s="83">
        <f t="shared" ca="1" si="55"/>
        <v>0</v>
      </c>
      <c r="AT26" s="90">
        <f t="shared" ca="1" si="56"/>
        <v>0</v>
      </c>
      <c r="AU26" s="90">
        <f t="shared" ca="1" si="57"/>
        <v>0</v>
      </c>
      <c r="AV26" s="83">
        <f t="shared" ca="1" si="58"/>
        <v>0</v>
      </c>
      <c r="AW26" s="90">
        <f t="shared" ca="1" si="59"/>
        <v>0</v>
      </c>
      <c r="AX26" s="90">
        <v>0</v>
      </c>
      <c r="AY26" s="90">
        <f t="shared" ca="1" si="60"/>
        <v>0</v>
      </c>
      <c r="AZ26" s="83">
        <f t="shared" ca="1" si="61"/>
        <v>0</v>
      </c>
      <c r="BA26" s="83">
        <f t="shared" ca="1" si="62"/>
        <v>0</v>
      </c>
      <c r="BB26" s="83">
        <f t="shared" ca="1" si="63"/>
        <v>0</v>
      </c>
      <c r="BC26" s="82"/>
      <c r="BD26" s="83">
        <f t="shared" ca="1" si="64"/>
        <v>0</v>
      </c>
      <c r="BE26" s="83">
        <f t="shared" ca="1" si="69"/>
        <v>22.148279999999996</v>
      </c>
      <c r="BF26" s="82"/>
      <c r="BG26" s="83">
        <f t="shared" ca="1" si="65"/>
        <v>0</v>
      </c>
      <c r="BH26" s="91">
        <f t="shared" ca="1" si="66"/>
        <v>0</v>
      </c>
      <c r="BI26" s="82"/>
      <c r="BJ26" s="83">
        <f>IF(Nomina!I26=$R$3,0,IF(F26=0,0,BD26+BG26))</f>
        <v>0</v>
      </c>
      <c r="BK26" s="83">
        <f t="shared" ca="1" si="67"/>
        <v>0</v>
      </c>
    </row>
    <row r="27" spans="1:63" x14ac:dyDescent="0.25">
      <c r="A27" s="82">
        <f>+Nomina!B27</f>
        <v>21</v>
      </c>
      <c r="B27" s="83" t="str">
        <f>Nomina!C27&amp;" "&amp;Nomina!D27</f>
        <v xml:space="preserve"> </v>
      </c>
      <c r="C27" s="84">
        <v>15</v>
      </c>
      <c r="D27" s="84">
        <v>61</v>
      </c>
      <c r="E27" s="83"/>
      <c r="F27" s="85">
        <f>Nomina!P27*(30.4/30)</f>
        <v>0</v>
      </c>
      <c r="G27" s="85">
        <f>IF(F27=0,0,LOOKUP(F27,Tablas!$A$4:'Tablas'!$D$14,Tablas!$A$4:'Tablas'!$A$14))</f>
        <v>0</v>
      </c>
      <c r="H27" s="85">
        <f t="shared" si="33"/>
        <v>0</v>
      </c>
      <c r="I27" s="86">
        <f>IF(F27=0,0,LOOKUP(F27,Tablas!$A$4:'Tablas'!$D$14,Tablas!$D$4:'Tablas'!$D$14))</f>
        <v>0</v>
      </c>
      <c r="J27" s="85">
        <f t="shared" si="34"/>
        <v>0</v>
      </c>
      <c r="K27" s="85">
        <f>IF(F27=0,0,LOOKUP(F27,Tablas!$A$4:'Tablas'!$D$14,Tablas!$C$4:'Tablas'!$C$14))</f>
        <v>0</v>
      </c>
      <c r="L27" s="85">
        <f t="shared" si="35"/>
        <v>0</v>
      </c>
      <c r="M27" s="85">
        <f>IF(F27=0,0,LOOKUP(F27,Tablas!$A$20:'Tablas'!$C$30,Tablas!$C$20:'Tablas'!$C$30))</f>
        <v>0</v>
      </c>
      <c r="N27" s="85">
        <f t="shared" si="68"/>
        <v>0</v>
      </c>
      <c r="O27" s="85">
        <f>IF(F27&lt;Tablas!$B$20,M27,0)</f>
        <v>0</v>
      </c>
      <c r="P27" s="90"/>
      <c r="Q27" s="88">
        <f ca="1">IF(Nomina!F27="",0,(VLOOKUP((ROUNDUP(((TODAY()-Nomina!F27)/365),0)),Tablas!$F$4:$I$23,4)))</f>
        <v>0</v>
      </c>
      <c r="R27" s="89">
        <f ca="1">IF(Nomina!I27*Q27&gt;($R$3*25),$R$3*25,Nomina!I27*Q27)</f>
        <v>0</v>
      </c>
      <c r="S27" s="90">
        <f t="shared" si="70"/>
        <v>332.22419999999994</v>
      </c>
      <c r="T27" s="90">
        <v>0</v>
      </c>
      <c r="U27" s="83">
        <f t="shared" si="36"/>
        <v>332.22419999999994</v>
      </c>
      <c r="V27" s="90">
        <f t="shared" ca="1" si="3"/>
        <v>0</v>
      </c>
      <c r="W27" s="90">
        <f t="shared" ca="1" si="4"/>
        <v>0</v>
      </c>
      <c r="X27" s="83">
        <f t="shared" ca="1" si="37"/>
        <v>0</v>
      </c>
      <c r="Y27" s="90">
        <f t="shared" ca="1" si="38"/>
        <v>0</v>
      </c>
      <c r="Z27" s="90">
        <f t="shared" ca="1" si="39"/>
        <v>0</v>
      </c>
      <c r="AA27" s="83">
        <f t="shared" ca="1" si="40"/>
        <v>0</v>
      </c>
      <c r="AB27" s="83">
        <f t="shared" ca="1" si="41"/>
        <v>0</v>
      </c>
      <c r="AC27" s="83">
        <f t="shared" ca="1" si="42"/>
        <v>0</v>
      </c>
      <c r="AD27" s="83">
        <f t="shared" ca="1" si="43"/>
        <v>0</v>
      </c>
      <c r="AE27" s="90">
        <f t="shared" ca="1" si="44"/>
        <v>0</v>
      </c>
      <c r="AF27" s="90">
        <f t="shared" ca="1" si="45"/>
        <v>0</v>
      </c>
      <c r="AG27" s="83">
        <f t="shared" ca="1" si="46"/>
        <v>0</v>
      </c>
      <c r="AH27" s="90">
        <f t="shared" ca="1" si="47"/>
        <v>0</v>
      </c>
      <c r="AI27" s="90">
        <v>0</v>
      </c>
      <c r="AJ27" s="83">
        <f t="shared" ca="1" si="48"/>
        <v>0</v>
      </c>
      <c r="AK27" s="90">
        <f t="shared" ca="1" si="49"/>
        <v>0</v>
      </c>
      <c r="AL27" s="90">
        <v>0</v>
      </c>
      <c r="AM27" s="83">
        <f t="shared" ca="1" si="50"/>
        <v>0</v>
      </c>
      <c r="AN27" s="83">
        <f t="shared" ca="1" si="51"/>
        <v>332.22419999999994</v>
      </c>
      <c r="AO27" s="83">
        <f t="shared" ca="1" si="52"/>
        <v>0</v>
      </c>
      <c r="AP27" s="83">
        <f t="shared" ca="1" si="53"/>
        <v>332.22419999999994</v>
      </c>
      <c r="AQ27" s="90">
        <f t="shared" ca="1" si="54"/>
        <v>0</v>
      </c>
      <c r="AR27" s="90">
        <v>0</v>
      </c>
      <c r="AS27" s="83">
        <f t="shared" ca="1" si="55"/>
        <v>0</v>
      </c>
      <c r="AT27" s="90">
        <f t="shared" ca="1" si="56"/>
        <v>0</v>
      </c>
      <c r="AU27" s="90">
        <f t="shared" ca="1" si="57"/>
        <v>0</v>
      </c>
      <c r="AV27" s="83">
        <f t="shared" ca="1" si="58"/>
        <v>0</v>
      </c>
      <c r="AW27" s="90">
        <f t="shared" ca="1" si="59"/>
        <v>0</v>
      </c>
      <c r="AX27" s="90">
        <v>0</v>
      </c>
      <c r="AY27" s="90">
        <f t="shared" ca="1" si="60"/>
        <v>0</v>
      </c>
      <c r="AZ27" s="83">
        <f t="shared" ca="1" si="61"/>
        <v>0</v>
      </c>
      <c r="BA27" s="83">
        <f t="shared" ca="1" si="62"/>
        <v>0</v>
      </c>
      <c r="BB27" s="83">
        <f t="shared" ca="1" si="63"/>
        <v>0</v>
      </c>
      <c r="BC27" s="82"/>
      <c r="BD27" s="83">
        <f t="shared" ca="1" si="64"/>
        <v>0</v>
      </c>
      <c r="BE27" s="83">
        <f t="shared" ca="1" si="69"/>
        <v>22.148279999999996</v>
      </c>
      <c r="BF27" s="82"/>
      <c r="BG27" s="83">
        <f t="shared" ca="1" si="65"/>
        <v>0</v>
      </c>
      <c r="BH27" s="91">
        <f t="shared" ca="1" si="66"/>
        <v>0</v>
      </c>
      <c r="BI27" s="82"/>
      <c r="BJ27" s="83">
        <f>IF(Nomina!I27=$R$3,0,IF(F27=0,0,BD27+BG27))</f>
        <v>0</v>
      </c>
      <c r="BK27" s="83">
        <f t="shared" ca="1" si="67"/>
        <v>0</v>
      </c>
    </row>
    <row r="28" spans="1:63" x14ac:dyDescent="0.25">
      <c r="A28" s="82">
        <f>+Nomina!B28</f>
        <v>22</v>
      </c>
      <c r="B28" s="83" t="str">
        <f>Nomina!C28&amp;" "&amp;Nomina!D28</f>
        <v xml:space="preserve"> </v>
      </c>
      <c r="C28" s="84">
        <v>15</v>
      </c>
      <c r="D28" s="84">
        <v>61</v>
      </c>
      <c r="E28" s="83"/>
      <c r="F28" s="85">
        <f>Nomina!P28*(30.4/30)</f>
        <v>0</v>
      </c>
      <c r="G28" s="85">
        <f>IF(F28=0,0,LOOKUP(F28,Tablas!$A$4:'Tablas'!$D$14,Tablas!$A$4:'Tablas'!$A$14))</f>
        <v>0</v>
      </c>
      <c r="H28" s="85">
        <f t="shared" si="33"/>
        <v>0</v>
      </c>
      <c r="I28" s="86">
        <f>IF(F28=0,0,LOOKUP(F28,Tablas!$A$4:'Tablas'!$D$14,Tablas!$D$4:'Tablas'!$D$14))</f>
        <v>0</v>
      </c>
      <c r="J28" s="85">
        <f t="shared" si="34"/>
        <v>0</v>
      </c>
      <c r="K28" s="85">
        <f>IF(F28=0,0,LOOKUP(F28,Tablas!$A$4:'Tablas'!$D$14,Tablas!$C$4:'Tablas'!$C$14))</f>
        <v>0</v>
      </c>
      <c r="L28" s="85">
        <f t="shared" si="35"/>
        <v>0</v>
      </c>
      <c r="M28" s="85">
        <f>IF(F28=0,0,LOOKUP(F28,Tablas!$A$20:'Tablas'!$C$30,Tablas!$C$20:'Tablas'!$C$30))</f>
        <v>0</v>
      </c>
      <c r="N28" s="85">
        <f t="shared" si="68"/>
        <v>0</v>
      </c>
      <c r="O28" s="85">
        <f>IF(F28&lt;Tablas!$B$20,M28,0)</f>
        <v>0</v>
      </c>
      <c r="P28" s="90"/>
      <c r="Q28" s="88">
        <f ca="1">IF(Nomina!F28="",0,(VLOOKUP((ROUNDUP(((TODAY()-Nomina!F28)/365),0)),Tablas!$F$4:$I$23,4)))</f>
        <v>0</v>
      </c>
      <c r="R28" s="89">
        <f ca="1">IF(Nomina!I28*Q28&gt;($R$3*25),$R$3*25,Nomina!I28*Q28)</f>
        <v>0</v>
      </c>
      <c r="S28" s="90">
        <f t="shared" si="70"/>
        <v>332.22419999999994</v>
      </c>
      <c r="T28" s="90">
        <v>0</v>
      </c>
      <c r="U28" s="83">
        <f t="shared" si="36"/>
        <v>332.22419999999994</v>
      </c>
      <c r="V28" s="90">
        <f t="shared" ca="1" si="3"/>
        <v>0</v>
      </c>
      <c r="W28" s="90">
        <f t="shared" ca="1" si="4"/>
        <v>0</v>
      </c>
      <c r="X28" s="83">
        <f t="shared" ca="1" si="37"/>
        <v>0</v>
      </c>
      <c r="Y28" s="90">
        <f t="shared" ca="1" si="38"/>
        <v>0</v>
      </c>
      <c r="Z28" s="90">
        <f t="shared" ca="1" si="39"/>
        <v>0</v>
      </c>
      <c r="AA28" s="83">
        <f t="shared" ca="1" si="40"/>
        <v>0</v>
      </c>
      <c r="AB28" s="83">
        <f t="shared" ca="1" si="41"/>
        <v>0</v>
      </c>
      <c r="AC28" s="83">
        <f t="shared" ca="1" si="42"/>
        <v>0</v>
      </c>
      <c r="AD28" s="83">
        <f t="shared" ca="1" si="43"/>
        <v>0</v>
      </c>
      <c r="AE28" s="90">
        <f t="shared" ca="1" si="44"/>
        <v>0</v>
      </c>
      <c r="AF28" s="90">
        <f t="shared" ca="1" si="45"/>
        <v>0</v>
      </c>
      <c r="AG28" s="83">
        <f t="shared" ca="1" si="46"/>
        <v>0</v>
      </c>
      <c r="AH28" s="90">
        <f t="shared" ca="1" si="47"/>
        <v>0</v>
      </c>
      <c r="AI28" s="90">
        <v>0</v>
      </c>
      <c r="AJ28" s="83">
        <f t="shared" ca="1" si="48"/>
        <v>0</v>
      </c>
      <c r="AK28" s="90">
        <f t="shared" ca="1" si="49"/>
        <v>0</v>
      </c>
      <c r="AL28" s="90">
        <v>0</v>
      </c>
      <c r="AM28" s="83">
        <f t="shared" ca="1" si="50"/>
        <v>0</v>
      </c>
      <c r="AN28" s="83">
        <f t="shared" ca="1" si="51"/>
        <v>332.22419999999994</v>
      </c>
      <c r="AO28" s="83">
        <f t="shared" ca="1" si="52"/>
        <v>0</v>
      </c>
      <c r="AP28" s="83">
        <f t="shared" ca="1" si="53"/>
        <v>332.22419999999994</v>
      </c>
      <c r="AQ28" s="90">
        <f t="shared" ca="1" si="54"/>
        <v>0</v>
      </c>
      <c r="AR28" s="90">
        <v>0</v>
      </c>
      <c r="AS28" s="83">
        <f t="shared" ca="1" si="55"/>
        <v>0</v>
      </c>
      <c r="AT28" s="90">
        <f t="shared" ca="1" si="56"/>
        <v>0</v>
      </c>
      <c r="AU28" s="90">
        <f t="shared" ca="1" si="57"/>
        <v>0</v>
      </c>
      <c r="AV28" s="83">
        <f t="shared" ca="1" si="58"/>
        <v>0</v>
      </c>
      <c r="AW28" s="90">
        <f t="shared" ca="1" si="59"/>
        <v>0</v>
      </c>
      <c r="AX28" s="90">
        <v>0</v>
      </c>
      <c r="AY28" s="90">
        <f t="shared" ca="1" si="60"/>
        <v>0</v>
      </c>
      <c r="AZ28" s="83">
        <f t="shared" ca="1" si="61"/>
        <v>0</v>
      </c>
      <c r="BA28" s="83">
        <f t="shared" ca="1" si="62"/>
        <v>0</v>
      </c>
      <c r="BB28" s="83">
        <f t="shared" ca="1" si="63"/>
        <v>0</v>
      </c>
      <c r="BC28" s="82"/>
      <c r="BD28" s="83">
        <f t="shared" ca="1" si="64"/>
        <v>0</v>
      </c>
      <c r="BE28" s="83">
        <f t="shared" ca="1" si="69"/>
        <v>22.148279999999996</v>
      </c>
      <c r="BF28" s="82"/>
      <c r="BG28" s="83">
        <f t="shared" ca="1" si="65"/>
        <v>0</v>
      </c>
      <c r="BH28" s="91">
        <f t="shared" ca="1" si="66"/>
        <v>0</v>
      </c>
      <c r="BI28" s="82"/>
      <c r="BJ28" s="83">
        <f>IF(Nomina!I28=$R$3,0,IF(F28=0,0,BD28+BG28))</f>
        <v>0</v>
      </c>
      <c r="BK28" s="83">
        <f t="shared" ca="1" si="67"/>
        <v>0</v>
      </c>
    </row>
    <row r="29" spans="1:63" x14ac:dyDescent="0.25">
      <c r="A29" s="82">
        <f>+Nomina!B29</f>
        <v>23</v>
      </c>
      <c r="B29" s="83" t="str">
        <f>Nomina!C29&amp;" "&amp;Nomina!D29</f>
        <v xml:space="preserve"> </v>
      </c>
      <c r="C29" s="84">
        <v>15</v>
      </c>
      <c r="D29" s="84">
        <v>61</v>
      </c>
      <c r="E29" s="83"/>
      <c r="F29" s="85">
        <f>Nomina!P29*(30.4/30)</f>
        <v>0</v>
      </c>
      <c r="G29" s="85">
        <f>IF(F29=0,0,LOOKUP(F29,Tablas!$A$4:'Tablas'!$D$14,Tablas!$A$4:'Tablas'!$A$14))</f>
        <v>0</v>
      </c>
      <c r="H29" s="85">
        <f t="shared" si="33"/>
        <v>0</v>
      </c>
      <c r="I29" s="86">
        <f>IF(F29=0,0,LOOKUP(F29,Tablas!$A$4:'Tablas'!$D$14,Tablas!$D$4:'Tablas'!$D$14))</f>
        <v>0</v>
      </c>
      <c r="J29" s="85">
        <f t="shared" si="34"/>
        <v>0</v>
      </c>
      <c r="K29" s="85">
        <f>IF(F29=0,0,LOOKUP(F29,Tablas!$A$4:'Tablas'!$D$14,Tablas!$C$4:'Tablas'!$C$14))</f>
        <v>0</v>
      </c>
      <c r="L29" s="85">
        <f t="shared" si="35"/>
        <v>0</v>
      </c>
      <c r="M29" s="85">
        <f>IF(F29=0,0,LOOKUP(F29,Tablas!$A$20:'Tablas'!$C$30,Tablas!$C$20:'Tablas'!$C$30))</f>
        <v>0</v>
      </c>
      <c r="N29" s="85">
        <f t="shared" si="68"/>
        <v>0</v>
      </c>
      <c r="O29" s="85">
        <f>IF(F29&lt;Tablas!$B$20,M29,0)</f>
        <v>0</v>
      </c>
      <c r="P29" s="90"/>
      <c r="Q29" s="88">
        <f ca="1">IF(Nomina!F29="",0,(VLOOKUP((ROUNDUP(((TODAY()-Nomina!F29)/365),0)),Tablas!$F$4:$I$23,4)))</f>
        <v>0</v>
      </c>
      <c r="R29" s="89">
        <f ca="1">IF(Nomina!I29*Q29&gt;($R$3*25),$R$3*25,Nomina!I29*Q29)</f>
        <v>0</v>
      </c>
      <c r="S29" s="90">
        <f t="shared" si="70"/>
        <v>332.22419999999994</v>
      </c>
      <c r="T29" s="90">
        <v>0</v>
      </c>
      <c r="U29" s="83">
        <f t="shared" si="36"/>
        <v>332.22419999999994</v>
      </c>
      <c r="V29" s="90">
        <f t="shared" ca="1" si="3"/>
        <v>0</v>
      </c>
      <c r="W29" s="90">
        <f t="shared" ca="1" si="4"/>
        <v>0</v>
      </c>
      <c r="X29" s="83">
        <f t="shared" ca="1" si="37"/>
        <v>0</v>
      </c>
      <c r="Y29" s="90">
        <f t="shared" ca="1" si="38"/>
        <v>0</v>
      </c>
      <c r="Z29" s="90">
        <f t="shared" ca="1" si="39"/>
        <v>0</v>
      </c>
      <c r="AA29" s="83">
        <f t="shared" ca="1" si="40"/>
        <v>0</v>
      </c>
      <c r="AB29" s="83">
        <f t="shared" ca="1" si="41"/>
        <v>0</v>
      </c>
      <c r="AC29" s="83">
        <f t="shared" ca="1" si="42"/>
        <v>0</v>
      </c>
      <c r="AD29" s="83">
        <f t="shared" ca="1" si="43"/>
        <v>0</v>
      </c>
      <c r="AE29" s="90">
        <f t="shared" ca="1" si="44"/>
        <v>0</v>
      </c>
      <c r="AF29" s="90">
        <f t="shared" ca="1" si="45"/>
        <v>0</v>
      </c>
      <c r="AG29" s="83">
        <f t="shared" ca="1" si="46"/>
        <v>0</v>
      </c>
      <c r="AH29" s="90">
        <f t="shared" ca="1" si="47"/>
        <v>0</v>
      </c>
      <c r="AI29" s="90">
        <v>0</v>
      </c>
      <c r="AJ29" s="83">
        <f t="shared" ca="1" si="48"/>
        <v>0</v>
      </c>
      <c r="AK29" s="90">
        <f t="shared" ca="1" si="49"/>
        <v>0</v>
      </c>
      <c r="AL29" s="90">
        <v>0</v>
      </c>
      <c r="AM29" s="83">
        <f t="shared" ca="1" si="50"/>
        <v>0</v>
      </c>
      <c r="AN29" s="83">
        <f t="shared" ca="1" si="51"/>
        <v>332.22419999999994</v>
      </c>
      <c r="AO29" s="83">
        <f t="shared" ca="1" si="52"/>
        <v>0</v>
      </c>
      <c r="AP29" s="83">
        <f t="shared" ca="1" si="53"/>
        <v>332.22419999999994</v>
      </c>
      <c r="AQ29" s="90">
        <f t="shared" ca="1" si="54"/>
        <v>0</v>
      </c>
      <c r="AR29" s="90">
        <v>0</v>
      </c>
      <c r="AS29" s="83">
        <f t="shared" ca="1" si="55"/>
        <v>0</v>
      </c>
      <c r="AT29" s="90">
        <f t="shared" ca="1" si="56"/>
        <v>0</v>
      </c>
      <c r="AU29" s="90">
        <f t="shared" ca="1" si="57"/>
        <v>0</v>
      </c>
      <c r="AV29" s="83">
        <f t="shared" ca="1" si="58"/>
        <v>0</v>
      </c>
      <c r="AW29" s="90">
        <f t="shared" ca="1" si="59"/>
        <v>0</v>
      </c>
      <c r="AX29" s="90">
        <v>0</v>
      </c>
      <c r="AY29" s="90">
        <f t="shared" ca="1" si="60"/>
        <v>0</v>
      </c>
      <c r="AZ29" s="83">
        <f t="shared" ca="1" si="61"/>
        <v>0</v>
      </c>
      <c r="BA29" s="83">
        <f t="shared" ca="1" si="62"/>
        <v>0</v>
      </c>
      <c r="BB29" s="83">
        <f t="shared" ca="1" si="63"/>
        <v>0</v>
      </c>
      <c r="BC29" s="82"/>
      <c r="BD29" s="83">
        <f t="shared" ca="1" si="64"/>
        <v>0</v>
      </c>
      <c r="BE29" s="83">
        <f t="shared" ca="1" si="69"/>
        <v>22.148279999999996</v>
      </c>
      <c r="BF29" s="82"/>
      <c r="BG29" s="83">
        <f t="shared" ca="1" si="65"/>
        <v>0</v>
      </c>
      <c r="BH29" s="91">
        <f t="shared" ca="1" si="66"/>
        <v>0</v>
      </c>
      <c r="BI29" s="82"/>
      <c r="BJ29" s="83">
        <f>IF(Nomina!I29=$R$3,0,IF(F29=0,0,BD29+BG29))</f>
        <v>0</v>
      </c>
      <c r="BK29" s="83">
        <f t="shared" ca="1" si="67"/>
        <v>0</v>
      </c>
    </row>
    <row r="30" spans="1:63" x14ac:dyDescent="0.25">
      <c r="A30" s="82">
        <f>+Nomina!B30</f>
        <v>24</v>
      </c>
      <c r="B30" s="83" t="str">
        <f>Nomina!C30&amp;" "&amp;Nomina!D30</f>
        <v xml:space="preserve"> </v>
      </c>
      <c r="C30" s="84">
        <v>15</v>
      </c>
      <c r="D30" s="84">
        <v>61</v>
      </c>
      <c r="E30" s="83"/>
      <c r="F30" s="85">
        <f>Nomina!P30*(30.4/30)</f>
        <v>0</v>
      </c>
      <c r="G30" s="85">
        <f>IF(F30=0,0,LOOKUP(F30,Tablas!$A$4:'Tablas'!$D$14,Tablas!$A$4:'Tablas'!$A$14))</f>
        <v>0</v>
      </c>
      <c r="H30" s="85">
        <f t="shared" si="33"/>
        <v>0</v>
      </c>
      <c r="I30" s="86">
        <f>IF(F30=0,0,LOOKUP(F30,Tablas!$A$4:'Tablas'!$D$14,Tablas!$D$4:'Tablas'!$D$14))</f>
        <v>0</v>
      </c>
      <c r="J30" s="85">
        <f t="shared" si="34"/>
        <v>0</v>
      </c>
      <c r="K30" s="85">
        <f>IF(F30=0,0,LOOKUP(F30,Tablas!$A$4:'Tablas'!$D$14,Tablas!$C$4:'Tablas'!$C$14))</f>
        <v>0</v>
      </c>
      <c r="L30" s="85">
        <f t="shared" si="35"/>
        <v>0</v>
      </c>
      <c r="M30" s="85">
        <f>IF(F30=0,0,LOOKUP(F30,Tablas!$A$20:'Tablas'!$C$30,Tablas!$C$20:'Tablas'!$C$30))</f>
        <v>0</v>
      </c>
      <c r="N30" s="85">
        <f t="shared" si="68"/>
        <v>0</v>
      </c>
      <c r="O30" s="85">
        <f>IF(F30&lt;Tablas!$B$20,M30,0)</f>
        <v>0</v>
      </c>
      <c r="P30" s="90"/>
      <c r="Q30" s="88">
        <f ca="1">IF(Nomina!F30="",0,(VLOOKUP((ROUNDUP(((TODAY()-Nomina!F30)/365),0)),Tablas!$F$4:$I$23,4)))</f>
        <v>0</v>
      </c>
      <c r="R30" s="89">
        <f ca="1">IF(Nomina!I30*Q30&gt;($R$3*25),$R$3*25,Nomina!I30*Q30)</f>
        <v>0</v>
      </c>
      <c r="S30" s="90">
        <f t="shared" si="70"/>
        <v>332.22419999999994</v>
      </c>
      <c r="T30" s="90">
        <v>0</v>
      </c>
      <c r="U30" s="83">
        <f t="shared" si="36"/>
        <v>332.22419999999994</v>
      </c>
      <c r="V30" s="90">
        <f t="shared" ca="1" si="3"/>
        <v>0</v>
      </c>
      <c r="W30" s="90">
        <f t="shared" ca="1" si="4"/>
        <v>0</v>
      </c>
      <c r="X30" s="83">
        <f t="shared" ca="1" si="37"/>
        <v>0</v>
      </c>
      <c r="Y30" s="90">
        <f t="shared" ca="1" si="38"/>
        <v>0</v>
      </c>
      <c r="Z30" s="90">
        <f t="shared" ca="1" si="39"/>
        <v>0</v>
      </c>
      <c r="AA30" s="83">
        <f t="shared" ca="1" si="40"/>
        <v>0</v>
      </c>
      <c r="AB30" s="83">
        <f t="shared" ca="1" si="41"/>
        <v>0</v>
      </c>
      <c r="AC30" s="83">
        <f t="shared" ca="1" si="42"/>
        <v>0</v>
      </c>
      <c r="AD30" s="83">
        <f t="shared" ca="1" si="43"/>
        <v>0</v>
      </c>
      <c r="AE30" s="90">
        <f t="shared" ca="1" si="44"/>
        <v>0</v>
      </c>
      <c r="AF30" s="90">
        <f t="shared" ca="1" si="45"/>
        <v>0</v>
      </c>
      <c r="AG30" s="83">
        <f t="shared" ca="1" si="46"/>
        <v>0</v>
      </c>
      <c r="AH30" s="90">
        <f t="shared" ca="1" si="47"/>
        <v>0</v>
      </c>
      <c r="AI30" s="90">
        <v>0</v>
      </c>
      <c r="AJ30" s="83">
        <f t="shared" ca="1" si="48"/>
        <v>0</v>
      </c>
      <c r="AK30" s="90">
        <f t="shared" ca="1" si="49"/>
        <v>0</v>
      </c>
      <c r="AL30" s="90">
        <v>0</v>
      </c>
      <c r="AM30" s="83">
        <f t="shared" ca="1" si="50"/>
        <v>0</v>
      </c>
      <c r="AN30" s="83">
        <f t="shared" ca="1" si="51"/>
        <v>332.22419999999994</v>
      </c>
      <c r="AO30" s="83">
        <f t="shared" ca="1" si="52"/>
        <v>0</v>
      </c>
      <c r="AP30" s="83">
        <f t="shared" ca="1" si="53"/>
        <v>332.22419999999994</v>
      </c>
      <c r="AQ30" s="90">
        <f t="shared" ca="1" si="54"/>
        <v>0</v>
      </c>
      <c r="AR30" s="90">
        <v>0</v>
      </c>
      <c r="AS30" s="83">
        <f t="shared" ca="1" si="55"/>
        <v>0</v>
      </c>
      <c r="AT30" s="90">
        <f t="shared" ca="1" si="56"/>
        <v>0</v>
      </c>
      <c r="AU30" s="90">
        <f t="shared" ca="1" si="57"/>
        <v>0</v>
      </c>
      <c r="AV30" s="83">
        <f t="shared" ca="1" si="58"/>
        <v>0</v>
      </c>
      <c r="AW30" s="90">
        <f t="shared" ca="1" si="59"/>
        <v>0</v>
      </c>
      <c r="AX30" s="90">
        <v>0</v>
      </c>
      <c r="AY30" s="90">
        <f t="shared" ca="1" si="60"/>
        <v>0</v>
      </c>
      <c r="AZ30" s="83">
        <f t="shared" ca="1" si="61"/>
        <v>0</v>
      </c>
      <c r="BA30" s="83">
        <f t="shared" ca="1" si="62"/>
        <v>0</v>
      </c>
      <c r="BB30" s="83">
        <f t="shared" ca="1" si="63"/>
        <v>0</v>
      </c>
      <c r="BC30" s="82"/>
      <c r="BD30" s="83">
        <f t="shared" ca="1" si="64"/>
        <v>0</v>
      </c>
      <c r="BE30" s="83">
        <f t="shared" ca="1" si="69"/>
        <v>22.148279999999996</v>
      </c>
      <c r="BF30" s="82"/>
      <c r="BG30" s="83">
        <f t="shared" ca="1" si="65"/>
        <v>0</v>
      </c>
      <c r="BH30" s="91">
        <f t="shared" ca="1" si="66"/>
        <v>0</v>
      </c>
      <c r="BI30" s="82"/>
      <c r="BJ30" s="83">
        <f>IF(Nomina!I30=$R$3,0,IF(F30=0,0,BD30+BG30))</f>
        <v>0</v>
      </c>
      <c r="BK30" s="83">
        <f t="shared" ca="1" si="67"/>
        <v>0</v>
      </c>
    </row>
    <row r="31" spans="1:63" x14ac:dyDescent="0.25">
      <c r="A31" s="82">
        <f>+Nomina!B31</f>
        <v>25</v>
      </c>
      <c r="B31" s="83" t="str">
        <f>Nomina!C31&amp;" "&amp;Nomina!D31</f>
        <v xml:space="preserve"> </v>
      </c>
      <c r="C31" s="84">
        <v>15</v>
      </c>
      <c r="D31" s="84">
        <v>61</v>
      </c>
      <c r="E31" s="83"/>
      <c r="F31" s="85">
        <f>Nomina!P31*(30.4/30)</f>
        <v>0</v>
      </c>
      <c r="G31" s="85">
        <f>IF(F31=0,0,LOOKUP(F31,Tablas!$A$4:'Tablas'!$D$14,Tablas!$A$4:'Tablas'!$A$14))</f>
        <v>0</v>
      </c>
      <c r="H31" s="85">
        <f t="shared" si="33"/>
        <v>0</v>
      </c>
      <c r="I31" s="86">
        <f>IF(F31=0,0,LOOKUP(F31,Tablas!$A$4:'Tablas'!$D$14,Tablas!$D$4:'Tablas'!$D$14))</f>
        <v>0</v>
      </c>
      <c r="J31" s="85">
        <f t="shared" si="34"/>
        <v>0</v>
      </c>
      <c r="K31" s="85">
        <f>IF(F31=0,0,LOOKUP(F31,Tablas!$A$4:'Tablas'!$D$14,Tablas!$C$4:'Tablas'!$C$14))</f>
        <v>0</v>
      </c>
      <c r="L31" s="85">
        <f t="shared" si="35"/>
        <v>0</v>
      </c>
      <c r="M31" s="85">
        <f>IF(F31=0,0,LOOKUP(F31,Tablas!$A$20:'Tablas'!$C$30,Tablas!$C$20:'Tablas'!$C$30))</f>
        <v>0</v>
      </c>
      <c r="N31" s="85">
        <f t="shared" si="68"/>
        <v>0</v>
      </c>
      <c r="O31" s="85">
        <f>IF(F31&lt;Tablas!$B$20,M31,0)</f>
        <v>0</v>
      </c>
      <c r="P31" s="90"/>
      <c r="Q31" s="88">
        <f ca="1">IF(Nomina!F31="",0,(VLOOKUP((ROUNDUP(((TODAY()-Nomina!F31)/365),0)),Tablas!$F$4:$I$23,4)))</f>
        <v>0</v>
      </c>
      <c r="R31" s="89">
        <f ca="1">IF(Nomina!I31*Q31&gt;($R$3*25),$R$3*25,Nomina!I31*Q31)</f>
        <v>0</v>
      </c>
      <c r="S31" s="90">
        <f t="shared" si="70"/>
        <v>332.22419999999994</v>
      </c>
      <c r="T31" s="90">
        <v>0</v>
      </c>
      <c r="U31" s="83">
        <f t="shared" si="36"/>
        <v>332.22419999999994</v>
      </c>
      <c r="V31" s="90">
        <f t="shared" ca="1" si="3"/>
        <v>0</v>
      </c>
      <c r="W31" s="90">
        <f t="shared" ca="1" si="4"/>
        <v>0</v>
      </c>
      <c r="X31" s="83">
        <f t="shared" ca="1" si="37"/>
        <v>0</v>
      </c>
      <c r="Y31" s="90">
        <f t="shared" ca="1" si="38"/>
        <v>0</v>
      </c>
      <c r="Z31" s="90">
        <f t="shared" ca="1" si="39"/>
        <v>0</v>
      </c>
      <c r="AA31" s="83">
        <f t="shared" ca="1" si="40"/>
        <v>0</v>
      </c>
      <c r="AB31" s="83">
        <f t="shared" ca="1" si="41"/>
        <v>0</v>
      </c>
      <c r="AC31" s="83">
        <f t="shared" ca="1" si="42"/>
        <v>0</v>
      </c>
      <c r="AD31" s="83">
        <f t="shared" ca="1" si="43"/>
        <v>0</v>
      </c>
      <c r="AE31" s="90">
        <f t="shared" ca="1" si="44"/>
        <v>0</v>
      </c>
      <c r="AF31" s="90">
        <f t="shared" ca="1" si="45"/>
        <v>0</v>
      </c>
      <c r="AG31" s="83">
        <f t="shared" ca="1" si="46"/>
        <v>0</v>
      </c>
      <c r="AH31" s="90">
        <f t="shared" ca="1" si="47"/>
        <v>0</v>
      </c>
      <c r="AI31" s="90">
        <v>0</v>
      </c>
      <c r="AJ31" s="83">
        <f t="shared" ca="1" si="48"/>
        <v>0</v>
      </c>
      <c r="AK31" s="90">
        <f t="shared" ca="1" si="49"/>
        <v>0</v>
      </c>
      <c r="AL31" s="90">
        <v>0</v>
      </c>
      <c r="AM31" s="83">
        <f t="shared" ca="1" si="50"/>
        <v>0</v>
      </c>
      <c r="AN31" s="83">
        <f t="shared" ca="1" si="51"/>
        <v>332.22419999999994</v>
      </c>
      <c r="AO31" s="83">
        <f t="shared" ca="1" si="52"/>
        <v>0</v>
      </c>
      <c r="AP31" s="83">
        <f t="shared" ca="1" si="53"/>
        <v>332.22419999999994</v>
      </c>
      <c r="AQ31" s="90">
        <f t="shared" ca="1" si="54"/>
        <v>0</v>
      </c>
      <c r="AR31" s="90">
        <v>0</v>
      </c>
      <c r="AS31" s="83">
        <f t="shared" ca="1" si="55"/>
        <v>0</v>
      </c>
      <c r="AT31" s="90">
        <f t="shared" ca="1" si="56"/>
        <v>0</v>
      </c>
      <c r="AU31" s="90">
        <f t="shared" ca="1" si="57"/>
        <v>0</v>
      </c>
      <c r="AV31" s="83">
        <f t="shared" ca="1" si="58"/>
        <v>0</v>
      </c>
      <c r="AW31" s="90">
        <f t="shared" ca="1" si="59"/>
        <v>0</v>
      </c>
      <c r="AX31" s="90">
        <v>0</v>
      </c>
      <c r="AY31" s="90">
        <f t="shared" ca="1" si="60"/>
        <v>0</v>
      </c>
      <c r="AZ31" s="83">
        <f t="shared" ca="1" si="61"/>
        <v>0</v>
      </c>
      <c r="BA31" s="83">
        <f t="shared" ca="1" si="62"/>
        <v>0</v>
      </c>
      <c r="BB31" s="83">
        <f t="shared" ca="1" si="63"/>
        <v>0</v>
      </c>
      <c r="BC31" s="82"/>
      <c r="BD31" s="83">
        <f t="shared" ca="1" si="64"/>
        <v>0</v>
      </c>
      <c r="BE31" s="83">
        <f t="shared" ca="1" si="69"/>
        <v>22.148279999999996</v>
      </c>
      <c r="BF31" s="82"/>
      <c r="BG31" s="83">
        <f t="shared" ca="1" si="65"/>
        <v>0</v>
      </c>
      <c r="BH31" s="91">
        <f t="shared" ca="1" si="66"/>
        <v>0</v>
      </c>
      <c r="BI31" s="82"/>
      <c r="BJ31" s="83">
        <f>IF(Nomina!I31=$R$3,0,IF(F31=0,0,BD31+BG31))</f>
        <v>0</v>
      </c>
      <c r="BK31" s="83">
        <f t="shared" ca="1" si="67"/>
        <v>0</v>
      </c>
    </row>
    <row r="32" spans="1:63" x14ac:dyDescent="0.25">
      <c r="A32" s="82">
        <f>+Nomina!B32</f>
        <v>26</v>
      </c>
      <c r="B32" s="83" t="str">
        <f>Nomina!C32&amp;" "&amp;Nomina!D32</f>
        <v xml:space="preserve"> </v>
      </c>
      <c r="C32" s="84">
        <v>15</v>
      </c>
      <c r="D32" s="84">
        <v>61</v>
      </c>
      <c r="E32" s="83"/>
      <c r="F32" s="85">
        <f>Nomina!P32*(30.4/30)</f>
        <v>0</v>
      </c>
      <c r="G32" s="85">
        <f>IF(F32=0,0,LOOKUP(F32,Tablas!$A$4:'Tablas'!$D$14,Tablas!$A$4:'Tablas'!$A$14))</f>
        <v>0</v>
      </c>
      <c r="H32" s="85">
        <f t="shared" si="33"/>
        <v>0</v>
      </c>
      <c r="I32" s="86">
        <f>IF(F32=0,0,LOOKUP(F32,Tablas!$A$4:'Tablas'!$D$14,Tablas!$D$4:'Tablas'!$D$14))</f>
        <v>0</v>
      </c>
      <c r="J32" s="85">
        <f t="shared" si="34"/>
        <v>0</v>
      </c>
      <c r="K32" s="85">
        <f>IF(F32=0,0,LOOKUP(F32,Tablas!$A$4:'Tablas'!$D$14,Tablas!$C$4:'Tablas'!$C$14))</f>
        <v>0</v>
      </c>
      <c r="L32" s="85">
        <f t="shared" si="35"/>
        <v>0</v>
      </c>
      <c r="M32" s="85">
        <f>IF(F32=0,0,LOOKUP(F32,Tablas!$A$20:'Tablas'!$C$30,Tablas!$C$20:'Tablas'!$C$30))</f>
        <v>0</v>
      </c>
      <c r="N32" s="85">
        <f t="shared" si="68"/>
        <v>0</v>
      </c>
      <c r="O32" s="85">
        <f>IF(F32&lt;Tablas!$B$20,M32,0)</f>
        <v>0</v>
      </c>
      <c r="P32" s="90"/>
      <c r="Q32" s="88">
        <f ca="1">IF(Nomina!F32="",0,(VLOOKUP((ROUNDUP(((TODAY()-Nomina!F32)/365),0)),Tablas!$F$4:$I$23,4)))</f>
        <v>0</v>
      </c>
      <c r="R32" s="89">
        <f ca="1">IF(Nomina!I32*Q32&gt;($R$3*25),$R$3*25,Nomina!I32*Q32)</f>
        <v>0</v>
      </c>
      <c r="S32" s="90">
        <f t="shared" si="70"/>
        <v>332.22419999999994</v>
      </c>
      <c r="T32" s="90">
        <v>0</v>
      </c>
      <c r="U32" s="83">
        <f t="shared" si="36"/>
        <v>332.22419999999994</v>
      </c>
      <c r="V32" s="90">
        <f t="shared" ca="1" si="3"/>
        <v>0</v>
      </c>
      <c r="W32" s="90">
        <f t="shared" ca="1" si="4"/>
        <v>0</v>
      </c>
      <c r="X32" s="83">
        <f t="shared" ca="1" si="37"/>
        <v>0</v>
      </c>
      <c r="Y32" s="90">
        <f t="shared" ca="1" si="38"/>
        <v>0</v>
      </c>
      <c r="Z32" s="90">
        <f t="shared" ca="1" si="39"/>
        <v>0</v>
      </c>
      <c r="AA32" s="83">
        <f t="shared" ca="1" si="40"/>
        <v>0</v>
      </c>
      <c r="AB32" s="83">
        <f t="shared" ca="1" si="41"/>
        <v>0</v>
      </c>
      <c r="AC32" s="83">
        <f t="shared" ca="1" si="42"/>
        <v>0</v>
      </c>
      <c r="AD32" s="83">
        <f t="shared" ca="1" si="43"/>
        <v>0</v>
      </c>
      <c r="AE32" s="90">
        <f t="shared" ca="1" si="44"/>
        <v>0</v>
      </c>
      <c r="AF32" s="90">
        <f t="shared" ca="1" si="45"/>
        <v>0</v>
      </c>
      <c r="AG32" s="83">
        <f t="shared" ca="1" si="46"/>
        <v>0</v>
      </c>
      <c r="AH32" s="90">
        <f t="shared" ca="1" si="47"/>
        <v>0</v>
      </c>
      <c r="AI32" s="90">
        <v>0</v>
      </c>
      <c r="AJ32" s="83">
        <f t="shared" ca="1" si="48"/>
        <v>0</v>
      </c>
      <c r="AK32" s="90">
        <f t="shared" ca="1" si="49"/>
        <v>0</v>
      </c>
      <c r="AL32" s="90">
        <v>0</v>
      </c>
      <c r="AM32" s="83">
        <f t="shared" ca="1" si="50"/>
        <v>0</v>
      </c>
      <c r="AN32" s="83">
        <f t="shared" ca="1" si="51"/>
        <v>332.22419999999994</v>
      </c>
      <c r="AO32" s="83">
        <f t="shared" ca="1" si="52"/>
        <v>0</v>
      </c>
      <c r="AP32" s="83">
        <f t="shared" ca="1" si="53"/>
        <v>332.22419999999994</v>
      </c>
      <c r="AQ32" s="90">
        <f t="shared" ca="1" si="54"/>
        <v>0</v>
      </c>
      <c r="AR32" s="90">
        <v>0</v>
      </c>
      <c r="AS32" s="83">
        <f t="shared" ca="1" si="55"/>
        <v>0</v>
      </c>
      <c r="AT32" s="90">
        <f t="shared" ca="1" si="56"/>
        <v>0</v>
      </c>
      <c r="AU32" s="90">
        <f t="shared" ca="1" si="57"/>
        <v>0</v>
      </c>
      <c r="AV32" s="83">
        <f t="shared" ca="1" si="58"/>
        <v>0</v>
      </c>
      <c r="AW32" s="90">
        <f t="shared" ca="1" si="59"/>
        <v>0</v>
      </c>
      <c r="AX32" s="90">
        <v>0</v>
      </c>
      <c r="AY32" s="90">
        <f t="shared" ca="1" si="60"/>
        <v>0</v>
      </c>
      <c r="AZ32" s="83">
        <f t="shared" ca="1" si="61"/>
        <v>0</v>
      </c>
      <c r="BA32" s="83">
        <f t="shared" ca="1" si="62"/>
        <v>0</v>
      </c>
      <c r="BB32" s="83">
        <f t="shared" ca="1" si="63"/>
        <v>0</v>
      </c>
      <c r="BC32" s="82"/>
      <c r="BD32" s="83">
        <f t="shared" ca="1" si="64"/>
        <v>0</v>
      </c>
      <c r="BE32" s="83">
        <f t="shared" ca="1" si="69"/>
        <v>22.148279999999996</v>
      </c>
      <c r="BF32" s="82"/>
      <c r="BG32" s="83">
        <f t="shared" ca="1" si="65"/>
        <v>0</v>
      </c>
      <c r="BH32" s="91">
        <f t="shared" ca="1" si="66"/>
        <v>0</v>
      </c>
      <c r="BI32" s="82"/>
      <c r="BJ32" s="83">
        <f>IF(Nomina!I32=$R$3,0,IF(F32=0,0,BD32+BG32))</f>
        <v>0</v>
      </c>
      <c r="BK32" s="83">
        <f t="shared" ca="1" si="67"/>
        <v>0</v>
      </c>
    </row>
    <row r="33" spans="1:63" x14ac:dyDescent="0.25">
      <c r="A33" s="82">
        <f>+Nomina!B33</f>
        <v>27</v>
      </c>
      <c r="B33" s="83" t="str">
        <f>Nomina!C33&amp;" "&amp;Nomina!D33</f>
        <v xml:space="preserve"> </v>
      </c>
      <c r="C33" s="84">
        <v>15</v>
      </c>
      <c r="D33" s="84">
        <v>61</v>
      </c>
      <c r="E33" s="83"/>
      <c r="F33" s="85">
        <f>Nomina!P33*(30.4/30)</f>
        <v>0</v>
      </c>
      <c r="G33" s="85">
        <f>IF(F33=0,0,LOOKUP(F33,Tablas!$A$4:'Tablas'!$D$14,Tablas!$A$4:'Tablas'!$A$14))</f>
        <v>0</v>
      </c>
      <c r="H33" s="85">
        <f t="shared" si="33"/>
        <v>0</v>
      </c>
      <c r="I33" s="86">
        <f>IF(F33=0,0,LOOKUP(F33,Tablas!$A$4:'Tablas'!$D$14,Tablas!$D$4:'Tablas'!$D$14))</f>
        <v>0</v>
      </c>
      <c r="J33" s="85">
        <f t="shared" si="34"/>
        <v>0</v>
      </c>
      <c r="K33" s="85">
        <f>IF(F33=0,0,LOOKUP(F33,Tablas!$A$4:'Tablas'!$D$14,Tablas!$C$4:'Tablas'!$C$14))</f>
        <v>0</v>
      </c>
      <c r="L33" s="85">
        <f t="shared" si="35"/>
        <v>0</v>
      </c>
      <c r="M33" s="85">
        <f>IF(F33=0,0,LOOKUP(F33,Tablas!$A$20:'Tablas'!$C$30,Tablas!$C$20:'Tablas'!$C$30))</f>
        <v>0</v>
      </c>
      <c r="N33" s="85">
        <f t="shared" si="68"/>
        <v>0</v>
      </c>
      <c r="O33" s="85">
        <f>IF(F33&lt;Tablas!$B$20,M33,0)</f>
        <v>0</v>
      </c>
      <c r="P33" s="90"/>
      <c r="Q33" s="88">
        <f ca="1">IF(Nomina!F33="",0,(VLOOKUP((ROUNDUP(((TODAY()-Nomina!F33)/365),0)),Tablas!$F$4:$I$23,4)))</f>
        <v>0</v>
      </c>
      <c r="R33" s="89">
        <f ca="1">IF(Nomina!I33*Q33&gt;($R$3*25),$R$3*25,Nomina!I33*Q33)</f>
        <v>0</v>
      </c>
      <c r="S33" s="90">
        <f t="shared" si="70"/>
        <v>332.22419999999994</v>
      </c>
      <c r="T33" s="90">
        <v>0</v>
      </c>
      <c r="U33" s="83">
        <f t="shared" si="36"/>
        <v>332.22419999999994</v>
      </c>
      <c r="V33" s="90">
        <f t="shared" ca="1" si="3"/>
        <v>0</v>
      </c>
      <c r="W33" s="90">
        <f t="shared" ca="1" si="4"/>
        <v>0</v>
      </c>
      <c r="X33" s="83">
        <f t="shared" ca="1" si="37"/>
        <v>0</v>
      </c>
      <c r="Y33" s="90">
        <f t="shared" ca="1" si="38"/>
        <v>0</v>
      </c>
      <c r="Z33" s="90">
        <f t="shared" ca="1" si="39"/>
        <v>0</v>
      </c>
      <c r="AA33" s="83">
        <f t="shared" ca="1" si="40"/>
        <v>0</v>
      </c>
      <c r="AB33" s="83">
        <f t="shared" ca="1" si="41"/>
        <v>0</v>
      </c>
      <c r="AC33" s="83">
        <f t="shared" ca="1" si="42"/>
        <v>0</v>
      </c>
      <c r="AD33" s="83">
        <f t="shared" ca="1" si="43"/>
        <v>0</v>
      </c>
      <c r="AE33" s="90">
        <f t="shared" ca="1" si="44"/>
        <v>0</v>
      </c>
      <c r="AF33" s="90">
        <f t="shared" ca="1" si="45"/>
        <v>0</v>
      </c>
      <c r="AG33" s="83">
        <f t="shared" ca="1" si="46"/>
        <v>0</v>
      </c>
      <c r="AH33" s="90">
        <f t="shared" ca="1" si="47"/>
        <v>0</v>
      </c>
      <c r="AI33" s="90">
        <v>0</v>
      </c>
      <c r="AJ33" s="83">
        <f t="shared" ca="1" si="48"/>
        <v>0</v>
      </c>
      <c r="AK33" s="90">
        <f t="shared" ca="1" si="49"/>
        <v>0</v>
      </c>
      <c r="AL33" s="90">
        <v>0</v>
      </c>
      <c r="AM33" s="83">
        <f t="shared" ca="1" si="50"/>
        <v>0</v>
      </c>
      <c r="AN33" s="83">
        <f t="shared" ca="1" si="51"/>
        <v>332.22419999999994</v>
      </c>
      <c r="AO33" s="83">
        <f t="shared" ca="1" si="52"/>
        <v>0</v>
      </c>
      <c r="AP33" s="83">
        <f t="shared" ca="1" si="53"/>
        <v>332.22419999999994</v>
      </c>
      <c r="AQ33" s="90">
        <f t="shared" ca="1" si="54"/>
        <v>0</v>
      </c>
      <c r="AR33" s="90">
        <v>0</v>
      </c>
      <c r="AS33" s="83">
        <f t="shared" ca="1" si="55"/>
        <v>0</v>
      </c>
      <c r="AT33" s="90">
        <f t="shared" ca="1" si="56"/>
        <v>0</v>
      </c>
      <c r="AU33" s="90">
        <f t="shared" ca="1" si="57"/>
        <v>0</v>
      </c>
      <c r="AV33" s="83">
        <f t="shared" ca="1" si="58"/>
        <v>0</v>
      </c>
      <c r="AW33" s="90">
        <f t="shared" ca="1" si="59"/>
        <v>0</v>
      </c>
      <c r="AX33" s="90">
        <v>0</v>
      </c>
      <c r="AY33" s="90">
        <f t="shared" ca="1" si="60"/>
        <v>0</v>
      </c>
      <c r="AZ33" s="83">
        <f t="shared" ca="1" si="61"/>
        <v>0</v>
      </c>
      <c r="BA33" s="83">
        <f t="shared" ca="1" si="62"/>
        <v>0</v>
      </c>
      <c r="BB33" s="83">
        <f t="shared" ca="1" si="63"/>
        <v>0</v>
      </c>
      <c r="BC33" s="82"/>
      <c r="BD33" s="83">
        <f t="shared" ca="1" si="64"/>
        <v>0</v>
      </c>
      <c r="BE33" s="83">
        <f t="shared" ca="1" si="69"/>
        <v>22.148279999999996</v>
      </c>
      <c r="BF33" s="82"/>
      <c r="BG33" s="83">
        <f t="shared" ca="1" si="65"/>
        <v>0</v>
      </c>
      <c r="BH33" s="91">
        <f t="shared" ca="1" si="66"/>
        <v>0</v>
      </c>
      <c r="BI33" s="82"/>
      <c r="BJ33" s="83">
        <f>IF(Nomina!I33=$R$3,0,IF(F33=0,0,BD33+BG33))</f>
        <v>0</v>
      </c>
      <c r="BK33" s="83">
        <f t="shared" ca="1" si="67"/>
        <v>0</v>
      </c>
    </row>
    <row r="34" spans="1:63" x14ac:dyDescent="0.25">
      <c r="A34" s="82">
        <f>+Nomina!B34</f>
        <v>28</v>
      </c>
      <c r="B34" s="83" t="str">
        <f>Nomina!C34&amp;" "&amp;Nomina!D34</f>
        <v xml:space="preserve"> </v>
      </c>
      <c r="C34" s="84">
        <v>15</v>
      </c>
      <c r="D34" s="84">
        <v>61</v>
      </c>
      <c r="E34" s="83"/>
      <c r="F34" s="85">
        <f>Nomina!P34*(30.4/30)</f>
        <v>0</v>
      </c>
      <c r="G34" s="85">
        <f>IF(F34=0,0,LOOKUP(F34,Tablas!$A$4:'Tablas'!$D$14,Tablas!$A$4:'Tablas'!$A$14))</f>
        <v>0</v>
      </c>
      <c r="H34" s="85">
        <f t="shared" si="33"/>
        <v>0</v>
      </c>
      <c r="I34" s="86">
        <f>IF(F34=0,0,LOOKUP(F34,Tablas!$A$4:'Tablas'!$D$14,Tablas!$D$4:'Tablas'!$D$14))</f>
        <v>0</v>
      </c>
      <c r="J34" s="85">
        <f t="shared" si="34"/>
        <v>0</v>
      </c>
      <c r="K34" s="85">
        <f>IF(F34=0,0,LOOKUP(F34,Tablas!$A$4:'Tablas'!$D$14,Tablas!$C$4:'Tablas'!$C$14))</f>
        <v>0</v>
      </c>
      <c r="L34" s="85">
        <f t="shared" si="35"/>
        <v>0</v>
      </c>
      <c r="M34" s="85">
        <f>IF(F34=0,0,LOOKUP(F34,Tablas!$A$20:'Tablas'!$C$30,Tablas!$C$20:'Tablas'!$C$30))</f>
        <v>0</v>
      </c>
      <c r="N34" s="85">
        <f t="shared" si="68"/>
        <v>0</v>
      </c>
      <c r="O34" s="85">
        <f>IF(F34&lt;Tablas!$B$20,M34,0)</f>
        <v>0</v>
      </c>
      <c r="P34" s="90"/>
      <c r="Q34" s="88">
        <f ca="1">IF(Nomina!F34="",0,(VLOOKUP((ROUNDUP(((TODAY()-Nomina!F34)/365),0)),Tablas!$F$4:$I$23,4)))</f>
        <v>0</v>
      </c>
      <c r="R34" s="89">
        <f ca="1">IF(Nomina!I34*Q34&gt;($R$3*25),$R$3*25,Nomina!I34*Q34)</f>
        <v>0</v>
      </c>
      <c r="S34" s="90">
        <f t="shared" si="70"/>
        <v>332.22419999999994</v>
      </c>
      <c r="T34" s="90">
        <v>0</v>
      </c>
      <c r="U34" s="83">
        <f t="shared" si="36"/>
        <v>332.22419999999994</v>
      </c>
      <c r="V34" s="90">
        <f t="shared" ca="1" si="3"/>
        <v>0</v>
      </c>
      <c r="W34" s="90">
        <f t="shared" ca="1" si="4"/>
        <v>0</v>
      </c>
      <c r="X34" s="83">
        <f t="shared" ca="1" si="37"/>
        <v>0</v>
      </c>
      <c r="Y34" s="90">
        <f t="shared" ca="1" si="38"/>
        <v>0</v>
      </c>
      <c r="Z34" s="90">
        <f t="shared" ca="1" si="39"/>
        <v>0</v>
      </c>
      <c r="AA34" s="83">
        <f t="shared" ca="1" si="40"/>
        <v>0</v>
      </c>
      <c r="AB34" s="83">
        <f t="shared" ca="1" si="41"/>
        <v>0</v>
      </c>
      <c r="AC34" s="83">
        <f t="shared" ca="1" si="42"/>
        <v>0</v>
      </c>
      <c r="AD34" s="83">
        <f t="shared" ca="1" si="43"/>
        <v>0</v>
      </c>
      <c r="AE34" s="90">
        <f t="shared" ca="1" si="44"/>
        <v>0</v>
      </c>
      <c r="AF34" s="90">
        <f t="shared" ca="1" si="45"/>
        <v>0</v>
      </c>
      <c r="AG34" s="83">
        <f t="shared" ca="1" si="46"/>
        <v>0</v>
      </c>
      <c r="AH34" s="90">
        <f t="shared" ca="1" si="47"/>
        <v>0</v>
      </c>
      <c r="AI34" s="90">
        <v>0</v>
      </c>
      <c r="AJ34" s="83">
        <f t="shared" ca="1" si="48"/>
        <v>0</v>
      </c>
      <c r="AK34" s="90">
        <f t="shared" ca="1" si="49"/>
        <v>0</v>
      </c>
      <c r="AL34" s="90">
        <v>0</v>
      </c>
      <c r="AM34" s="83">
        <f t="shared" ca="1" si="50"/>
        <v>0</v>
      </c>
      <c r="AN34" s="83">
        <f t="shared" ca="1" si="51"/>
        <v>332.22419999999994</v>
      </c>
      <c r="AO34" s="83">
        <f t="shared" ca="1" si="52"/>
        <v>0</v>
      </c>
      <c r="AP34" s="83">
        <f t="shared" ca="1" si="53"/>
        <v>332.22419999999994</v>
      </c>
      <c r="AQ34" s="90">
        <f t="shared" ca="1" si="54"/>
        <v>0</v>
      </c>
      <c r="AR34" s="90">
        <v>0</v>
      </c>
      <c r="AS34" s="83">
        <f t="shared" ca="1" si="55"/>
        <v>0</v>
      </c>
      <c r="AT34" s="90">
        <f t="shared" ca="1" si="56"/>
        <v>0</v>
      </c>
      <c r="AU34" s="90">
        <f t="shared" ca="1" si="57"/>
        <v>0</v>
      </c>
      <c r="AV34" s="83">
        <f t="shared" ca="1" si="58"/>
        <v>0</v>
      </c>
      <c r="AW34" s="90">
        <f t="shared" ca="1" si="59"/>
        <v>0</v>
      </c>
      <c r="AX34" s="90">
        <v>0</v>
      </c>
      <c r="AY34" s="90">
        <f t="shared" ca="1" si="60"/>
        <v>0</v>
      </c>
      <c r="AZ34" s="83">
        <f t="shared" ca="1" si="61"/>
        <v>0</v>
      </c>
      <c r="BA34" s="83">
        <f t="shared" ca="1" si="62"/>
        <v>0</v>
      </c>
      <c r="BB34" s="83">
        <f t="shared" ca="1" si="63"/>
        <v>0</v>
      </c>
      <c r="BC34" s="82"/>
      <c r="BD34" s="83">
        <f t="shared" ca="1" si="64"/>
        <v>0</v>
      </c>
      <c r="BE34" s="83">
        <f t="shared" ca="1" si="69"/>
        <v>22.148279999999996</v>
      </c>
      <c r="BF34" s="82"/>
      <c r="BG34" s="83">
        <f t="shared" ca="1" si="65"/>
        <v>0</v>
      </c>
      <c r="BH34" s="91">
        <f t="shared" ca="1" si="66"/>
        <v>0</v>
      </c>
      <c r="BI34" s="82"/>
      <c r="BJ34" s="83">
        <f>IF(Nomina!I34=$R$3,0,IF(F34=0,0,BD34+BG34))</f>
        <v>0</v>
      </c>
      <c r="BK34" s="83">
        <f t="shared" ca="1" si="67"/>
        <v>0</v>
      </c>
    </row>
    <row r="35" spans="1:63" x14ac:dyDescent="0.25">
      <c r="A35" s="82">
        <f>+Nomina!B35</f>
        <v>29</v>
      </c>
      <c r="B35" s="83" t="str">
        <f>Nomina!C35&amp;" "&amp;Nomina!D35</f>
        <v xml:space="preserve"> </v>
      </c>
      <c r="C35" s="84">
        <v>15</v>
      </c>
      <c r="D35" s="84">
        <v>61</v>
      </c>
      <c r="E35" s="83"/>
      <c r="F35" s="85">
        <f>Nomina!P35*(30.4/30)</f>
        <v>0</v>
      </c>
      <c r="G35" s="85">
        <f>IF(F35=0,0,LOOKUP(F35,Tablas!$A$4:'Tablas'!$D$14,Tablas!$A$4:'Tablas'!$A$14))</f>
        <v>0</v>
      </c>
      <c r="H35" s="85">
        <f t="shared" si="33"/>
        <v>0</v>
      </c>
      <c r="I35" s="86">
        <f>IF(F35=0,0,LOOKUP(F35,Tablas!$A$4:'Tablas'!$D$14,Tablas!$D$4:'Tablas'!$D$14))</f>
        <v>0</v>
      </c>
      <c r="J35" s="85">
        <f t="shared" si="34"/>
        <v>0</v>
      </c>
      <c r="K35" s="85">
        <f>IF(F35=0,0,LOOKUP(F35,Tablas!$A$4:'Tablas'!$D$14,Tablas!$C$4:'Tablas'!$C$14))</f>
        <v>0</v>
      </c>
      <c r="L35" s="85">
        <f t="shared" si="35"/>
        <v>0</v>
      </c>
      <c r="M35" s="85">
        <f>IF(F35=0,0,LOOKUP(F35,Tablas!$A$20:'Tablas'!$C$30,Tablas!$C$20:'Tablas'!$C$30))</f>
        <v>0</v>
      </c>
      <c r="N35" s="85">
        <f t="shared" si="68"/>
        <v>0</v>
      </c>
      <c r="O35" s="85">
        <f>IF(F35&lt;Tablas!$B$20,M35,0)</f>
        <v>0</v>
      </c>
      <c r="P35" s="90"/>
      <c r="Q35" s="88">
        <f ca="1">IF(Nomina!F35="",0,(VLOOKUP((ROUNDUP(((TODAY()-Nomina!F35)/365),0)),Tablas!$F$4:$I$23,4)))</f>
        <v>0</v>
      </c>
      <c r="R35" s="89">
        <f ca="1">IF(Nomina!I35*Q35&gt;($R$3*25),$R$3*25,Nomina!I35*Q35)</f>
        <v>0</v>
      </c>
      <c r="S35" s="90">
        <f t="shared" si="70"/>
        <v>332.22419999999994</v>
      </c>
      <c r="T35" s="90">
        <v>0</v>
      </c>
      <c r="U35" s="83">
        <f t="shared" si="36"/>
        <v>332.22419999999994</v>
      </c>
      <c r="V35" s="90">
        <f t="shared" ca="1" si="3"/>
        <v>0</v>
      </c>
      <c r="W35" s="90">
        <f t="shared" ca="1" si="4"/>
        <v>0</v>
      </c>
      <c r="X35" s="83">
        <f t="shared" ca="1" si="37"/>
        <v>0</v>
      </c>
      <c r="Y35" s="90">
        <f t="shared" ca="1" si="38"/>
        <v>0</v>
      </c>
      <c r="Z35" s="90">
        <f t="shared" ca="1" si="39"/>
        <v>0</v>
      </c>
      <c r="AA35" s="83">
        <f t="shared" ca="1" si="40"/>
        <v>0</v>
      </c>
      <c r="AB35" s="83">
        <f t="shared" ca="1" si="41"/>
        <v>0</v>
      </c>
      <c r="AC35" s="83">
        <f t="shared" ca="1" si="42"/>
        <v>0</v>
      </c>
      <c r="AD35" s="83">
        <f t="shared" ca="1" si="43"/>
        <v>0</v>
      </c>
      <c r="AE35" s="90">
        <f t="shared" ca="1" si="44"/>
        <v>0</v>
      </c>
      <c r="AF35" s="90">
        <f t="shared" ca="1" si="45"/>
        <v>0</v>
      </c>
      <c r="AG35" s="83">
        <f t="shared" ca="1" si="46"/>
        <v>0</v>
      </c>
      <c r="AH35" s="90">
        <f t="shared" ca="1" si="47"/>
        <v>0</v>
      </c>
      <c r="AI35" s="90">
        <v>0</v>
      </c>
      <c r="AJ35" s="83">
        <f t="shared" ca="1" si="48"/>
        <v>0</v>
      </c>
      <c r="AK35" s="90">
        <f t="shared" ca="1" si="49"/>
        <v>0</v>
      </c>
      <c r="AL35" s="90">
        <v>0</v>
      </c>
      <c r="AM35" s="83">
        <f t="shared" ca="1" si="50"/>
        <v>0</v>
      </c>
      <c r="AN35" s="83">
        <f t="shared" ca="1" si="51"/>
        <v>332.22419999999994</v>
      </c>
      <c r="AO35" s="83">
        <f t="shared" ca="1" si="52"/>
        <v>0</v>
      </c>
      <c r="AP35" s="83">
        <f t="shared" ca="1" si="53"/>
        <v>332.22419999999994</v>
      </c>
      <c r="AQ35" s="90">
        <f t="shared" ca="1" si="54"/>
        <v>0</v>
      </c>
      <c r="AR35" s="90">
        <v>0</v>
      </c>
      <c r="AS35" s="83">
        <f t="shared" ca="1" si="55"/>
        <v>0</v>
      </c>
      <c r="AT35" s="90">
        <f t="shared" ca="1" si="56"/>
        <v>0</v>
      </c>
      <c r="AU35" s="90">
        <f t="shared" ca="1" si="57"/>
        <v>0</v>
      </c>
      <c r="AV35" s="83">
        <f t="shared" ca="1" si="58"/>
        <v>0</v>
      </c>
      <c r="AW35" s="90">
        <f t="shared" ca="1" si="59"/>
        <v>0</v>
      </c>
      <c r="AX35" s="90">
        <v>0</v>
      </c>
      <c r="AY35" s="90">
        <f t="shared" ca="1" si="60"/>
        <v>0</v>
      </c>
      <c r="AZ35" s="83">
        <f t="shared" ca="1" si="61"/>
        <v>0</v>
      </c>
      <c r="BA35" s="83">
        <f t="shared" ca="1" si="62"/>
        <v>0</v>
      </c>
      <c r="BB35" s="83">
        <f t="shared" ca="1" si="63"/>
        <v>0</v>
      </c>
      <c r="BC35" s="82"/>
      <c r="BD35" s="83">
        <f t="shared" ca="1" si="64"/>
        <v>0</v>
      </c>
      <c r="BE35" s="83">
        <f t="shared" ca="1" si="69"/>
        <v>22.148279999999996</v>
      </c>
      <c r="BF35" s="82"/>
      <c r="BG35" s="83">
        <f t="shared" ca="1" si="65"/>
        <v>0</v>
      </c>
      <c r="BH35" s="91">
        <f t="shared" ca="1" si="66"/>
        <v>0</v>
      </c>
      <c r="BI35" s="82"/>
      <c r="BJ35" s="83">
        <f>IF(Nomina!I35=$R$3,0,IF(F35=0,0,BD35+BG35))</f>
        <v>0</v>
      </c>
      <c r="BK35" s="83">
        <f t="shared" ca="1" si="67"/>
        <v>0</v>
      </c>
    </row>
    <row r="36" spans="1:63" x14ac:dyDescent="0.25">
      <c r="A36" s="82">
        <f>+Nomina!B36</f>
        <v>30</v>
      </c>
      <c r="B36" s="83" t="str">
        <f>Nomina!C36&amp;" "&amp;Nomina!D36</f>
        <v xml:space="preserve"> </v>
      </c>
      <c r="C36" s="84">
        <v>15</v>
      </c>
      <c r="D36" s="84">
        <v>61</v>
      </c>
      <c r="E36" s="83"/>
      <c r="F36" s="85">
        <f>Nomina!P36*(30.4/30)</f>
        <v>0</v>
      </c>
      <c r="G36" s="85">
        <f>IF(F36=0,0,LOOKUP(F36,Tablas!$A$4:'Tablas'!$D$14,Tablas!$A$4:'Tablas'!$A$14))</f>
        <v>0</v>
      </c>
      <c r="H36" s="85">
        <f t="shared" si="33"/>
        <v>0</v>
      </c>
      <c r="I36" s="86">
        <f>IF(F36=0,0,LOOKUP(F36,Tablas!$A$4:'Tablas'!$D$14,Tablas!$D$4:'Tablas'!$D$14))</f>
        <v>0</v>
      </c>
      <c r="J36" s="85">
        <f t="shared" si="34"/>
        <v>0</v>
      </c>
      <c r="K36" s="85">
        <f>IF(F36=0,0,LOOKUP(F36,Tablas!$A$4:'Tablas'!$D$14,Tablas!$C$4:'Tablas'!$C$14))</f>
        <v>0</v>
      </c>
      <c r="L36" s="85">
        <f t="shared" si="35"/>
        <v>0</v>
      </c>
      <c r="M36" s="85">
        <f>IF(F36=0,0,LOOKUP(F36,Tablas!$A$20:'Tablas'!$C$30,Tablas!$C$20:'Tablas'!$C$30))</f>
        <v>0</v>
      </c>
      <c r="N36" s="85">
        <f t="shared" si="68"/>
        <v>0</v>
      </c>
      <c r="O36" s="85">
        <f>IF(F36&lt;Tablas!$B$20,M36,0)</f>
        <v>0</v>
      </c>
      <c r="P36" s="90"/>
      <c r="Q36" s="88">
        <f ca="1">IF(Nomina!F36="",0,(VLOOKUP((ROUNDUP(((TODAY()-Nomina!F36)/365),0)),Tablas!$F$4:$I$23,4)))</f>
        <v>0</v>
      </c>
      <c r="R36" s="89">
        <f ca="1">IF(Nomina!I36*Q36&gt;($R$3*25),$R$3*25,Nomina!I36*Q36)</f>
        <v>0</v>
      </c>
      <c r="S36" s="90">
        <f t="shared" si="70"/>
        <v>332.22419999999994</v>
      </c>
      <c r="T36" s="90">
        <v>0</v>
      </c>
      <c r="U36" s="83">
        <f t="shared" si="36"/>
        <v>332.22419999999994</v>
      </c>
      <c r="V36" s="90">
        <f t="shared" ca="1" si="3"/>
        <v>0</v>
      </c>
      <c r="W36" s="90">
        <f t="shared" ca="1" si="4"/>
        <v>0</v>
      </c>
      <c r="X36" s="83">
        <f t="shared" ca="1" si="37"/>
        <v>0</v>
      </c>
      <c r="Y36" s="90">
        <f t="shared" ca="1" si="38"/>
        <v>0</v>
      </c>
      <c r="Z36" s="90">
        <f t="shared" ca="1" si="39"/>
        <v>0</v>
      </c>
      <c r="AA36" s="83">
        <f t="shared" ca="1" si="40"/>
        <v>0</v>
      </c>
      <c r="AB36" s="83">
        <f t="shared" ca="1" si="41"/>
        <v>0</v>
      </c>
      <c r="AC36" s="83">
        <f t="shared" ca="1" si="42"/>
        <v>0</v>
      </c>
      <c r="AD36" s="83">
        <f t="shared" ca="1" si="43"/>
        <v>0</v>
      </c>
      <c r="AE36" s="90">
        <f t="shared" ca="1" si="44"/>
        <v>0</v>
      </c>
      <c r="AF36" s="90">
        <f t="shared" ca="1" si="45"/>
        <v>0</v>
      </c>
      <c r="AG36" s="83">
        <f t="shared" ca="1" si="46"/>
        <v>0</v>
      </c>
      <c r="AH36" s="90">
        <f t="shared" ca="1" si="47"/>
        <v>0</v>
      </c>
      <c r="AI36" s="90">
        <v>0</v>
      </c>
      <c r="AJ36" s="83">
        <f t="shared" ca="1" si="48"/>
        <v>0</v>
      </c>
      <c r="AK36" s="90">
        <f t="shared" ca="1" si="49"/>
        <v>0</v>
      </c>
      <c r="AL36" s="90">
        <v>0</v>
      </c>
      <c r="AM36" s="83">
        <f t="shared" ca="1" si="50"/>
        <v>0</v>
      </c>
      <c r="AN36" s="83">
        <f t="shared" ca="1" si="51"/>
        <v>332.22419999999994</v>
      </c>
      <c r="AO36" s="83">
        <f t="shared" ca="1" si="52"/>
        <v>0</v>
      </c>
      <c r="AP36" s="83">
        <f t="shared" ca="1" si="53"/>
        <v>332.22419999999994</v>
      </c>
      <c r="AQ36" s="90">
        <f t="shared" ca="1" si="54"/>
        <v>0</v>
      </c>
      <c r="AR36" s="90">
        <v>0</v>
      </c>
      <c r="AS36" s="83">
        <f t="shared" ca="1" si="55"/>
        <v>0</v>
      </c>
      <c r="AT36" s="90">
        <f t="shared" ca="1" si="56"/>
        <v>0</v>
      </c>
      <c r="AU36" s="90">
        <f t="shared" ca="1" si="57"/>
        <v>0</v>
      </c>
      <c r="AV36" s="83">
        <f t="shared" ca="1" si="58"/>
        <v>0</v>
      </c>
      <c r="AW36" s="90">
        <f t="shared" ca="1" si="59"/>
        <v>0</v>
      </c>
      <c r="AX36" s="90">
        <v>0</v>
      </c>
      <c r="AY36" s="90">
        <f t="shared" ca="1" si="60"/>
        <v>0</v>
      </c>
      <c r="AZ36" s="83">
        <f t="shared" ca="1" si="61"/>
        <v>0</v>
      </c>
      <c r="BA36" s="83">
        <f t="shared" ca="1" si="62"/>
        <v>0</v>
      </c>
      <c r="BB36" s="83">
        <f t="shared" ca="1" si="63"/>
        <v>0</v>
      </c>
      <c r="BC36" s="82"/>
      <c r="BD36" s="83">
        <f t="shared" ca="1" si="64"/>
        <v>0</v>
      </c>
      <c r="BE36" s="83">
        <f t="shared" ca="1" si="69"/>
        <v>22.148279999999996</v>
      </c>
      <c r="BF36" s="82"/>
      <c r="BG36" s="83">
        <f t="shared" ca="1" si="65"/>
        <v>0</v>
      </c>
      <c r="BH36" s="91">
        <f t="shared" ca="1" si="66"/>
        <v>0</v>
      </c>
      <c r="BI36" s="82"/>
      <c r="BJ36" s="83">
        <f>IF(Nomina!I36=$R$3,0,IF(F36=0,0,BD36+BG36))</f>
        <v>0</v>
      </c>
      <c r="BK36" s="83">
        <f t="shared" ca="1" si="67"/>
        <v>0</v>
      </c>
    </row>
    <row r="37" spans="1:63" x14ac:dyDescent="0.25">
      <c r="A37" s="82">
        <f>+Nomina!B37</f>
        <v>31</v>
      </c>
      <c r="B37" s="83" t="str">
        <f>Nomina!C37&amp;" "&amp;Nomina!D37</f>
        <v xml:space="preserve"> </v>
      </c>
      <c r="C37" s="84">
        <v>15</v>
      </c>
      <c r="D37" s="84">
        <v>61</v>
      </c>
      <c r="E37" s="83"/>
      <c r="F37" s="85">
        <f>Nomina!P37*(30.4/30)</f>
        <v>0</v>
      </c>
      <c r="G37" s="85">
        <f>IF(F37=0,0,LOOKUP(F37,Tablas!$A$4:'Tablas'!$D$14,Tablas!$A$4:'Tablas'!$A$14))</f>
        <v>0</v>
      </c>
      <c r="H37" s="85">
        <f t="shared" si="33"/>
        <v>0</v>
      </c>
      <c r="I37" s="86">
        <f>IF(F37=0,0,LOOKUP(F37,Tablas!$A$4:'Tablas'!$D$14,Tablas!$D$4:'Tablas'!$D$14))</f>
        <v>0</v>
      </c>
      <c r="J37" s="85">
        <f t="shared" si="34"/>
        <v>0</v>
      </c>
      <c r="K37" s="85">
        <f>IF(F37=0,0,LOOKUP(F37,Tablas!$A$4:'Tablas'!$D$14,Tablas!$C$4:'Tablas'!$C$14))</f>
        <v>0</v>
      </c>
      <c r="L37" s="85">
        <f t="shared" si="35"/>
        <v>0</v>
      </c>
      <c r="M37" s="85">
        <f>IF(F37=0,0,LOOKUP(F37,Tablas!$A$20:'Tablas'!$C$30,Tablas!$C$20:'Tablas'!$C$30))</f>
        <v>0</v>
      </c>
      <c r="N37" s="85">
        <f t="shared" si="68"/>
        <v>0</v>
      </c>
      <c r="O37" s="85">
        <f>IF(F37&lt;Tablas!$B$20,M37,0)</f>
        <v>0</v>
      </c>
      <c r="P37" s="90"/>
      <c r="Q37" s="88">
        <f ca="1">IF(Nomina!F37="",0,(VLOOKUP((ROUNDUP(((TODAY()-Nomina!F37)/365),0)),Tablas!$F$4:$I$23,4)))</f>
        <v>0</v>
      </c>
      <c r="R37" s="89">
        <f ca="1">IF(Nomina!I37*Q37&gt;($R$3*25),$R$3*25,Nomina!I37*Q37)</f>
        <v>0</v>
      </c>
      <c r="S37" s="90">
        <f t="shared" si="70"/>
        <v>332.22419999999994</v>
      </c>
      <c r="T37" s="90">
        <v>0</v>
      </c>
      <c r="U37" s="83">
        <f t="shared" si="36"/>
        <v>332.22419999999994</v>
      </c>
      <c r="V37" s="90">
        <f t="shared" ca="1" si="3"/>
        <v>0</v>
      </c>
      <c r="W37" s="90">
        <f t="shared" ca="1" si="4"/>
        <v>0</v>
      </c>
      <c r="X37" s="83">
        <f t="shared" ca="1" si="37"/>
        <v>0</v>
      </c>
      <c r="Y37" s="90">
        <f t="shared" ca="1" si="38"/>
        <v>0</v>
      </c>
      <c r="Z37" s="90">
        <f t="shared" ca="1" si="39"/>
        <v>0</v>
      </c>
      <c r="AA37" s="83">
        <f t="shared" ca="1" si="40"/>
        <v>0</v>
      </c>
      <c r="AB37" s="83">
        <f t="shared" ca="1" si="41"/>
        <v>0</v>
      </c>
      <c r="AC37" s="83">
        <f t="shared" ca="1" si="42"/>
        <v>0</v>
      </c>
      <c r="AD37" s="83">
        <f t="shared" ca="1" si="43"/>
        <v>0</v>
      </c>
      <c r="AE37" s="90">
        <f t="shared" ca="1" si="44"/>
        <v>0</v>
      </c>
      <c r="AF37" s="90">
        <f t="shared" ca="1" si="45"/>
        <v>0</v>
      </c>
      <c r="AG37" s="83">
        <f t="shared" ca="1" si="46"/>
        <v>0</v>
      </c>
      <c r="AH37" s="90">
        <f t="shared" ca="1" si="47"/>
        <v>0</v>
      </c>
      <c r="AI37" s="90">
        <v>0</v>
      </c>
      <c r="AJ37" s="83">
        <f t="shared" ca="1" si="48"/>
        <v>0</v>
      </c>
      <c r="AK37" s="90">
        <f t="shared" ca="1" si="49"/>
        <v>0</v>
      </c>
      <c r="AL37" s="90">
        <v>0</v>
      </c>
      <c r="AM37" s="83">
        <f t="shared" ca="1" si="50"/>
        <v>0</v>
      </c>
      <c r="AN37" s="83">
        <f t="shared" ca="1" si="51"/>
        <v>332.22419999999994</v>
      </c>
      <c r="AO37" s="83">
        <f t="shared" ca="1" si="52"/>
        <v>0</v>
      </c>
      <c r="AP37" s="83">
        <f t="shared" ca="1" si="53"/>
        <v>332.22419999999994</v>
      </c>
      <c r="AQ37" s="90">
        <f t="shared" ca="1" si="54"/>
        <v>0</v>
      </c>
      <c r="AR37" s="90">
        <v>0</v>
      </c>
      <c r="AS37" s="83">
        <f t="shared" ca="1" si="55"/>
        <v>0</v>
      </c>
      <c r="AT37" s="90">
        <f t="shared" ca="1" si="56"/>
        <v>0</v>
      </c>
      <c r="AU37" s="90">
        <f t="shared" ca="1" si="57"/>
        <v>0</v>
      </c>
      <c r="AV37" s="83">
        <f t="shared" ca="1" si="58"/>
        <v>0</v>
      </c>
      <c r="AW37" s="90">
        <f t="shared" ca="1" si="59"/>
        <v>0</v>
      </c>
      <c r="AX37" s="90">
        <v>0</v>
      </c>
      <c r="AY37" s="90">
        <f t="shared" ca="1" si="60"/>
        <v>0</v>
      </c>
      <c r="AZ37" s="83">
        <f t="shared" ca="1" si="61"/>
        <v>0</v>
      </c>
      <c r="BA37" s="83">
        <f t="shared" ca="1" si="62"/>
        <v>0</v>
      </c>
      <c r="BB37" s="83">
        <f t="shared" ca="1" si="63"/>
        <v>0</v>
      </c>
      <c r="BC37" s="82"/>
      <c r="BD37" s="83">
        <f t="shared" ca="1" si="64"/>
        <v>0</v>
      </c>
      <c r="BE37" s="83">
        <f t="shared" ca="1" si="69"/>
        <v>22.148279999999996</v>
      </c>
      <c r="BF37" s="82"/>
      <c r="BG37" s="83">
        <f t="shared" ca="1" si="65"/>
        <v>0</v>
      </c>
      <c r="BH37" s="91">
        <f t="shared" ca="1" si="66"/>
        <v>0</v>
      </c>
      <c r="BI37" s="82"/>
      <c r="BJ37" s="83">
        <f>IF(Nomina!I37=$R$3,0,IF(F37=0,0,BD37+BG37))</f>
        <v>0</v>
      </c>
      <c r="BK37" s="83">
        <f t="shared" ca="1" si="67"/>
        <v>0</v>
      </c>
    </row>
    <row r="38" spans="1:63" x14ac:dyDescent="0.25">
      <c r="A38" s="82">
        <f>+Nomina!B38</f>
        <v>32</v>
      </c>
      <c r="B38" s="83" t="str">
        <f>Nomina!C38&amp;" "&amp;Nomina!D38</f>
        <v xml:space="preserve"> </v>
      </c>
      <c r="C38" s="84">
        <v>15</v>
      </c>
      <c r="D38" s="84">
        <v>61</v>
      </c>
      <c r="E38" s="83"/>
      <c r="F38" s="85">
        <f>Nomina!P38*(30.4/30)</f>
        <v>0</v>
      </c>
      <c r="G38" s="85">
        <f>IF(F38=0,0,LOOKUP(F38,Tablas!$A$4:'Tablas'!$D$14,Tablas!$A$4:'Tablas'!$A$14))</f>
        <v>0</v>
      </c>
      <c r="H38" s="85">
        <f t="shared" si="33"/>
        <v>0</v>
      </c>
      <c r="I38" s="86">
        <f>IF(F38=0,0,LOOKUP(F38,Tablas!$A$4:'Tablas'!$D$14,Tablas!$D$4:'Tablas'!$D$14))</f>
        <v>0</v>
      </c>
      <c r="J38" s="85">
        <f t="shared" si="34"/>
        <v>0</v>
      </c>
      <c r="K38" s="85">
        <f>IF(F38=0,0,LOOKUP(F38,Tablas!$A$4:'Tablas'!$D$14,Tablas!$C$4:'Tablas'!$C$14))</f>
        <v>0</v>
      </c>
      <c r="L38" s="85">
        <f t="shared" si="35"/>
        <v>0</v>
      </c>
      <c r="M38" s="85">
        <f>IF(F38=0,0,LOOKUP(F38,Tablas!$A$20:'Tablas'!$C$30,Tablas!$C$20:'Tablas'!$C$30))</f>
        <v>0</v>
      </c>
      <c r="N38" s="85">
        <f t="shared" si="68"/>
        <v>0</v>
      </c>
      <c r="O38" s="85">
        <f>IF(F38&lt;Tablas!$B$20,M38,0)</f>
        <v>0</v>
      </c>
      <c r="P38" s="90"/>
      <c r="Q38" s="88">
        <f ca="1">IF(Nomina!F38="",0,(VLOOKUP((ROUNDUP(((TODAY()-Nomina!F38)/365),0)),Tablas!$F$4:$I$23,4)))</f>
        <v>0</v>
      </c>
      <c r="R38" s="89">
        <f ca="1">IF(Nomina!I38*Q38&gt;($R$3*25),$R$3*25,Nomina!I38*Q38)</f>
        <v>0</v>
      </c>
      <c r="S38" s="90">
        <f t="shared" si="70"/>
        <v>332.22419999999994</v>
      </c>
      <c r="T38" s="90">
        <v>0</v>
      </c>
      <c r="U38" s="83">
        <f t="shared" si="36"/>
        <v>332.22419999999994</v>
      </c>
      <c r="V38" s="90">
        <f t="shared" ca="1" si="3"/>
        <v>0</v>
      </c>
      <c r="W38" s="90">
        <f t="shared" ca="1" si="4"/>
        <v>0</v>
      </c>
      <c r="X38" s="83">
        <f t="shared" ca="1" si="37"/>
        <v>0</v>
      </c>
      <c r="Y38" s="90">
        <f t="shared" ca="1" si="38"/>
        <v>0</v>
      </c>
      <c r="Z38" s="90">
        <f t="shared" ca="1" si="39"/>
        <v>0</v>
      </c>
      <c r="AA38" s="83">
        <f t="shared" ca="1" si="40"/>
        <v>0</v>
      </c>
      <c r="AB38" s="83">
        <f t="shared" ca="1" si="41"/>
        <v>0</v>
      </c>
      <c r="AC38" s="83">
        <f t="shared" ca="1" si="42"/>
        <v>0</v>
      </c>
      <c r="AD38" s="83">
        <f t="shared" ca="1" si="43"/>
        <v>0</v>
      </c>
      <c r="AE38" s="90">
        <f t="shared" ca="1" si="44"/>
        <v>0</v>
      </c>
      <c r="AF38" s="90">
        <f t="shared" ca="1" si="45"/>
        <v>0</v>
      </c>
      <c r="AG38" s="83">
        <f t="shared" ca="1" si="46"/>
        <v>0</v>
      </c>
      <c r="AH38" s="90">
        <f t="shared" ca="1" si="47"/>
        <v>0</v>
      </c>
      <c r="AI38" s="90">
        <v>0</v>
      </c>
      <c r="AJ38" s="83">
        <f t="shared" ca="1" si="48"/>
        <v>0</v>
      </c>
      <c r="AK38" s="90">
        <f t="shared" ca="1" si="49"/>
        <v>0</v>
      </c>
      <c r="AL38" s="90">
        <v>0</v>
      </c>
      <c r="AM38" s="83">
        <f t="shared" ca="1" si="50"/>
        <v>0</v>
      </c>
      <c r="AN38" s="83">
        <f t="shared" ca="1" si="51"/>
        <v>332.22419999999994</v>
      </c>
      <c r="AO38" s="83">
        <f t="shared" ca="1" si="52"/>
        <v>0</v>
      </c>
      <c r="AP38" s="83">
        <f t="shared" ca="1" si="53"/>
        <v>332.22419999999994</v>
      </c>
      <c r="AQ38" s="90">
        <f t="shared" ca="1" si="54"/>
        <v>0</v>
      </c>
      <c r="AR38" s="90">
        <v>0</v>
      </c>
      <c r="AS38" s="83">
        <f t="shared" ca="1" si="55"/>
        <v>0</v>
      </c>
      <c r="AT38" s="90">
        <f t="shared" ca="1" si="56"/>
        <v>0</v>
      </c>
      <c r="AU38" s="90">
        <f t="shared" ca="1" si="57"/>
        <v>0</v>
      </c>
      <c r="AV38" s="83">
        <f t="shared" ca="1" si="58"/>
        <v>0</v>
      </c>
      <c r="AW38" s="90">
        <f t="shared" ca="1" si="59"/>
        <v>0</v>
      </c>
      <c r="AX38" s="90">
        <v>0</v>
      </c>
      <c r="AY38" s="90">
        <f t="shared" ca="1" si="60"/>
        <v>0</v>
      </c>
      <c r="AZ38" s="83">
        <f t="shared" ca="1" si="61"/>
        <v>0</v>
      </c>
      <c r="BA38" s="83">
        <f t="shared" ca="1" si="62"/>
        <v>0</v>
      </c>
      <c r="BB38" s="83">
        <f t="shared" ca="1" si="63"/>
        <v>0</v>
      </c>
      <c r="BC38" s="82"/>
      <c r="BD38" s="83">
        <f t="shared" ca="1" si="64"/>
        <v>0</v>
      </c>
      <c r="BE38" s="83">
        <f t="shared" ca="1" si="69"/>
        <v>22.148279999999996</v>
      </c>
      <c r="BF38" s="82"/>
      <c r="BG38" s="83">
        <f t="shared" ca="1" si="65"/>
        <v>0</v>
      </c>
      <c r="BH38" s="91">
        <f t="shared" ca="1" si="66"/>
        <v>0</v>
      </c>
      <c r="BI38" s="82"/>
      <c r="BJ38" s="83">
        <f>IF(Nomina!I38=$R$3,0,IF(F38=0,0,BD38+BG38))</f>
        <v>0</v>
      </c>
      <c r="BK38" s="83">
        <f t="shared" ca="1" si="67"/>
        <v>0</v>
      </c>
    </row>
    <row r="39" spans="1:63" x14ac:dyDescent="0.25">
      <c r="A39" s="82">
        <f>+Nomina!B39</f>
        <v>33</v>
      </c>
      <c r="B39" s="83" t="str">
        <f>Nomina!C39&amp;" "&amp;Nomina!D39</f>
        <v xml:space="preserve"> </v>
      </c>
      <c r="C39" s="84">
        <v>15</v>
      </c>
      <c r="D39" s="84">
        <v>61</v>
      </c>
      <c r="E39" s="83"/>
      <c r="F39" s="85">
        <f>Nomina!P39*(30.4/30)</f>
        <v>0</v>
      </c>
      <c r="G39" s="85">
        <f>IF(F39=0,0,LOOKUP(F39,Tablas!$A$4:'Tablas'!$D$14,Tablas!$A$4:'Tablas'!$A$14))</f>
        <v>0</v>
      </c>
      <c r="H39" s="85">
        <f t="shared" si="33"/>
        <v>0</v>
      </c>
      <c r="I39" s="86">
        <f>IF(F39=0,0,LOOKUP(F39,Tablas!$A$4:'Tablas'!$D$14,Tablas!$D$4:'Tablas'!$D$14))</f>
        <v>0</v>
      </c>
      <c r="J39" s="85">
        <f t="shared" si="34"/>
        <v>0</v>
      </c>
      <c r="K39" s="85">
        <f>IF(F39=0,0,LOOKUP(F39,Tablas!$A$4:'Tablas'!$D$14,Tablas!$C$4:'Tablas'!$C$14))</f>
        <v>0</v>
      </c>
      <c r="L39" s="85">
        <f t="shared" si="35"/>
        <v>0</v>
      </c>
      <c r="M39" s="85">
        <f>IF(F39=0,0,LOOKUP(F39,Tablas!$A$20:'Tablas'!$C$30,Tablas!$C$20:'Tablas'!$C$30))</f>
        <v>0</v>
      </c>
      <c r="N39" s="85">
        <f t="shared" si="68"/>
        <v>0</v>
      </c>
      <c r="O39" s="85">
        <f>IF(F39&lt;Tablas!$B$20,M39,0)</f>
        <v>0</v>
      </c>
      <c r="P39" s="90"/>
      <c r="Q39" s="88">
        <f ca="1">IF(Nomina!F39="",0,(VLOOKUP((ROUNDUP(((TODAY()-Nomina!F39)/365),0)),Tablas!$F$4:$I$23,4)))</f>
        <v>0</v>
      </c>
      <c r="R39" s="89">
        <f ca="1">IF(Nomina!I39*Q39&gt;($R$3*25),$R$3*25,Nomina!I39*Q39)</f>
        <v>0</v>
      </c>
      <c r="S39" s="90">
        <f t="shared" si="70"/>
        <v>332.22419999999994</v>
      </c>
      <c r="T39" s="90">
        <v>0</v>
      </c>
      <c r="U39" s="83">
        <f t="shared" si="36"/>
        <v>332.22419999999994</v>
      </c>
      <c r="V39" s="90">
        <f t="shared" ca="1" si="3"/>
        <v>0</v>
      </c>
      <c r="W39" s="90">
        <f t="shared" ca="1" si="4"/>
        <v>0</v>
      </c>
      <c r="X39" s="83">
        <f t="shared" ca="1" si="37"/>
        <v>0</v>
      </c>
      <c r="Y39" s="90">
        <f t="shared" ca="1" si="38"/>
        <v>0</v>
      </c>
      <c r="Z39" s="90">
        <f t="shared" ca="1" si="39"/>
        <v>0</v>
      </c>
      <c r="AA39" s="83">
        <f t="shared" ca="1" si="40"/>
        <v>0</v>
      </c>
      <c r="AB39" s="83">
        <f t="shared" ca="1" si="41"/>
        <v>0</v>
      </c>
      <c r="AC39" s="83">
        <f t="shared" ca="1" si="42"/>
        <v>0</v>
      </c>
      <c r="AD39" s="83">
        <f t="shared" ca="1" si="43"/>
        <v>0</v>
      </c>
      <c r="AE39" s="90">
        <f t="shared" ca="1" si="44"/>
        <v>0</v>
      </c>
      <c r="AF39" s="90">
        <f t="shared" ca="1" si="45"/>
        <v>0</v>
      </c>
      <c r="AG39" s="83">
        <f t="shared" ca="1" si="46"/>
        <v>0</v>
      </c>
      <c r="AH39" s="90">
        <f t="shared" ca="1" si="47"/>
        <v>0</v>
      </c>
      <c r="AI39" s="90">
        <v>0</v>
      </c>
      <c r="AJ39" s="83">
        <f t="shared" ca="1" si="48"/>
        <v>0</v>
      </c>
      <c r="AK39" s="90">
        <f t="shared" ca="1" si="49"/>
        <v>0</v>
      </c>
      <c r="AL39" s="90">
        <v>0</v>
      </c>
      <c r="AM39" s="83">
        <f t="shared" ca="1" si="50"/>
        <v>0</v>
      </c>
      <c r="AN39" s="83">
        <f t="shared" ca="1" si="51"/>
        <v>332.22419999999994</v>
      </c>
      <c r="AO39" s="83">
        <f t="shared" ca="1" si="52"/>
        <v>0</v>
      </c>
      <c r="AP39" s="83">
        <f t="shared" ca="1" si="53"/>
        <v>332.22419999999994</v>
      </c>
      <c r="AQ39" s="90">
        <f t="shared" ca="1" si="54"/>
        <v>0</v>
      </c>
      <c r="AR39" s="90">
        <v>0</v>
      </c>
      <c r="AS39" s="83">
        <f t="shared" ca="1" si="55"/>
        <v>0</v>
      </c>
      <c r="AT39" s="90">
        <f t="shared" ca="1" si="56"/>
        <v>0</v>
      </c>
      <c r="AU39" s="90">
        <f t="shared" ca="1" si="57"/>
        <v>0</v>
      </c>
      <c r="AV39" s="83">
        <f t="shared" ca="1" si="58"/>
        <v>0</v>
      </c>
      <c r="AW39" s="90">
        <f t="shared" ca="1" si="59"/>
        <v>0</v>
      </c>
      <c r="AX39" s="90">
        <v>0</v>
      </c>
      <c r="AY39" s="90">
        <f t="shared" ca="1" si="60"/>
        <v>0</v>
      </c>
      <c r="AZ39" s="83">
        <f t="shared" ca="1" si="61"/>
        <v>0</v>
      </c>
      <c r="BA39" s="83">
        <f t="shared" ca="1" si="62"/>
        <v>0</v>
      </c>
      <c r="BB39" s="83">
        <f t="shared" ca="1" si="63"/>
        <v>0</v>
      </c>
      <c r="BC39" s="82"/>
      <c r="BD39" s="83">
        <f t="shared" ca="1" si="64"/>
        <v>0</v>
      </c>
      <c r="BE39" s="83">
        <f t="shared" ca="1" si="69"/>
        <v>22.148279999999996</v>
      </c>
      <c r="BF39" s="82"/>
      <c r="BG39" s="83">
        <f t="shared" ca="1" si="65"/>
        <v>0</v>
      </c>
      <c r="BH39" s="91">
        <f t="shared" ca="1" si="66"/>
        <v>0</v>
      </c>
      <c r="BI39" s="82"/>
      <c r="BJ39" s="83">
        <f>IF(Nomina!I39=$R$3,0,IF(F39=0,0,BD39+BG39))</f>
        <v>0</v>
      </c>
      <c r="BK39" s="83">
        <f t="shared" ca="1" si="67"/>
        <v>0</v>
      </c>
    </row>
    <row r="40" spans="1:63" x14ac:dyDescent="0.25">
      <c r="A40" s="82">
        <f>+Nomina!B40</f>
        <v>34</v>
      </c>
      <c r="B40" s="83" t="str">
        <f>Nomina!C40&amp;" "&amp;Nomina!D40</f>
        <v xml:space="preserve"> </v>
      </c>
      <c r="C40" s="84">
        <v>15</v>
      </c>
      <c r="D40" s="84">
        <v>61</v>
      </c>
      <c r="E40" s="83"/>
      <c r="F40" s="85">
        <f>Nomina!P40*(30.4/30)</f>
        <v>0</v>
      </c>
      <c r="G40" s="85">
        <f>IF(F40=0,0,LOOKUP(F40,Tablas!$A$4:'Tablas'!$D$14,Tablas!$A$4:'Tablas'!$A$14))</f>
        <v>0</v>
      </c>
      <c r="H40" s="85">
        <f t="shared" si="33"/>
        <v>0</v>
      </c>
      <c r="I40" s="86">
        <f>IF(F40=0,0,LOOKUP(F40,Tablas!$A$4:'Tablas'!$D$14,Tablas!$D$4:'Tablas'!$D$14))</f>
        <v>0</v>
      </c>
      <c r="J40" s="85">
        <f t="shared" si="34"/>
        <v>0</v>
      </c>
      <c r="K40" s="85">
        <f>IF(F40=0,0,LOOKUP(F40,Tablas!$A$4:'Tablas'!$D$14,Tablas!$C$4:'Tablas'!$C$14))</f>
        <v>0</v>
      </c>
      <c r="L40" s="85">
        <f t="shared" si="35"/>
        <v>0</v>
      </c>
      <c r="M40" s="85">
        <f>IF(F40=0,0,LOOKUP(F40,Tablas!$A$20:'Tablas'!$C$30,Tablas!$C$20:'Tablas'!$C$30))</f>
        <v>0</v>
      </c>
      <c r="N40" s="85">
        <f t="shared" si="68"/>
        <v>0</v>
      </c>
      <c r="O40" s="85">
        <f>IF(F40&lt;Tablas!$B$20,M40,0)</f>
        <v>0</v>
      </c>
      <c r="P40" s="90"/>
      <c r="Q40" s="88">
        <f ca="1">IF(Nomina!F40="",0,(VLOOKUP((ROUNDUP(((TODAY()-Nomina!F40)/365),0)),Tablas!$F$4:$I$23,4)))</f>
        <v>0</v>
      </c>
      <c r="R40" s="89">
        <f ca="1">IF(Nomina!I40*Q40&gt;($R$3*25),$R$3*25,Nomina!I40*Q40)</f>
        <v>0</v>
      </c>
      <c r="S40" s="90">
        <f t="shared" si="70"/>
        <v>332.22419999999994</v>
      </c>
      <c r="T40" s="90">
        <v>0</v>
      </c>
      <c r="U40" s="83">
        <f t="shared" si="36"/>
        <v>332.22419999999994</v>
      </c>
      <c r="V40" s="90">
        <f t="shared" ca="1" si="3"/>
        <v>0</v>
      </c>
      <c r="W40" s="90">
        <f t="shared" ca="1" si="4"/>
        <v>0</v>
      </c>
      <c r="X40" s="83">
        <f t="shared" ca="1" si="37"/>
        <v>0</v>
      </c>
      <c r="Y40" s="90">
        <f t="shared" ca="1" si="38"/>
        <v>0</v>
      </c>
      <c r="Z40" s="90">
        <f t="shared" ca="1" si="39"/>
        <v>0</v>
      </c>
      <c r="AA40" s="83">
        <f t="shared" ca="1" si="40"/>
        <v>0</v>
      </c>
      <c r="AB40" s="83">
        <f t="shared" ca="1" si="41"/>
        <v>0</v>
      </c>
      <c r="AC40" s="83">
        <f t="shared" ca="1" si="42"/>
        <v>0</v>
      </c>
      <c r="AD40" s="83">
        <f t="shared" ca="1" si="43"/>
        <v>0</v>
      </c>
      <c r="AE40" s="90">
        <f t="shared" ca="1" si="44"/>
        <v>0</v>
      </c>
      <c r="AF40" s="90">
        <f t="shared" ca="1" si="45"/>
        <v>0</v>
      </c>
      <c r="AG40" s="83">
        <f t="shared" ca="1" si="46"/>
        <v>0</v>
      </c>
      <c r="AH40" s="90">
        <f t="shared" ca="1" si="47"/>
        <v>0</v>
      </c>
      <c r="AI40" s="90">
        <v>0</v>
      </c>
      <c r="AJ40" s="83">
        <f t="shared" ca="1" si="48"/>
        <v>0</v>
      </c>
      <c r="AK40" s="90">
        <f t="shared" ca="1" si="49"/>
        <v>0</v>
      </c>
      <c r="AL40" s="90">
        <v>0</v>
      </c>
      <c r="AM40" s="83">
        <f t="shared" ca="1" si="50"/>
        <v>0</v>
      </c>
      <c r="AN40" s="83">
        <f t="shared" ca="1" si="51"/>
        <v>332.22419999999994</v>
      </c>
      <c r="AO40" s="83">
        <f t="shared" ca="1" si="52"/>
        <v>0</v>
      </c>
      <c r="AP40" s="83">
        <f t="shared" ca="1" si="53"/>
        <v>332.22419999999994</v>
      </c>
      <c r="AQ40" s="90">
        <f t="shared" ca="1" si="54"/>
        <v>0</v>
      </c>
      <c r="AR40" s="90">
        <v>0</v>
      </c>
      <c r="AS40" s="83">
        <f t="shared" ca="1" si="55"/>
        <v>0</v>
      </c>
      <c r="AT40" s="90">
        <f t="shared" ca="1" si="56"/>
        <v>0</v>
      </c>
      <c r="AU40" s="90">
        <f t="shared" ca="1" si="57"/>
        <v>0</v>
      </c>
      <c r="AV40" s="83">
        <f t="shared" ca="1" si="58"/>
        <v>0</v>
      </c>
      <c r="AW40" s="90">
        <f t="shared" ca="1" si="59"/>
        <v>0</v>
      </c>
      <c r="AX40" s="90">
        <v>0</v>
      </c>
      <c r="AY40" s="90">
        <f t="shared" ca="1" si="60"/>
        <v>0</v>
      </c>
      <c r="AZ40" s="83">
        <f t="shared" ca="1" si="61"/>
        <v>0</v>
      </c>
      <c r="BA40" s="83">
        <f t="shared" ca="1" si="62"/>
        <v>0</v>
      </c>
      <c r="BB40" s="83">
        <f t="shared" ca="1" si="63"/>
        <v>0</v>
      </c>
      <c r="BC40" s="82"/>
      <c r="BD40" s="83">
        <f t="shared" ca="1" si="64"/>
        <v>0</v>
      </c>
      <c r="BE40" s="83">
        <f t="shared" ca="1" si="69"/>
        <v>22.148279999999996</v>
      </c>
      <c r="BF40" s="82"/>
      <c r="BG40" s="83">
        <f t="shared" ca="1" si="65"/>
        <v>0</v>
      </c>
      <c r="BH40" s="91">
        <f t="shared" ca="1" si="66"/>
        <v>0</v>
      </c>
      <c r="BI40" s="82"/>
      <c r="BJ40" s="83">
        <f>IF(Nomina!I40=$R$3,0,IF(F40=0,0,BD40+BG40))</f>
        <v>0</v>
      </c>
      <c r="BK40" s="83">
        <f t="shared" ca="1" si="67"/>
        <v>0</v>
      </c>
    </row>
    <row r="41" spans="1:63" x14ac:dyDescent="0.25">
      <c r="A41" s="82">
        <f>+Nomina!B41</f>
        <v>35</v>
      </c>
      <c r="B41" s="83" t="str">
        <f>Nomina!C41&amp;" "&amp;Nomina!D41</f>
        <v xml:space="preserve"> </v>
      </c>
      <c r="C41" s="84">
        <v>15</v>
      </c>
      <c r="D41" s="84">
        <v>61</v>
      </c>
      <c r="E41" s="83"/>
      <c r="F41" s="85">
        <f>Nomina!P41*(30.4/30)</f>
        <v>0</v>
      </c>
      <c r="G41" s="85">
        <f>IF(F41=0,0,LOOKUP(F41,Tablas!$A$4:'Tablas'!$D$14,Tablas!$A$4:'Tablas'!$A$14))</f>
        <v>0</v>
      </c>
      <c r="H41" s="85">
        <f t="shared" si="33"/>
        <v>0</v>
      </c>
      <c r="I41" s="86">
        <f>IF(F41=0,0,LOOKUP(F41,Tablas!$A$4:'Tablas'!$D$14,Tablas!$D$4:'Tablas'!$D$14))</f>
        <v>0</v>
      </c>
      <c r="J41" s="85">
        <f t="shared" si="34"/>
        <v>0</v>
      </c>
      <c r="K41" s="85">
        <f>IF(F41=0,0,LOOKUP(F41,Tablas!$A$4:'Tablas'!$D$14,Tablas!$C$4:'Tablas'!$C$14))</f>
        <v>0</v>
      </c>
      <c r="L41" s="85">
        <f t="shared" si="35"/>
        <v>0</v>
      </c>
      <c r="M41" s="85">
        <f>IF(F41=0,0,LOOKUP(F41,Tablas!$A$20:'Tablas'!$C$30,Tablas!$C$20:'Tablas'!$C$30))</f>
        <v>0</v>
      </c>
      <c r="N41" s="85">
        <f t="shared" si="68"/>
        <v>0</v>
      </c>
      <c r="O41" s="85">
        <f>IF(F41&lt;Tablas!$B$20,M41,0)</f>
        <v>0</v>
      </c>
      <c r="P41" s="90"/>
      <c r="Q41" s="88">
        <f ca="1">IF(Nomina!F41="",0,(VLOOKUP((ROUNDUP(((TODAY()-Nomina!F41)/365),0)),Tablas!$F$4:$I$23,4)))</f>
        <v>0</v>
      </c>
      <c r="R41" s="89">
        <f ca="1">IF(Nomina!I41*Q41&gt;($R$3*25),$R$3*25,Nomina!I41*Q41)</f>
        <v>0</v>
      </c>
      <c r="S41" s="90">
        <f t="shared" si="70"/>
        <v>332.22419999999994</v>
      </c>
      <c r="T41" s="90">
        <v>0</v>
      </c>
      <c r="U41" s="83">
        <f t="shared" si="36"/>
        <v>332.22419999999994</v>
      </c>
      <c r="V41" s="90">
        <f t="shared" ca="1" si="3"/>
        <v>0</v>
      </c>
      <c r="W41" s="90">
        <f t="shared" ca="1" si="4"/>
        <v>0</v>
      </c>
      <c r="X41" s="83">
        <f t="shared" ca="1" si="37"/>
        <v>0</v>
      </c>
      <c r="Y41" s="90">
        <f t="shared" ca="1" si="38"/>
        <v>0</v>
      </c>
      <c r="Z41" s="90">
        <f t="shared" ca="1" si="39"/>
        <v>0</v>
      </c>
      <c r="AA41" s="83">
        <f t="shared" ca="1" si="40"/>
        <v>0</v>
      </c>
      <c r="AB41" s="83">
        <f t="shared" ca="1" si="41"/>
        <v>0</v>
      </c>
      <c r="AC41" s="83">
        <f t="shared" ca="1" si="42"/>
        <v>0</v>
      </c>
      <c r="AD41" s="83">
        <f t="shared" ca="1" si="43"/>
        <v>0</v>
      </c>
      <c r="AE41" s="90">
        <f t="shared" ca="1" si="44"/>
        <v>0</v>
      </c>
      <c r="AF41" s="90">
        <f t="shared" ca="1" si="45"/>
        <v>0</v>
      </c>
      <c r="AG41" s="83">
        <f t="shared" ca="1" si="46"/>
        <v>0</v>
      </c>
      <c r="AH41" s="90">
        <f t="shared" ca="1" si="47"/>
        <v>0</v>
      </c>
      <c r="AI41" s="90">
        <v>0</v>
      </c>
      <c r="AJ41" s="83">
        <f t="shared" ca="1" si="48"/>
        <v>0</v>
      </c>
      <c r="AK41" s="90">
        <f t="shared" ca="1" si="49"/>
        <v>0</v>
      </c>
      <c r="AL41" s="90">
        <v>0</v>
      </c>
      <c r="AM41" s="83">
        <f t="shared" ca="1" si="50"/>
        <v>0</v>
      </c>
      <c r="AN41" s="83">
        <f t="shared" ca="1" si="51"/>
        <v>332.22419999999994</v>
      </c>
      <c r="AO41" s="83">
        <f t="shared" ca="1" si="52"/>
        <v>0</v>
      </c>
      <c r="AP41" s="83">
        <f t="shared" ca="1" si="53"/>
        <v>332.22419999999994</v>
      </c>
      <c r="AQ41" s="90">
        <f t="shared" ca="1" si="54"/>
        <v>0</v>
      </c>
      <c r="AR41" s="90">
        <v>0</v>
      </c>
      <c r="AS41" s="83">
        <f t="shared" ca="1" si="55"/>
        <v>0</v>
      </c>
      <c r="AT41" s="90">
        <f t="shared" ca="1" si="56"/>
        <v>0</v>
      </c>
      <c r="AU41" s="90">
        <f t="shared" ca="1" si="57"/>
        <v>0</v>
      </c>
      <c r="AV41" s="83">
        <f t="shared" ca="1" si="58"/>
        <v>0</v>
      </c>
      <c r="AW41" s="90">
        <f t="shared" ca="1" si="59"/>
        <v>0</v>
      </c>
      <c r="AX41" s="90">
        <v>0</v>
      </c>
      <c r="AY41" s="90">
        <f t="shared" ca="1" si="60"/>
        <v>0</v>
      </c>
      <c r="AZ41" s="83">
        <f t="shared" ca="1" si="61"/>
        <v>0</v>
      </c>
      <c r="BA41" s="83">
        <f t="shared" ca="1" si="62"/>
        <v>0</v>
      </c>
      <c r="BB41" s="83">
        <f t="shared" ca="1" si="63"/>
        <v>0</v>
      </c>
      <c r="BC41" s="82"/>
      <c r="BD41" s="83">
        <f t="shared" ca="1" si="64"/>
        <v>0</v>
      </c>
      <c r="BE41" s="83">
        <f t="shared" ca="1" si="69"/>
        <v>22.148279999999996</v>
      </c>
      <c r="BF41" s="82"/>
      <c r="BG41" s="83">
        <f t="shared" ca="1" si="65"/>
        <v>0</v>
      </c>
      <c r="BH41" s="91">
        <f t="shared" ca="1" si="66"/>
        <v>0</v>
      </c>
      <c r="BI41" s="82"/>
      <c r="BJ41" s="83">
        <f>IF(Nomina!I41=$R$3,0,IF(F41=0,0,BD41+BG41))</f>
        <v>0</v>
      </c>
      <c r="BK41" s="83">
        <f t="shared" ca="1" si="67"/>
        <v>0</v>
      </c>
    </row>
    <row r="42" spans="1:63" x14ac:dyDescent="0.25">
      <c r="A42" s="82">
        <f>+Nomina!B42</f>
        <v>36</v>
      </c>
      <c r="B42" s="83" t="str">
        <f>Nomina!C42&amp;" "&amp;Nomina!D42</f>
        <v xml:space="preserve"> </v>
      </c>
      <c r="C42" s="84">
        <v>15</v>
      </c>
      <c r="D42" s="84">
        <v>61</v>
      </c>
      <c r="E42" s="83"/>
      <c r="F42" s="85">
        <f>Nomina!P42*(30.4/30)</f>
        <v>0</v>
      </c>
      <c r="G42" s="85">
        <f>IF(F42=0,0,LOOKUP(F42,Tablas!$A$4:'Tablas'!$D$14,Tablas!$A$4:'Tablas'!$A$14))</f>
        <v>0</v>
      </c>
      <c r="H42" s="85">
        <f t="shared" si="33"/>
        <v>0</v>
      </c>
      <c r="I42" s="86">
        <f>IF(F42=0,0,LOOKUP(F42,Tablas!$A$4:'Tablas'!$D$14,Tablas!$D$4:'Tablas'!$D$14))</f>
        <v>0</v>
      </c>
      <c r="J42" s="85">
        <f t="shared" si="34"/>
        <v>0</v>
      </c>
      <c r="K42" s="85">
        <f>IF(F42=0,0,LOOKUP(F42,Tablas!$A$4:'Tablas'!$D$14,Tablas!$C$4:'Tablas'!$C$14))</f>
        <v>0</v>
      </c>
      <c r="L42" s="85">
        <f t="shared" si="35"/>
        <v>0</v>
      </c>
      <c r="M42" s="85">
        <f>IF(F42=0,0,LOOKUP(F42,Tablas!$A$20:'Tablas'!$C$30,Tablas!$C$20:'Tablas'!$C$30))</f>
        <v>0</v>
      </c>
      <c r="N42" s="85">
        <f t="shared" si="68"/>
        <v>0</v>
      </c>
      <c r="O42" s="85">
        <f>IF(F42&lt;Tablas!$B$20,M42,0)</f>
        <v>0</v>
      </c>
      <c r="P42" s="90"/>
      <c r="Q42" s="88">
        <f ca="1">IF(Nomina!F42="",0,(VLOOKUP((ROUNDUP(((TODAY()-Nomina!F42)/365),0)),Tablas!$F$4:$I$23,4)))</f>
        <v>0</v>
      </c>
      <c r="R42" s="89">
        <f ca="1">IF(Nomina!I42*Q42&gt;($R$3*25),$R$3*25,Nomina!I42*Q42)</f>
        <v>0</v>
      </c>
      <c r="S42" s="90">
        <f t="shared" si="70"/>
        <v>332.22419999999994</v>
      </c>
      <c r="T42" s="90">
        <v>0</v>
      </c>
      <c r="U42" s="83">
        <f t="shared" si="36"/>
        <v>332.22419999999994</v>
      </c>
      <c r="V42" s="90">
        <f t="shared" ca="1" si="3"/>
        <v>0</v>
      </c>
      <c r="W42" s="90">
        <f t="shared" ca="1" si="4"/>
        <v>0</v>
      </c>
      <c r="X42" s="83">
        <f t="shared" ca="1" si="37"/>
        <v>0</v>
      </c>
      <c r="Y42" s="90">
        <f t="shared" ca="1" si="38"/>
        <v>0</v>
      </c>
      <c r="Z42" s="90">
        <f t="shared" ca="1" si="39"/>
        <v>0</v>
      </c>
      <c r="AA42" s="83">
        <f t="shared" ca="1" si="40"/>
        <v>0</v>
      </c>
      <c r="AB42" s="83">
        <f t="shared" ca="1" si="41"/>
        <v>0</v>
      </c>
      <c r="AC42" s="83">
        <f t="shared" ca="1" si="42"/>
        <v>0</v>
      </c>
      <c r="AD42" s="83">
        <f t="shared" ca="1" si="43"/>
        <v>0</v>
      </c>
      <c r="AE42" s="90">
        <f t="shared" ca="1" si="44"/>
        <v>0</v>
      </c>
      <c r="AF42" s="90">
        <f t="shared" ca="1" si="45"/>
        <v>0</v>
      </c>
      <c r="AG42" s="83">
        <f t="shared" ca="1" si="46"/>
        <v>0</v>
      </c>
      <c r="AH42" s="90">
        <f t="shared" ca="1" si="47"/>
        <v>0</v>
      </c>
      <c r="AI42" s="90">
        <v>0</v>
      </c>
      <c r="AJ42" s="83">
        <f t="shared" ca="1" si="48"/>
        <v>0</v>
      </c>
      <c r="AK42" s="90">
        <f t="shared" ca="1" si="49"/>
        <v>0</v>
      </c>
      <c r="AL42" s="90">
        <v>0</v>
      </c>
      <c r="AM42" s="83">
        <f t="shared" ca="1" si="50"/>
        <v>0</v>
      </c>
      <c r="AN42" s="83">
        <f t="shared" ca="1" si="51"/>
        <v>332.22419999999994</v>
      </c>
      <c r="AO42" s="83">
        <f t="shared" ca="1" si="52"/>
        <v>0</v>
      </c>
      <c r="AP42" s="83">
        <f t="shared" ca="1" si="53"/>
        <v>332.22419999999994</v>
      </c>
      <c r="AQ42" s="90">
        <f t="shared" ca="1" si="54"/>
        <v>0</v>
      </c>
      <c r="AR42" s="90">
        <v>0</v>
      </c>
      <c r="AS42" s="83">
        <f t="shared" ca="1" si="55"/>
        <v>0</v>
      </c>
      <c r="AT42" s="90">
        <f t="shared" ca="1" si="56"/>
        <v>0</v>
      </c>
      <c r="AU42" s="90">
        <f t="shared" ca="1" si="57"/>
        <v>0</v>
      </c>
      <c r="AV42" s="83">
        <f t="shared" ca="1" si="58"/>
        <v>0</v>
      </c>
      <c r="AW42" s="90">
        <f t="shared" ca="1" si="59"/>
        <v>0</v>
      </c>
      <c r="AX42" s="90">
        <v>0</v>
      </c>
      <c r="AY42" s="90">
        <f t="shared" ca="1" si="60"/>
        <v>0</v>
      </c>
      <c r="AZ42" s="83">
        <f t="shared" ca="1" si="61"/>
        <v>0</v>
      </c>
      <c r="BA42" s="83">
        <f t="shared" ca="1" si="62"/>
        <v>0</v>
      </c>
      <c r="BB42" s="83">
        <f t="shared" ca="1" si="63"/>
        <v>0</v>
      </c>
      <c r="BC42" s="82"/>
      <c r="BD42" s="83">
        <f t="shared" ca="1" si="64"/>
        <v>0</v>
      </c>
      <c r="BE42" s="83">
        <f t="shared" ca="1" si="69"/>
        <v>22.148279999999996</v>
      </c>
      <c r="BF42" s="82"/>
      <c r="BG42" s="83">
        <f t="shared" ca="1" si="65"/>
        <v>0</v>
      </c>
      <c r="BH42" s="91">
        <f t="shared" ca="1" si="66"/>
        <v>0</v>
      </c>
      <c r="BI42" s="82"/>
      <c r="BJ42" s="83">
        <f>IF(Nomina!I42=$R$3,0,IF(F42=0,0,BD42+BG42))</f>
        <v>0</v>
      </c>
      <c r="BK42" s="83">
        <f t="shared" ca="1" si="67"/>
        <v>0</v>
      </c>
    </row>
    <row r="43" spans="1:63" x14ac:dyDescent="0.25">
      <c r="A43" s="82">
        <f>+Nomina!B43</f>
        <v>37</v>
      </c>
      <c r="B43" s="83" t="str">
        <f>Nomina!C43&amp;" "&amp;Nomina!D43</f>
        <v xml:space="preserve"> </v>
      </c>
      <c r="C43" s="84">
        <v>15</v>
      </c>
      <c r="D43" s="84">
        <v>61</v>
      </c>
      <c r="E43" s="83"/>
      <c r="F43" s="85">
        <f>Nomina!P43*(30.4/30)</f>
        <v>0</v>
      </c>
      <c r="G43" s="85">
        <f>IF(F43=0,0,LOOKUP(F43,Tablas!$A$4:'Tablas'!$D$14,Tablas!$A$4:'Tablas'!$A$14))</f>
        <v>0</v>
      </c>
      <c r="H43" s="85">
        <f t="shared" si="33"/>
        <v>0</v>
      </c>
      <c r="I43" s="86">
        <f>IF(F43=0,0,LOOKUP(F43,Tablas!$A$4:'Tablas'!$D$14,Tablas!$D$4:'Tablas'!$D$14))</f>
        <v>0</v>
      </c>
      <c r="J43" s="85">
        <f t="shared" si="34"/>
        <v>0</v>
      </c>
      <c r="K43" s="85">
        <f>IF(F43=0,0,LOOKUP(F43,Tablas!$A$4:'Tablas'!$D$14,Tablas!$C$4:'Tablas'!$C$14))</f>
        <v>0</v>
      </c>
      <c r="L43" s="85">
        <f t="shared" si="35"/>
        <v>0</v>
      </c>
      <c r="M43" s="85">
        <f>IF(F43=0,0,LOOKUP(F43,Tablas!$A$20:'Tablas'!$C$30,Tablas!$C$20:'Tablas'!$C$30))</f>
        <v>0</v>
      </c>
      <c r="N43" s="85">
        <f t="shared" si="68"/>
        <v>0</v>
      </c>
      <c r="O43" s="85">
        <f>IF(F43&lt;Tablas!$B$20,M43,0)</f>
        <v>0</v>
      </c>
      <c r="P43" s="90"/>
      <c r="Q43" s="88">
        <f ca="1">IF(Nomina!F43="",0,(VLOOKUP((ROUNDUP(((TODAY()-Nomina!F43)/365),0)),Tablas!$F$4:$I$23,4)))</f>
        <v>0</v>
      </c>
      <c r="R43" s="89">
        <f ca="1">IF(Nomina!I43*Q43&gt;($R$3*25),$R$3*25,Nomina!I43*Q43)</f>
        <v>0</v>
      </c>
      <c r="S43" s="90">
        <f t="shared" si="70"/>
        <v>332.22419999999994</v>
      </c>
      <c r="T43" s="90">
        <v>0</v>
      </c>
      <c r="U43" s="83">
        <f t="shared" si="36"/>
        <v>332.22419999999994</v>
      </c>
      <c r="V43" s="90">
        <f t="shared" ca="1" si="3"/>
        <v>0</v>
      </c>
      <c r="W43" s="90">
        <f t="shared" ca="1" si="4"/>
        <v>0</v>
      </c>
      <c r="X43" s="83">
        <f t="shared" ca="1" si="37"/>
        <v>0</v>
      </c>
      <c r="Y43" s="90">
        <f t="shared" ca="1" si="38"/>
        <v>0</v>
      </c>
      <c r="Z43" s="90">
        <f t="shared" ca="1" si="39"/>
        <v>0</v>
      </c>
      <c r="AA43" s="83">
        <f t="shared" ca="1" si="40"/>
        <v>0</v>
      </c>
      <c r="AB43" s="83">
        <f t="shared" ca="1" si="41"/>
        <v>0</v>
      </c>
      <c r="AC43" s="83">
        <f t="shared" ca="1" si="42"/>
        <v>0</v>
      </c>
      <c r="AD43" s="83">
        <f t="shared" ca="1" si="43"/>
        <v>0</v>
      </c>
      <c r="AE43" s="90">
        <f t="shared" ca="1" si="44"/>
        <v>0</v>
      </c>
      <c r="AF43" s="90">
        <f t="shared" ca="1" si="45"/>
        <v>0</v>
      </c>
      <c r="AG43" s="83">
        <f t="shared" ca="1" si="46"/>
        <v>0</v>
      </c>
      <c r="AH43" s="90">
        <f t="shared" ca="1" si="47"/>
        <v>0</v>
      </c>
      <c r="AI43" s="90">
        <v>0</v>
      </c>
      <c r="AJ43" s="83">
        <f t="shared" ca="1" si="48"/>
        <v>0</v>
      </c>
      <c r="AK43" s="90">
        <f t="shared" ca="1" si="49"/>
        <v>0</v>
      </c>
      <c r="AL43" s="90">
        <v>0</v>
      </c>
      <c r="AM43" s="83">
        <f t="shared" ca="1" si="50"/>
        <v>0</v>
      </c>
      <c r="AN43" s="83">
        <f t="shared" ca="1" si="51"/>
        <v>332.22419999999994</v>
      </c>
      <c r="AO43" s="83">
        <f t="shared" ca="1" si="52"/>
        <v>0</v>
      </c>
      <c r="AP43" s="83">
        <f t="shared" ca="1" si="53"/>
        <v>332.22419999999994</v>
      </c>
      <c r="AQ43" s="90">
        <f t="shared" ca="1" si="54"/>
        <v>0</v>
      </c>
      <c r="AR43" s="90">
        <v>0</v>
      </c>
      <c r="AS43" s="83">
        <f t="shared" ca="1" si="55"/>
        <v>0</v>
      </c>
      <c r="AT43" s="90">
        <f t="shared" ca="1" si="56"/>
        <v>0</v>
      </c>
      <c r="AU43" s="90">
        <f t="shared" ca="1" si="57"/>
        <v>0</v>
      </c>
      <c r="AV43" s="83">
        <f t="shared" ca="1" si="58"/>
        <v>0</v>
      </c>
      <c r="AW43" s="90">
        <f t="shared" ca="1" si="59"/>
        <v>0</v>
      </c>
      <c r="AX43" s="90">
        <v>0</v>
      </c>
      <c r="AY43" s="90">
        <f t="shared" ca="1" si="60"/>
        <v>0</v>
      </c>
      <c r="AZ43" s="83">
        <f t="shared" ca="1" si="61"/>
        <v>0</v>
      </c>
      <c r="BA43" s="83">
        <f t="shared" ca="1" si="62"/>
        <v>0</v>
      </c>
      <c r="BB43" s="83">
        <f t="shared" ca="1" si="63"/>
        <v>0</v>
      </c>
      <c r="BC43" s="82"/>
      <c r="BD43" s="83">
        <f t="shared" ca="1" si="64"/>
        <v>0</v>
      </c>
      <c r="BE43" s="83">
        <f t="shared" ca="1" si="69"/>
        <v>22.148279999999996</v>
      </c>
      <c r="BF43" s="82"/>
      <c r="BG43" s="83">
        <f t="shared" ca="1" si="65"/>
        <v>0</v>
      </c>
      <c r="BH43" s="91">
        <f t="shared" ca="1" si="66"/>
        <v>0</v>
      </c>
      <c r="BI43" s="82"/>
      <c r="BJ43" s="83">
        <f>IF(Nomina!I43=$R$3,0,IF(F43=0,0,BD43+BG43))</f>
        <v>0</v>
      </c>
      <c r="BK43" s="83">
        <f t="shared" ca="1" si="67"/>
        <v>0</v>
      </c>
    </row>
    <row r="44" spans="1:63" x14ac:dyDescent="0.25">
      <c r="A44" s="82">
        <f>+Nomina!B44</f>
        <v>38</v>
      </c>
      <c r="B44" s="83" t="str">
        <f>Nomina!C44&amp;" "&amp;Nomina!D44</f>
        <v xml:space="preserve"> </v>
      </c>
      <c r="C44" s="84">
        <v>15</v>
      </c>
      <c r="D44" s="84">
        <v>61</v>
      </c>
      <c r="E44" s="83"/>
      <c r="F44" s="85">
        <f>Nomina!P44*(30.4/30)</f>
        <v>0</v>
      </c>
      <c r="G44" s="85">
        <f>IF(F44=0,0,LOOKUP(F44,Tablas!$A$4:'Tablas'!$D$14,Tablas!$A$4:'Tablas'!$A$14))</f>
        <v>0</v>
      </c>
      <c r="H44" s="85">
        <f t="shared" si="33"/>
        <v>0</v>
      </c>
      <c r="I44" s="86">
        <f>IF(F44=0,0,LOOKUP(F44,Tablas!$A$4:'Tablas'!$D$14,Tablas!$D$4:'Tablas'!$D$14))</f>
        <v>0</v>
      </c>
      <c r="J44" s="85">
        <f t="shared" si="34"/>
        <v>0</v>
      </c>
      <c r="K44" s="85">
        <f>IF(F44=0,0,LOOKUP(F44,Tablas!$A$4:'Tablas'!$D$14,Tablas!$C$4:'Tablas'!$C$14))</f>
        <v>0</v>
      </c>
      <c r="L44" s="85">
        <f t="shared" si="35"/>
        <v>0</v>
      </c>
      <c r="M44" s="85">
        <f>IF(F44=0,0,LOOKUP(F44,Tablas!$A$20:'Tablas'!$C$30,Tablas!$C$20:'Tablas'!$C$30))</f>
        <v>0</v>
      </c>
      <c r="N44" s="85">
        <f t="shared" si="68"/>
        <v>0</v>
      </c>
      <c r="O44" s="85">
        <f>IF(F44&lt;Tablas!$B$20,M44,0)</f>
        <v>0</v>
      </c>
      <c r="P44" s="90"/>
      <c r="Q44" s="88">
        <f ca="1">IF(Nomina!F44="",0,(VLOOKUP((ROUNDUP(((TODAY()-Nomina!F44)/365),0)),Tablas!$F$4:$I$23,4)))</f>
        <v>0</v>
      </c>
      <c r="R44" s="89">
        <f ca="1">IF(Nomina!I44*Q44&gt;($R$3*25),$R$3*25,Nomina!I44*Q44)</f>
        <v>0</v>
      </c>
      <c r="S44" s="90">
        <f t="shared" si="70"/>
        <v>332.22419999999994</v>
      </c>
      <c r="T44" s="90">
        <v>0</v>
      </c>
      <c r="U44" s="83">
        <f t="shared" si="36"/>
        <v>332.22419999999994</v>
      </c>
      <c r="V44" s="90">
        <f t="shared" ca="1" si="3"/>
        <v>0</v>
      </c>
      <c r="W44" s="90">
        <f t="shared" ca="1" si="4"/>
        <v>0</v>
      </c>
      <c r="X44" s="83">
        <f t="shared" ca="1" si="37"/>
        <v>0</v>
      </c>
      <c r="Y44" s="90">
        <f t="shared" ca="1" si="38"/>
        <v>0</v>
      </c>
      <c r="Z44" s="90">
        <f t="shared" ca="1" si="39"/>
        <v>0</v>
      </c>
      <c r="AA44" s="83">
        <f t="shared" ca="1" si="40"/>
        <v>0</v>
      </c>
      <c r="AB44" s="83">
        <f t="shared" ca="1" si="41"/>
        <v>0</v>
      </c>
      <c r="AC44" s="83">
        <f t="shared" ca="1" si="42"/>
        <v>0</v>
      </c>
      <c r="AD44" s="83">
        <f t="shared" ca="1" si="43"/>
        <v>0</v>
      </c>
      <c r="AE44" s="90">
        <f t="shared" ca="1" si="44"/>
        <v>0</v>
      </c>
      <c r="AF44" s="90">
        <f t="shared" ca="1" si="45"/>
        <v>0</v>
      </c>
      <c r="AG44" s="83">
        <f t="shared" ca="1" si="46"/>
        <v>0</v>
      </c>
      <c r="AH44" s="90">
        <f t="shared" ca="1" si="47"/>
        <v>0</v>
      </c>
      <c r="AI44" s="90">
        <v>0</v>
      </c>
      <c r="AJ44" s="83">
        <f t="shared" ca="1" si="48"/>
        <v>0</v>
      </c>
      <c r="AK44" s="90">
        <f t="shared" ca="1" si="49"/>
        <v>0</v>
      </c>
      <c r="AL44" s="90">
        <v>0</v>
      </c>
      <c r="AM44" s="83">
        <f t="shared" ca="1" si="50"/>
        <v>0</v>
      </c>
      <c r="AN44" s="83">
        <f t="shared" ca="1" si="51"/>
        <v>332.22419999999994</v>
      </c>
      <c r="AO44" s="83">
        <f t="shared" ca="1" si="52"/>
        <v>0</v>
      </c>
      <c r="AP44" s="83">
        <f t="shared" ca="1" si="53"/>
        <v>332.22419999999994</v>
      </c>
      <c r="AQ44" s="90">
        <f t="shared" ca="1" si="54"/>
        <v>0</v>
      </c>
      <c r="AR44" s="90">
        <v>0</v>
      </c>
      <c r="AS44" s="83">
        <f t="shared" ca="1" si="55"/>
        <v>0</v>
      </c>
      <c r="AT44" s="90">
        <f t="shared" ca="1" si="56"/>
        <v>0</v>
      </c>
      <c r="AU44" s="90">
        <f t="shared" ca="1" si="57"/>
        <v>0</v>
      </c>
      <c r="AV44" s="83">
        <f t="shared" ca="1" si="58"/>
        <v>0</v>
      </c>
      <c r="AW44" s="90">
        <f t="shared" ca="1" si="59"/>
        <v>0</v>
      </c>
      <c r="AX44" s="90">
        <v>0</v>
      </c>
      <c r="AY44" s="90">
        <f t="shared" ca="1" si="60"/>
        <v>0</v>
      </c>
      <c r="AZ44" s="83">
        <f t="shared" ca="1" si="61"/>
        <v>0</v>
      </c>
      <c r="BA44" s="83">
        <f t="shared" ca="1" si="62"/>
        <v>0</v>
      </c>
      <c r="BB44" s="83">
        <f t="shared" ca="1" si="63"/>
        <v>0</v>
      </c>
      <c r="BC44" s="82"/>
      <c r="BD44" s="83">
        <f t="shared" ca="1" si="64"/>
        <v>0</v>
      </c>
      <c r="BE44" s="83">
        <f t="shared" ca="1" si="69"/>
        <v>22.148279999999996</v>
      </c>
      <c r="BF44" s="82"/>
      <c r="BG44" s="83">
        <f t="shared" ca="1" si="65"/>
        <v>0</v>
      </c>
      <c r="BH44" s="91">
        <f t="shared" ca="1" si="66"/>
        <v>0</v>
      </c>
      <c r="BI44" s="82"/>
      <c r="BJ44" s="83">
        <f>IF(Nomina!I44=$R$3,0,IF(F44=0,0,BD44+BG44))</f>
        <v>0</v>
      </c>
      <c r="BK44" s="83">
        <f t="shared" ca="1" si="67"/>
        <v>0</v>
      </c>
    </row>
    <row r="45" spans="1:63" x14ac:dyDescent="0.25">
      <c r="A45" s="82">
        <f>+Nomina!B45</f>
        <v>39</v>
      </c>
      <c r="B45" s="83" t="str">
        <f>Nomina!C45&amp;" "&amp;Nomina!D45</f>
        <v xml:space="preserve"> </v>
      </c>
      <c r="C45" s="84">
        <v>15</v>
      </c>
      <c r="D45" s="84">
        <v>61</v>
      </c>
      <c r="E45" s="83"/>
      <c r="F45" s="85">
        <f>Nomina!P45*(30.4/30)</f>
        <v>0</v>
      </c>
      <c r="G45" s="85">
        <f>IF(F45=0,0,LOOKUP(F45,Tablas!$A$4:'Tablas'!$D$14,Tablas!$A$4:'Tablas'!$A$14))</f>
        <v>0</v>
      </c>
      <c r="H45" s="85">
        <f t="shared" si="33"/>
        <v>0</v>
      </c>
      <c r="I45" s="86">
        <f>IF(F45=0,0,LOOKUP(F45,Tablas!$A$4:'Tablas'!$D$14,Tablas!$D$4:'Tablas'!$D$14))</f>
        <v>0</v>
      </c>
      <c r="J45" s="85">
        <f t="shared" si="34"/>
        <v>0</v>
      </c>
      <c r="K45" s="85">
        <f>IF(F45=0,0,LOOKUP(F45,Tablas!$A$4:'Tablas'!$D$14,Tablas!$C$4:'Tablas'!$C$14))</f>
        <v>0</v>
      </c>
      <c r="L45" s="85">
        <f t="shared" si="35"/>
        <v>0</v>
      </c>
      <c r="M45" s="85">
        <f>IF(F45=0,0,LOOKUP(F45,Tablas!$A$20:'Tablas'!$C$30,Tablas!$C$20:'Tablas'!$C$30))</f>
        <v>0</v>
      </c>
      <c r="N45" s="85">
        <f t="shared" si="68"/>
        <v>0</v>
      </c>
      <c r="O45" s="85">
        <f>IF(F45&lt;Tablas!$B$20,M45,0)</f>
        <v>0</v>
      </c>
      <c r="P45" s="90"/>
      <c r="Q45" s="88">
        <f ca="1">IF(Nomina!F45="",0,(VLOOKUP((ROUNDUP(((TODAY()-Nomina!F45)/365),0)),Tablas!$F$4:$I$23,4)))</f>
        <v>0</v>
      </c>
      <c r="R45" s="89">
        <f ca="1">IF(Nomina!I45*Q45&gt;($R$3*25),$R$3*25,Nomina!I45*Q45)</f>
        <v>0</v>
      </c>
      <c r="S45" s="90">
        <f t="shared" si="70"/>
        <v>332.22419999999994</v>
      </c>
      <c r="T45" s="90">
        <v>0</v>
      </c>
      <c r="U45" s="83">
        <f t="shared" si="36"/>
        <v>332.22419999999994</v>
      </c>
      <c r="V45" s="90">
        <f t="shared" ca="1" si="3"/>
        <v>0</v>
      </c>
      <c r="W45" s="90">
        <f t="shared" ca="1" si="4"/>
        <v>0</v>
      </c>
      <c r="X45" s="83">
        <f t="shared" ca="1" si="37"/>
        <v>0</v>
      </c>
      <c r="Y45" s="90">
        <f t="shared" ca="1" si="38"/>
        <v>0</v>
      </c>
      <c r="Z45" s="90">
        <f t="shared" ca="1" si="39"/>
        <v>0</v>
      </c>
      <c r="AA45" s="83">
        <f t="shared" ca="1" si="40"/>
        <v>0</v>
      </c>
      <c r="AB45" s="83">
        <f t="shared" ca="1" si="41"/>
        <v>0</v>
      </c>
      <c r="AC45" s="83">
        <f t="shared" ca="1" si="42"/>
        <v>0</v>
      </c>
      <c r="AD45" s="83">
        <f t="shared" ca="1" si="43"/>
        <v>0</v>
      </c>
      <c r="AE45" s="90">
        <f t="shared" ca="1" si="44"/>
        <v>0</v>
      </c>
      <c r="AF45" s="90">
        <f t="shared" ca="1" si="45"/>
        <v>0</v>
      </c>
      <c r="AG45" s="83">
        <f t="shared" ca="1" si="46"/>
        <v>0</v>
      </c>
      <c r="AH45" s="90">
        <f t="shared" ca="1" si="47"/>
        <v>0</v>
      </c>
      <c r="AI45" s="90">
        <v>0</v>
      </c>
      <c r="AJ45" s="83">
        <f t="shared" ca="1" si="48"/>
        <v>0</v>
      </c>
      <c r="AK45" s="90">
        <f t="shared" ca="1" si="49"/>
        <v>0</v>
      </c>
      <c r="AL45" s="90">
        <v>0</v>
      </c>
      <c r="AM45" s="83">
        <f t="shared" ca="1" si="50"/>
        <v>0</v>
      </c>
      <c r="AN45" s="83">
        <f t="shared" ca="1" si="51"/>
        <v>332.22419999999994</v>
      </c>
      <c r="AO45" s="83">
        <f t="shared" ca="1" si="52"/>
        <v>0</v>
      </c>
      <c r="AP45" s="83">
        <f t="shared" ca="1" si="53"/>
        <v>332.22419999999994</v>
      </c>
      <c r="AQ45" s="90">
        <f t="shared" ca="1" si="54"/>
        <v>0</v>
      </c>
      <c r="AR45" s="90">
        <v>0</v>
      </c>
      <c r="AS45" s="83">
        <f t="shared" ca="1" si="55"/>
        <v>0</v>
      </c>
      <c r="AT45" s="90">
        <f t="shared" ca="1" si="56"/>
        <v>0</v>
      </c>
      <c r="AU45" s="90">
        <f t="shared" ca="1" si="57"/>
        <v>0</v>
      </c>
      <c r="AV45" s="83">
        <f t="shared" ca="1" si="58"/>
        <v>0</v>
      </c>
      <c r="AW45" s="90">
        <f t="shared" ca="1" si="59"/>
        <v>0</v>
      </c>
      <c r="AX45" s="90">
        <v>0</v>
      </c>
      <c r="AY45" s="90">
        <f t="shared" ca="1" si="60"/>
        <v>0</v>
      </c>
      <c r="AZ45" s="83">
        <f t="shared" ca="1" si="61"/>
        <v>0</v>
      </c>
      <c r="BA45" s="83">
        <f t="shared" ca="1" si="62"/>
        <v>0</v>
      </c>
      <c r="BB45" s="83">
        <f t="shared" ca="1" si="63"/>
        <v>0</v>
      </c>
      <c r="BC45" s="82"/>
      <c r="BD45" s="83">
        <f t="shared" ca="1" si="64"/>
        <v>0</v>
      </c>
      <c r="BE45" s="83">
        <f t="shared" ca="1" si="69"/>
        <v>22.148279999999996</v>
      </c>
      <c r="BF45" s="82"/>
      <c r="BG45" s="83">
        <f t="shared" ca="1" si="65"/>
        <v>0</v>
      </c>
      <c r="BH45" s="91">
        <f t="shared" ca="1" si="66"/>
        <v>0</v>
      </c>
      <c r="BI45" s="82"/>
      <c r="BJ45" s="83">
        <f>IF(Nomina!I45=$R$3,0,IF(F45=0,0,BD45+BG45))</f>
        <v>0</v>
      </c>
      <c r="BK45" s="83">
        <f t="shared" ca="1" si="67"/>
        <v>0</v>
      </c>
    </row>
    <row r="46" spans="1:63" x14ac:dyDescent="0.25">
      <c r="A46" s="82">
        <f>+Nomina!B46</f>
        <v>40</v>
      </c>
      <c r="B46" s="83" t="str">
        <f>Nomina!C46&amp;" "&amp;Nomina!D46</f>
        <v xml:space="preserve"> </v>
      </c>
      <c r="C46" s="84">
        <v>15</v>
      </c>
      <c r="D46" s="84">
        <v>61</v>
      </c>
      <c r="E46" s="83"/>
      <c r="F46" s="85">
        <f>Nomina!P46*(30.4/30)</f>
        <v>0</v>
      </c>
      <c r="G46" s="85">
        <f>IF(F46=0,0,LOOKUP(F46,Tablas!$A$4:'Tablas'!$D$14,Tablas!$A$4:'Tablas'!$A$14))</f>
        <v>0</v>
      </c>
      <c r="H46" s="85">
        <f t="shared" si="33"/>
        <v>0</v>
      </c>
      <c r="I46" s="86">
        <f>IF(F46=0,0,LOOKUP(F46,Tablas!$A$4:'Tablas'!$D$14,Tablas!$D$4:'Tablas'!$D$14))</f>
        <v>0</v>
      </c>
      <c r="J46" s="85">
        <f t="shared" si="34"/>
        <v>0</v>
      </c>
      <c r="K46" s="85">
        <f>IF(F46=0,0,LOOKUP(F46,Tablas!$A$4:'Tablas'!$D$14,Tablas!$C$4:'Tablas'!$C$14))</f>
        <v>0</v>
      </c>
      <c r="L46" s="85">
        <f t="shared" si="35"/>
        <v>0</v>
      </c>
      <c r="M46" s="85">
        <f>IF(F46=0,0,LOOKUP(F46,Tablas!$A$20:'Tablas'!$C$30,Tablas!$C$20:'Tablas'!$C$30))</f>
        <v>0</v>
      </c>
      <c r="N46" s="85">
        <f t="shared" si="68"/>
        <v>0</v>
      </c>
      <c r="O46" s="85">
        <f>IF(F46&lt;Tablas!$B$20,M46,0)</f>
        <v>0</v>
      </c>
      <c r="P46" s="90"/>
      <c r="Q46" s="88">
        <f ca="1">IF(Nomina!F46="",0,(VLOOKUP((ROUNDUP(((TODAY()-Nomina!F46)/365),0)),Tablas!$F$4:$I$23,4)))</f>
        <v>0</v>
      </c>
      <c r="R46" s="89">
        <f ca="1">IF(Nomina!I46*Q46&gt;($R$3*25),$R$3*25,Nomina!I46*Q46)</f>
        <v>0</v>
      </c>
      <c r="S46" s="90">
        <f t="shared" si="70"/>
        <v>332.22419999999994</v>
      </c>
      <c r="T46" s="90">
        <v>0</v>
      </c>
      <c r="U46" s="83">
        <f t="shared" si="36"/>
        <v>332.22419999999994</v>
      </c>
      <c r="V46" s="90">
        <f t="shared" ca="1" si="3"/>
        <v>0</v>
      </c>
      <c r="W46" s="90">
        <f t="shared" ca="1" si="4"/>
        <v>0</v>
      </c>
      <c r="X46" s="83">
        <f t="shared" ca="1" si="37"/>
        <v>0</v>
      </c>
      <c r="Y46" s="90">
        <f t="shared" ca="1" si="38"/>
        <v>0</v>
      </c>
      <c r="Z46" s="90">
        <f t="shared" ca="1" si="39"/>
        <v>0</v>
      </c>
      <c r="AA46" s="83">
        <f t="shared" ca="1" si="40"/>
        <v>0</v>
      </c>
      <c r="AB46" s="83">
        <f t="shared" ca="1" si="41"/>
        <v>0</v>
      </c>
      <c r="AC46" s="83">
        <f t="shared" ca="1" si="42"/>
        <v>0</v>
      </c>
      <c r="AD46" s="83">
        <f t="shared" ca="1" si="43"/>
        <v>0</v>
      </c>
      <c r="AE46" s="90">
        <f t="shared" ca="1" si="44"/>
        <v>0</v>
      </c>
      <c r="AF46" s="90">
        <f t="shared" ca="1" si="45"/>
        <v>0</v>
      </c>
      <c r="AG46" s="83">
        <f t="shared" ca="1" si="46"/>
        <v>0</v>
      </c>
      <c r="AH46" s="90">
        <f t="shared" ca="1" si="47"/>
        <v>0</v>
      </c>
      <c r="AI46" s="90">
        <v>0</v>
      </c>
      <c r="AJ46" s="83">
        <f t="shared" ca="1" si="48"/>
        <v>0</v>
      </c>
      <c r="AK46" s="90">
        <f t="shared" ca="1" si="49"/>
        <v>0</v>
      </c>
      <c r="AL46" s="90">
        <v>0</v>
      </c>
      <c r="AM46" s="83">
        <f t="shared" ca="1" si="50"/>
        <v>0</v>
      </c>
      <c r="AN46" s="83">
        <f t="shared" ca="1" si="51"/>
        <v>332.22419999999994</v>
      </c>
      <c r="AO46" s="83">
        <f t="shared" ca="1" si="52"/>
        <v>0</v>
      </c>
      <c r="AP46" s="83">
        <f t="shared" ca="1" si="53"/>
        <v>332.22419999999994</v>
      </c>
      <c r="AQ46" s="90">
        <f t="shared" ca="1" si="54"/>
        <v>0</v>
      </c>
      <c r="AR46" s="90">
        <v>0</v>
      </c>
      <c r="AS46" s="83">
        <f t="shared" ca="1" si="55"/>
        <v>0</v>
      </c>
      <c r="AT46" s="90">
        <f t="shared" ca="1" si="56"/>
        <v>0</v>
      </c>
      <c r="AU46" s="90">
        <f t="shared" ca="1" si="57"/>
        <v>0</v>
      </c>
      <c r="AV46" s="83">
        <f t="shared" ca="1" si="58"/>
        <v>0</v>
      </c>
      <c r="AW46" s="90">
        <f t="shared" ca="1" si="59"/>
        <v>0</v>
      </c>
      <c r="AX46" s="90">
        <v>0</v>
      </c>
      <c r="AY46" s="90">
        <f t="shared" ca="1" si="60"/>
        <v>0</v>
      </c>
      <c r="AZ46" s="83">
        <f t="shared" ca="1" si="61"/>
        <v>0</v>
      </c>
      <c r="BA46" s="83">
        <f t="shared" ca="1" si="62"/>
        <v>0</v>
      </c>
      <c r="BB46" s="83">
        <f t="shared" ca="1" si="63"/>
        <v>0</v>
      </c>
      <c r="BC46" s="82"/>
      <c r="BD46" s="83">
        <f t="shared" ca="1" si="64"/>
        <v>0</v>
      </c>
      <c r="BE46" s="83">
        <f t="shared" ca="1" si="69"/>
        <v>22.148279999999996</v>
      </c>
      <c r="BF46" s="82"/>
      <c r="BG46" s="83">
        <f t="shared" ca="1" si="65"/>
        <v>0</v>
      </c>
      <c r="BH46" s="91">
        <f t="shared" ca="1" si="66"/>
        <v>0</v>
      </c>
      <c r="BI46" s="82"/>
      <c r="BJ46" s="83">
        <f>IF(Nomina!I46=$R$3,0,IF(F46=0,0,BD46+BG46))</f>
        <v>0</v>
      </c>
      <c r="BK46" s="83">
        <f t="shared" ca="1" si="67"/>
        <v>0</v>
      </c>
    </row>
    <row r="47" spans="1:63" x14ac:dyDescent="0.25">
      <c r="A47" s="82">
        <f>+Nomina!B47</f>
        <v>41</v>
      </c>
      <c r="B47" s="83" t="str">
        <f>Nomina!C47&amp;" "&amp;Nomina!D47</f>
        <v xml:space="preserve"> </v>
      </c>
      <c r="C47" s="84">
        <v>15</v>
      </c>
      <c r="D47" s="84">
        <v>61</v>
      </c>
      <c r="E47" s="83"/>
      <c r="F47" s="85">
        <f>Nomina!P47*(30.4/30)</f>
        <v>0</v>
      </c>
      <c r="G47" s="85">
        <f>IF(F47=0,0,LOOKUP(F47,Tablas!$A$4:'Tablas'!$D$14,Tablas!$A$4:'Tablas'!$A$14))</f>
        <v>0</v>
      </c>
      <c r="H47" s="85">
        <f t="shared" si="33"/>
        <v>0</v>
      </c>
      <c r="I47" s="86">
        <f>IF(F47=0,0,LOOKUP(F47,Tablas!$A$4:'Tablas'!$D$14,Tablas!$D$4:'Tablas'!$D$14))</f>
        <v>0</v>
      </c>
      <c r="J47" s="85">
        <f t="shared" si="34"/>
        <v>0</v>
      </c>
      <c r="K47" s="85">
        <f>IF(F47=0,0,LOOKUP(F47,Tablas!$A$4:'Tablas'!$D$14,Tablas!$C$4:'Tablas'!$C$14))</f>
        <v>0</v>
      </c>
      <c r="L47" s="85">
        <f t="shared" si="35"/>
        <v>0</v>
      </c>
      <c r="M47" s="85">
        <f>IF(F47=0,0,LOOKUP(F47,Tablas!$A$20:'Tablas'!$C$30,Tablas!$C$20:'Tablas'!$C$30))</f>
        <v>0</v>
      </c>
      <c r="N47" s="85">
        <f t="shared" si="68"/>
        <v>0</v>
      </c>
      <c r="O47" s="85">
        <f>IF(F47&lt;Tablas!$B$20,M47,0)</f>
        <v>0</v>
      </c>
      <c r="P47" s="90"/>
      <c r="Q47" s="88">
        <f ca="1">IF(Nomina!F47="",0,(VLOOKUP((ROUNDUP(((TODAY()-Nomina!F47)/365),0)),Tablas!$F$4:$I$23,4)))</f>
        <v>0</v>
      </c>
      <c r="R47" s="89">
        <f ca="1">IF(Nomina!I47*Q47&gt;($R$3*25),$R$3*25,Nomina!I47*Q47)</f>
        <v>0</v>
      </c>
      <c r="S47" s="90">
        <f t="shared" si="70"/>
        <v>332.22419999999994</v>
      </c>
      <c r="T47" s="90">
        <v>0</v>
      </c>
      <c r="U47" s="83">
        <f t="shared" si="36"/>
        <v>332.22419999999994</v>
      </c>
      <c r="V47" s="90">
        <f t="shared" ca="1" si="3"/>
        <v>0</v>
      </c>
      <c r="W47" s="90">
        <f t="shared" ca="1" si="4"/>
        <v>0</v>
      </c>
      <c r="X47" s="83">
        <f t="shared" ca="1" si="37"/>
        <v>0</v>
      </c>
      <c r="Y47" s="90">
        <f t="shared" ca="1" si="38"/>
        <v>0</v>
      </c>
      <c r="Z47" s="90">
        <f t="shared" ca="1" si="39"/>
        <v>0</v>
      </c>
      <c r="AA47" s="83">
        <f t="shared" ca="1" si="40"/>
        <v>0</v>
      </c>
      <c r="AB47" s="83">
        <f t="shared" ca="1" si="41"/>
        <v>0</v>
      </c>
      <c r="AC47" s="83">
        <f t="shared" ca="1" si="42"/>
        <v>0</v>
      </c>
      <c r="AD47" s="83">
        <f t="shared" ca="1" si="43"/>
        <v>0</v>
      </c>
      <c r="AE47" s="90">
        <f t="shared" ca="1" si="44"/>
        <v>0</v>
      </c>
      <c r="AF47" s="90">
        <f t="shared" ca="1" si="45"/>
        <v>0</v>
      </c>
      <c r="AG47" s="83">
        <f t="shared" ca="1" si="46"/>
        <v>0</v>
      </c>
      <c r="AH47" s="90">
        <f t="shared" ca="1" si="47"/>
        <v>0</v>
      </c>
      <c r="AI47" s="90">
        <v>0</v>
      </c>
      <c r="AJ47" s="83">
        <f t="shared" ca="1" si="48"/>
        <v>0</v>
      </c>
      <c r="AK47" s="90">
        <f t="shared" ca="1" si="49"/>
        <v>0</v>
      </c>
      <c r="AL47" s="90">
        <v>0</v>
      </c>
      <c r="AM47" s="83">
        <f t="shared" ca="1" si="50"/>
        <v>0</v>
      </c>
      <c r="AN47" s="83">
        <f t="shared" ca="1" si="51"/>
        <v>332.22419999999994</v>
      </c>
      <c r="AO47" s="83">
        <f t="shared" ca="1" si="52"/>
        <v>0</v>
      </c>
      <c r="AP47" s="83">
        <f t="shared" ca="1" si="53"/>
        <v>332.22419999999994</v>
      </c>
      <c r="AQ47" s="90">
        <f t="shared" ca="1" si="54"/>
        <v>0</v>
      </c>
      <c r="AR47" s="90">
        <v>0</v>
      </c>
      <c r="AS47" s="83">
        <f t="shared" ca="1" si="55"/>
        <v>0</v>
      </c>
      <c r="AT47" s="90">
        <f t="shared" ca="1" si="56"/>
        <v>0</v>
      </c>
      <c r="AU47" s="90">
        <f t="shared" ca="1" si="57"/>
        <v>0</v>
      </c>
      <c r="AV47" s="83">
        <f t="shared" ca="1" si="58"/>
        <v>0</v>
      </c>
      <c r="AW47" s="90">
        <f t="shared" ca="1" si="59"/>
        <v>0</v>
      </c>
      <c r="AX47" s="90">
        <v>0</v>
      </c>
      <c r="AY47" s="90">
        <f t="shared" ca="1" si="60"/>
        <v>0</v>
      </c>
      <c r="AZ47" s="83">
        <f t="shared" ca="1" si="61"/>
        <v>0</v>
      </c>
      <c r="BA47" s="83">
        <f t="shared" ca="1" si="62"/>
        <v>0</v>
      </c>
      <c r="BB47" s="83">
        <f t="shared" ca="1" si="63"/>
        <v>0</v>
      </c>
      <c r="BC47" s="82"/>
      <c r="BD47" s="83">
        <f t="shared" ca="1" si="64"/>
        <v>0</v>
      </c>
      <c r="BE47" s="83">
        <f t="shared" ca="1" si="69"/>
        <v>22.148279999999996</v>
      </c>
      <c r="BF47" s="82"/>
      <c r="BG47" s="83">
        <f t="shared" ca="1" si="65"/>
        <v>0</v>
      </c>
      <c r="BH47" s="91">
        <f t="shared" ca="1" si="66"/>
        <v>0</v>
      </c>
      <c r="BI47" s="82"/>
      <c r="BJ47" s="83">
        <f>IF(Nomina!I47=$R$3,0,IF(F47=0,0,BD47+BG47))</f>
        <v>0</v>
      </c>
      <c r="BK47" s="83">
        <f t="shared" ca="1" si="67"/>
        <v>0</v>
      </c>
    </row>
    <row r="48" spans="1:63" x14ac:dyDescent="0.25">
      <c r="A48" s="82">
        <f>+Nomina!B48</f>
        <v>42</v>
      </c>
      <c r="B48" s="83" t="str">
        <f>Nomina!C48&amp;" "&amp;Nomina!D48</f>
        <v xml:space="preserve"> </v>
      </c>
      <c r="C48" s="84">
        <v>15</v>
      </c>
      <c r="D48" s="84">
        <v>61</v>
      </c>
      <c r="E48" s="83"/>
      <c r="F48" s="85">
        <f>Nomina!P48*(30.4/30)</f>
        <v>0</v>
      </c>
      <c r="G48" s="85">
        <f>IF(F48=0,0,LOOKUP(F48,Tablas!$A$4:'Tablas'!$D$14,Tablas!$A$4:'Tablas'!$A$14))</f>
        <v>0</v>
      </c>
      <c r="H48" s="85">
        <f t="shared" si="33"/>
        <v>0</v>
      </c>
      <c r="I48" s="86">
        <f>IF(F48=0,0,LOOKUP(F48,Tablas!$A$4:'Tablas'!$D$14,Tablas!$D$4:'Tablas'!$D$14))</f>
        <v>0</v>
      </c>
      <c r="J48" s="85">
        <f t="shared" si="34"/>
        <v>0</v>
      </c>
      <c r="K48" s="85">
        <f>IF(F48=0,0,LOOKUP(F48,Tablas!$A$4:'Tablas'!$D$14,Tablas!$C$4:'Tablas'!$C$14))</f>
        <v>0</v>
      </c>
      <c r="L48" s="85">
        <f t="shared" si="35"/>
        <v>0</v>
      </c>
      <c r="M48" s="85">
        <f>IF(F48=0,0,LOOKUP(F48,Tablas!$A$20:'Tablas'!$C$30,Tablas!$C$20:'Tablas'!$C$30))</f>
        <v>0</v>
      </c>
      <c r="N48" s="85">
        <f t="shared" si="68"/>
        <v>0</v>
      </c>
      <c r="O48" s="85">
        <f>IF(F48&lt;Tablas!$B$20,M48,0)</f>
        <v>0</v>
      </c>
      <c r="P48" s="90"/>
      <c r="Q48" s="88">
        <f ca="1">IF(Nomina!F48="",0,(VLOOKUP((ROUNDUP(((TODAY()-Nomina!F48)/365),0)),Tablas!$F$4:$I$23,4)))</f>
        <v>0</v>
      </c>
      <c r="R48" s="89">
        <f ca="1">IF(Nomina!I48*Q48&gt;($R$3*25),$R$3*25,Nomina!I48*Q48)</f>
        <v>0</v>
      </c>
      <c r="S48" s="90">
        <f t="shared" si="70"/>
        <v>332.22419999999994</v>
      </c>
      <c r="T48" s="90">
        <v>0</v>
      </c>
      <c r="U48" s="83">
        <f t="shared" si="36"/>
        <v>332.22419999999994</v>
      </c>
      <c r="V48" s="90">
        <f t="shared" ca="1" si="3"/>
        <v>0</v>
      </c>
      <c r="W48" s="90">
        <f t="shared" ca="1" si="4"/>
        <v>0</v>
      </c>
      <c r="X48" s="83">
        <f t="shared" ca="1" si="37"/>
        <v>0</v>
      </c>
      <c r="Y48" s="90">
        <f t="shared" ca="1" si="38"/>
        <v>0</v>
      </c>
      <c r="Z48" s="90">
        <f t="shared" ca="1" si="39"/>
        <v>0</v>
      </c>
      <c r="AA48" s="83">
        <f t="shared" ca="1" si="40"/>
        <v>0</v>
      </c>
      <c r="AB48" s="83">
        <f t="shared" ca="1" si="41"/>
        <v>0</v>
      </c>
      <c r="AC48" s="83">
        <f t="shared" ca="1" si="42"/>
        <v>0</v>
      </c>
      <c r="AD48" s="83">
        <f t="shared" ca="1" si="43"/>
        <v>0</v>
      </c>
      <c r="AE48" s="90">
        <f t="shared" ca="1" si="44"/>
        <v>0</v>
      </c>
      <c r="AF48" s="90">
        <f t="shared" ca="1" si="45"/>
        <v>0</v>
      </c>
      <c r="AG48" s="83">
        <f t="shared" ca="1" si="46"/>
        <v>0</v>
      </c>
      <c r="AH48" s="90">
        <f t="shared" ca="1" si="47"/>
        <v>0</v>
      </c>
      <c r="AI48" s="90">
        <v>0</v>
      </c>
      <c r="AJ48" s="83">
        <f t="shared" ca="1" si="48"/>
        <v>0</v>
      </c>
      <c r="AK48" s="90">
        <f t="shared" ca="1" si="49"/>
        <v>0</v>
      </c>
      <c r="AL48" s="90">
        <v>0</v>
      </c>
      <c r="AM48" s="83">
        <f t="shared" ca="1" si="50"/>
        <v>0</v>
      </c>
      <c r="AN48" s="83">
        <f t="shared" ca="1" si="51"/>
        <v>332.22419999999994</v>
      </c>
      <c r="AO48" s="83">
        <f t="shared" ca="1" si="52"/>
        <v>0</v>
      </c>
      <c r="AP48" s="83">
        <f t="shared" ca="1" si="53"/>
        <v>332.22419999999994</v>
      </c>
      <c r="AQ48" s="90">
        <f t="shared" ca="1" si="54"/>
        <v>0</v>
      </c>
      <c r="AR48" s="90">
        <v>0</v>
      </c>
      <c r="AS48" s="83">
        <f t="shared" ca="1" si="55"/>
        <v>0</v>
      </c>
      <c r="AT48" s="90">
        <f t="shared" ca="1" si="56"/>
        <v>0</v>
      </c>
      <c r="AU48" s="90">
        <f t="shared" ca="1" si="57"/>
        <v>0</v>
      </c>
      <c r="AV48" s="83">
        <f t="shared" ca="1" si="58"/>
        <v>0</v>
      </c>
      <c r="AW48" s="90">
        <f t="shared" ca="1" si="59"/>
        <v>0</v>
      </c>
      <c r="AX48" s="90">
        <v>0</v>
      </c>
      <c r="AY48" s="90">
        <f t="shared" ca="1" si="60"/>
        <v>0</v>
      </c>
      <c r="AZ48" s="83">
        <f t="shared" ca="1" si="61"/>
        <v>0</v>
      </c>
      <c r="BA48" s="83">
        <f t="shared" ca="1" si="62"/>
        <v>0</v>
      </c>
      <c r="BB48" s="83">
        <f t="shared" ca="1" si="63"/>
        <v>0</v>
      </c>
      <c r="BC48" s="82"/>
      <c r="BD48" s="83">
        <f t="shared" ca="1" si="64"/>
        <v>0</v>
      </c>
      <c r="BE48" s="83">
        <f t="shared" ca="1" si="69"/>
        <v>22.148279999999996</v>
      </c>
      <c r="BF48" s="82"/>
      <c r="BG48" s="83">
        <f t="shared" ca="1" si="65"/>
        <v>0</v>
      </c>
      <c r="BH48" s="91">
        <f t="shared" ca="1" si="66"/>
        <v>0</v>
      </c>
      <c r="BI48" s="82"/>
      <c r="BJ48" s="83">
        <f>IF(Nomina!I48=$R$3,0,IF(F48=0,0,BD48+BG48))</f>
        <v>0</v>
      </c>
      <c r="BK48" s="83">
        <f t="shared" ca="1" si="67"/>
        <v>0</v>
      </c>
    </row>
    <row r="49" spans="1:63" x14ac:dyDescent="0.25">
      <c r="A49" s="82">
        <f>+Nomina!B49</f>
        <v>43</v>
      </c>
      <c r="B49" s="83" t="str">
        <f>Nomina!C49&amp;" "&amp;Nomina!D49</f>
        <v xml:space="preserve"> </v>
      </c>
      <c r="C49" s="84">
        <v>15</v>
      </c>
      <c r="D49" s="84">
        <v>61</v>
      </c>
      <c r="E49" s="83"/>
      <c r="F49" s="85">
        <f>Nomina!P49*(30.4/30)</f>
        <v>0</v>
      </c>
      <c r="G49" s="85">
        <f>IF(F49=0,0,LOOKUP(F49,Tablas!$A$4:'Tablas'!$D$14,Tablas!$A$4:'Tablas'!$A$14))</f>
        <v>0</v>
      </c>
      <c r="H49" s="85">
        <f t="shared" si="33"/>
        <v>0</v>
      </c>
      <c r="I49" s="86">
        <f>IF(F49=0,0,LOOKUP(F49,Tablas!$A$4:'Tablas'!$D$14,Tablas!$D$4:'Tablas'!$D$14))</f>
        <v>0</v>
      </c>
      <c r="J49" s="85">
        <f t="shared" si="34"/>
        <v>0</v>
      </c>
      <c r="K49" s="85">
        <f>IF(F49=0,0,LOOKUP(F49,Tablas!$A$4:'Tablas'!$D$14,Tablas!$C$4:'Tablas'!$C$14))</f>
        <v>0</v>
      </c>
      <c r="L49" s="85">
        <f t="shared" si="35"/>
        <v>0</v>
      </c>
      <c r="M49" s="85">
        <f>IF(F49=0,0,LOOKUP(F49,Tablas!$A$20:'Tablas'!$C$30,Tablas!$C$20:'Tablas'!$C$30))</f>
        <v>0</v>
      </c>
      <c r="N49" s="85">
        <f t="shared" si="68"/>
        <v>0</v>
      </c>
      <c r="O49" s="85">
        <f>IF(F49&lt;Tablas!$B$20,M49,0)</f>
        <v>0</v>
      </c>
      <c r="P49" s="90"/>
      <c r="Q49" s="88">
        <f ca="1">IF(Nomina!F49="",0,(VLOOKUP((ROUNDUP(((TODAY()-Nomina!F49)/365),0)),Tablas!$F$4:$I$23,4)))</f>
        <v>0</v>
      </c>
      <c r="R49" s="89">
        <f ca="1">IF(Nomina!I49*Q49&gt;($R$3*25),$R$3*25,Nomina!I49*Q49)</f>
        <v>0</v>
      </c>
      <c r="S49" s="90">
        <f t="shared" si="70"/>
        <v>332.22419999999994</v>
      </c>
      <c r="T49" s="90">
        <v>0</v>
      </c>
      <c r="U49" s="83">
        <f t="shared" si="36"/>
        <v>332.22419999999994</v>
      </c>
      <c r="V49" s="90">
        <f t="shared" ca="1" si="3"/>
        <v>0</v>
      </c>
      <c r="W49" s="90">
        <f t="shared" ca="1" si="4"/>
        <v>0</v>
      </c>
      <c r="X49" s="83">
        <f t="shared" ca="1" si="37"/>
        <v>0</v>
      </c>
      <c r="Y49" s="90">
        <f t="shared" ca="1" si="38"/>
        <v>0</v>
      </c>
      <c r="Z49" s="90">
        <f t="shared" ca="1" si="39"/>
        <v>0</v>
      </c>
      <c r="AA49" s="83">
        <f t="shared" ca="1" si="40"/>
        <v>0</v>
      </c>
      <c r="AB49" s="83">
        <f t="shared" ca="1" si="41"/>
        <v>0</v>
      </c>
      <c r="AC49" s="83">
        <f t="shared" ca="1" si="42"/>
        <v>0</v>
      </c>
      <c r="AD49" s="83">
        <f t="shared" ca="1" si="43"/>
        <v>0</v>
      </c>
      <c r="AE49" s="90">
        <f t="shared" ca="1" si="44"/>
        <v>0</v>
      </c>
      <c r="AF49" s="90">
        <f t="shared" ca="1" si="45"/>
        <v>0</v>
      </c>
      <c r="AG49" s="83">
        <f t="shared" ca="1" si="46"/>
        <v>0</v>
      </c>
      <c r="AH49" s="90">
        <f t="shared" ca="1" si="47"/>
        <v>0</v>
      </c>
      <c r="AI49" s="90">
        <v>0</v>
      </c>
      <c r="AJ49" s="83">
        <f t="shared" ca="1" si="48"/>
        <v>0</v>
      </c>
      <c r="AK49" s="90">
        <f t="shared" ca="1" si="49"/>
        <v>0</v>
      </c>
      <c r="AL49" s="90">
        <v>0</v>
      </c>
      <c r="AM49" s="83">
        <f t="shared" ca="1" si="50"/>
        <v>0</v>
      </c>
      <c r="AN49" s="83">
        <f t="shared" ca="1" si="51"/>
        <v>332.22419999999994</v>
      </c>
      <c r="AO49" s="83">
        <f t="shared" ca="1" si="52"/>
        <v>0</v>
      </c>
      <c r="AP49" s="83">
        <f t="shared" ca="1" si="53"/>
        <v>332.22419999999994</v>
      </c>
      <c r="AQ49" s="90">
        <f t="shared" ca="1" si="54"/>
        <v>0</v>
      </c>
      <c r="AR49" s="90">
        <v>0</v>
      </c>
      <c r="AS49" s="83">
        <f t="shared" ca="1" si="55"/>
        <v>0</v>
      </c>
      <c r="AT49" s="90">
        <f t="shared" ca="1" si="56"/>
        <v>0</v>
      </c>
      <c r="AU49" s="90">
        <f t="shared" ca="1" si="57"/>
        <v>0</v>
      </c>
      <c r="AV49" s="83">
        <f t="shared" ca="1" si="58"/>
        <v>0</v>
      </c>
      <c r="AW49" s="90">
        <f t="shared" ca="1" si="59"/>
        <v>0</v>
      </c>
      <c r="AX49" s="90">
        <v>0</v>
      </c>
      <c r="AY49" s="90">
        <f t="shared" ca="1" si="60"/>
        <v>0</v>
      </c>
      <c r="AZ49" s="83">
        <f t="shared" ca="1" si="61"/>
        <v>0</v>
      </c>
      <c r="BA49" s="83">
        <f t="shared" ca="1" si="62"/>
        <v>0</v>
      </c>
      <c r="BB49" s="83">
        <f t="shared" ca="1" si="63"/>
        <v>0</v>
      </c>
      <c r="BC49" s="82"/>
      <c r="BD49" s="83">
        <f t="shared" ca="1" si="64"/>
        <v>0</v>
      </c>
      <c r="BE49" s="83">
        <f t="shared" ca="1" si="69"/>
        <v>22.148279999999996</v>
      </c>
      <c r="BF49" s="82"/>
      <c r="BG49" s="83">
        <f t="shared" ca="1" si="65"/>
        <v>0</v>
      </c>
      <c r="BH49" s="91">
        <f t="shared" ca="1" si="66"/>
        <v>0</v>
      </c>
      <c r="BI49" s="82"/>
      <c r="BJ49" s="83">
        <f>IF(Nomina!I49=$R$3,0,IF(F49=0,0,BD49+BG49))</f>
        <v>0</v>
      </c>
      <c r="BK49" s="83">
        <f t="shared" ca="1" si="67"/>
        <v>0</v>
      </c>
    </row>
    <row r="50" spans="1:63" x14ac:dyDescent="0.25">
      <c r="A50" s="82">
        <f>+Nomina!B50</f>
        <v>44</v>
      </c>
      <c r="B50" s="83" t="str">
        <f>Nomina!C50&amp;" "&amp;Nomina!D50</f>
        <v xml:space="preserve"> </v>
      </c>
      <c r="C50" s="84">
        <v>15</v>
      </c>
      <c r="D50" s="84">
        <v>61</v>
      </c>
      <c r="E50" s="83"/>
      <c r="F50" s="85">
        <f>Nomina!P50*(30.4/30)</f>
        <v>0</v>
      </c>
      <c r="G50" s="85">
        <f>IF(F50=0,0,LOOKUP(F50,Tablas!$A$4:'Tablas'!$D$14,Tablas!$A$4:'Tablas'!$A$14))</f>
        <v>0</v>
      </c>
      <c r="H50" s="85">
        <f t="shared" si="33"/>
        <v>0</v>
      </c>
      <c r="I50" s="86">
        <f>IF(F50=0,0,LOOKUP(F50,Tablas!$A$4:'Tablas'!$D$14,Tablas!$D$4:'Tablas'!$D$14))</f>
        <v>0</v>
      </c>
      <c r="J50" s="85">
        <f t="shared" si="34"/>
        <v>0</v>
      </c>
      <c r="K50" s="85">
        <f>IF(F50=0,0,LOOKUP(F50,Tablas!$A$4:'Tablas'!$D$14,Tablas!$C$4:'Tablas'!$C$14))</f>
        <v>0</v>
      </c>
      <c r="L50" s="85">
        <f t="shared" si="35"/>
        <v>0</v>
      </c>
      <c r="M50" s="85">
        <f>IF(F50=0,0,LOOKUP(F50,Tablas!$A$20:'Tablas'!$C$30,Tablas!$C$20:'Tablas'!$C$30))</f>
        <v>0</v>
      </c>
      <c r="N50" s="85">
        <f t="shared" si="68"/>
        <v>0</v>
      </c>
      <c r="O50" s="85">
        <f>IF(F50&lt;Tablas!$B$20,M50,0)</f>
        <v>0</v>
      </c>
      <c r="P50" s="90"/>
      <c r="Q50" s="88">
        <f ca="1">IF(Nomina!F50="",0,(VLOOKUP((ROUNDUP(((TODAY()-Nomina!F50)/365),0)),Tablas!$F$4:$I$23,4)))</f>
        <v>0</v>
      </c>
      <c r="R50" s="89">
        <f ca="1">IF(Nomina!I50*Q50&gt;($R$3*25),$R$3*25,Nomina!I50*Q50)</f>
        <v>0</v>
      </c>
      <c r="S50" s="90">
        <f t="shared" si="70"/>
        <v>332.22419999999994</v>
      </c>
      <c r="T50" s="90">
        <v>0</v>
      </c>
      <c r="U50" s="83">
        <f t="shared" si="36"/>
        <v>332.22419999999994</v>
      </c>
      <c r="V50" s="90">
        <f t="shared" ca="1" si="3"/>
        <v>0</v>
      </c>
      <c r="W50" s="90">
        <f t="shared" ca="1" si="4"/>
        <v>0</v>
      </c>
      <c r="X50" s="83">
        <f t="shared" ca="1" si="37"/>
        <v>0</v>
      </c>
      <c r="Y50" s="90">
        <f t="shared" ca="1" si="38"/>
        <v>0</v>
      </c>
      <c r="Z50" s="90">
        <f t="shared" ca="1" si="39"/>
        <v>0</v>
      </c>
      <c r="AA50" s="83">
        <f t="shared" ca="1" si="40"/>
        <v>0</v>
      </c>
      <c r="AB50" s="83">
        <f t="shared" ca="1" si="41"/>
        <v>0</v>
      </c>
      <c r="AC50" s="83">
        <f t="shared" ca="1" si="42"/>
        <v>0</v>
      </c>
      <c r="AD50" s="83">
        <f t="shared" ca="1" si="43"/>
        <v>0</v>
      </c>
      <c r="AE50" s="90">
        <f t="shared" ca="1" si="44"/>
        <v>0</v>
      </c>
      <c r="AF50" s="90">
        <f t="shared" ca="1" si="45"/>
        <v>0</v>
      </c>
      <c r="AG50" s="83">
        <f t="shared" ca="1" si="46"/>
        <v>0</v>
      </c>
      <c r="AH50" s="90">
        <f t="shared" ca="1" si="47"/>
        <v>0</v>
      </c>
      <c r="AI50" s="90">
        <v>0</v>
      </c>
      <c r="AJ50" s="83">
        <f t="shared" ca="1" si="48"/>
        <v>0</v>
      </c>
      <c r="AK50" s="90">
        <f t="shared" ca="1" si="49"/>
        <v>0</v>
      </c>
      <c r="AL50" s="90">
        <v>0</v>
      </c>
      <c r="AM50" s="83">
        <f t="shared" ca="1" si="50"/>
        <v>0</v>
      </c>
      <c r="AN50" s="83">
        <f t="shared" ca="1" si="51"/>
        <v>332.22419999999994</v>
      </c>
      <c r="AO50" s="83">
        <f t="shared" ca="1" si="52"/>
        <v>0</v>
      </c>
      <c r="AP50" s="83">
        <f t="shared" ca="1" si="53"/>
        <v>332.22419999999994</v>
      </c>
      <c r="AQ50" s="90">
        <f t="shared" ca="1" si="54"/>
        <v>0</v>
      </c>
      <c r="AR50" s="90">
        <v>0</v>
      </c>
      <c r="AS50" s="83">
        <f t="shared" ca="1" si="55"/>
        <v>0</v>
      </c>
      <c r="AT50" s="90">
        <f t="shared" ca="1" si="56"/>
        <v>0</v>
      </c>
      <c r="AU50" s="90">
        <f t="shared" ca="1" si="57"/>
        <v>0</v>
      </c>
      <c r="AV50" s="83">
        <f t="shared" ca="1" si="58"/>
        <v>0</v>
      </c>
      <c r="AW50" s="90">
        <f t="shared" ca="1" si="59"/>
        <v>0</v>
      </c>
      <c r="AX50" s="90">
        <v>0</v>
      </c>
      <c r="AY50" s="90">
        <f t="shared" ca="1" si="60"/>
        <v>0</v>
      </c>
      <c r="AZ50" s="83">
        <f t="shared" ca="1" si="61"/>
        <v>0</v>
      </c>
      <c r="BA50" s="83">
        <f t="shared" ca="1" si="62"/>
        <v>0</v>
      </c>
      <c r="BB50" s="83">
        <f t="shared" ca="1" si="63"/>
        <v>0</v>
      </c>
      <c r="BC50" s="82"/>
      <c r="BD50" s="83">
        <f t="shared" ca="1" si="64"/>
        <v>0</v>
      </c>
      <c r="BE50" s="83">
        <f t="shared" ca="1" si="69"/>
        <v>22.148279999999996</v>
      </c>
      <c r="BF50" s="82"/>
      <c r="BG50" s="83">
        <f t="shared" ca="1" si="65"/>
        <v>0</v>
      </c>
      <c r="BH50" s="91">
        <f t="shared" ca="1" si="66"/>
        <v>0</v>
      </c>
      <c r="BI50" s="82"/>
      <c r="BJ50" s="83">
        <f>IF(Nomina!I50=$R$3,0,IF(F50=0,0,BD50+BG50))</f>
        <v>0</v>
      </c>
      <c r="BK50" s="83">
        <f t="shared" ca="1" si="67"/>
        <v>0</v>
      </c>
    </row>
    <row r="51" spans="1:63" x14ac:dyDescent="0.25">
      <c r="A51" s="82">
        <f>+Nomina!B51</f>
        <v>45</v>
      </c>
      <c r="B51" s="83" t="str">
        <f>Nomina!C51&amp;" "&amp;Nomina!D51</f>
        <v xml:space="preserve"> </v>
      </c>
      <c r="C51" s="84">
        <v>15</v>
      </c>
      <c r="D51" s="84">
        <v>61</v>
      </c>
      <c r="E51" s="83"/>
      <c r="F51" s="85">
        <f>Nomina!P51*(30.4/30)</f>
        <v>0</v>
      </c>
      <c r="G51" s="85">
        <f>IF(F51=0,0,LOOKUP(F51,Tablas!$A$4:'Tablas'!$D$14,Tablas!$A$4:'Tablas'!$A$14))</f>
        <v>0</v>
      </c>
      <c r="H51" s="85">
        <f t="shared" si="33"/>
        <v>0</v>
      </c>
      <c r="I51" s="86">
        <f>IF(F51=0,0,LOOKUP(F51,Tablas!$A$4:'Tablas'!$D$14,Tablas!$D$4:'Tablas'!$D$14))</f>
        <v>0</v>
      </c>
      <c r="J51" s="85">
        <f t="shared" si="34"/>
        <v>0</v>
      </c>
      <c r="K51" s="85">
        <f>IF(F51=0,0,LOOKUP(F51,Tablas!$A$4:'Tablas'!$D$14,Tablas!$C$4:'Tablas'!$C$14))</f>
        <v>0</v>
      </c>
      <c r="L51" s="85">
        <f t="shared" si="35"/>
        <v>0</v>
      </c>
      <c r="M51" s="85">
        <f>IF(F51=0,0,LOOKUP(F51,Tablas!$A$20:'Tablas'!$C$30,Tablas!$C$20:'Tablas'!$C$30))</f>
        <v>0</v>
      </c>
      <c r="N51" s="85">
        <f t="shared" si="68"/>
        <v>0</v>
      </c>
      <c r="O51" s="85">
        <f>IF(F51&lt;Tablas!$B$20,M51,0)</f>
        <v>0</v>
      </c>
      <c r="P51" s="90"/>
      <c r="Q51" s="88">
        <f ca="1">IF(Nomina!F51="",0,(VLOOKUP((ROUNDUP(((TODAY()-Nomina!F51)/365),0)),Tablas!$F$4:$I$23,4)))</f>
        <v>0</v>
      </c>
      <c r="R51" s="89">
        <f ca="1">IF(Nomina!I51*Q51&gt;($R$3*25),$R$3*25,Nomina!I51*Q51)</f>
        <v>0</v>
      </c>
      <c r="S51" s="90">
        <f t="shared" si="70"/>
        <v>332.22419999999994</v>
      </c>
      <c r="T51" s="90">
        <v>0</v>
      </c>
      <c r="U51" s="83">
        <f t="shared" si="36"/>
        <v>332.22419999999994</v>
      </c>
      <c r="V51" s="90">
        <f t="shared" ca="1" si="3"/>
        <v>0</v>
      </c>
      <c r="W51" s="90">
        <f t="shared" ca="1" si="4"/>
        <v>0</v>
      </c>
      <c r="X51" s="83">
        <f t="shared" ca="1" si="37"/>
        <v>0</v>
      </c>
      <c r="Y51" s="90">
        <f t="shared" ca="1" si="38"/>
        <v>0</v>
      </c>
      <c r="Z51" s="90">
        <f t="shared" ca="1" si="39"/>
        <v>0</v>
      </c>
      <c r="AA51" s="83">
        <f t="shared" ca="1" si="40"/>
        <v>0</v>
      </c>
      <c r="AB51" s="83">
        <f t="shared" ca="1" si="41"/>
        <v>0</v>
      </c>
      <c r="AC51" s="83">
        <f t="shared" ca="1" si="42"/>
        <v>0</v>
      </c>
      <c r="AD51" s="83">
        <f t="shared" ca="1" si="43"/>
        <v>0</v>
      </c>
      <c r="AE51" s="90">
        <f t="shared" ca="1" si="44"/>
        <v>0</v>
      </c>
      <c r="AF51" s="90">
        <f t="shared" ca="1" si="45"/>
        <v>0</v>
      </c>
      <c r="AG51" s="83">
        <f t="shared" ca="1" si="46"/>
        <v>0</v>
      </c>
      <c r="AH51" s="90">
        <f t="shared" ca="1" si="47"/>
        <v>0</v>
      </c>
      <c r="AI51" s="90">
        <v>0</v>
      </c>
      <c r="AJ51" s="83">
        <f t="shared" ca="1" si="48"/>
        <v>0</v>
      </c>
      <c r="AK51" s="90">
        <f t="shared" ca="1" si="49"/>
        <v>0</v>
      </c>
      <c r="AL51" s="90">
        <v>0</v>
      </c>
      <c r="AM51" s="83">
        <f t="shared" ca="1" si="50"/>
        <v>0</v>
      </c>
      <c r="AN51" s="83">
        <f t="shared" ca="1" si="51"/>
        <v>332.22419999999994</v>
      </c>
      <c r="AO51" s="83">
        <f t="shared" ca="1" si="52"/>
        <v>0</v>
      </c>
      <c r="AP51" s="83">
        <f t="shared" ca="1" si="53"/>
        <v>332.22419999999994</v>
      </c>
      <c r="AQ51" s="90">
        <f t="shared" ca="1" si="54"/>
        <v>0</v>
      </c>
      <c r="AR51" s="90">
        <v>0</v>
      </c>
      <c r="AS51" s="83">
        <f t="shared" ca="1" si="55"/>
        <v>0</v>
      </c>
      <c r="AT51" s="90">
        <f t="shared" ca="1" si="56"/>
        <v>0</v>
      </c>
      <c r="AU51" s="90">
        <f t="shared" ca="1" si="57"/>
        <v>0</v>
      </c>
      <c r="AV51" s="83">
        <f t="shared" ca="1" si="58"/>
        <v>0</v>
      </c>
      <c r="AW51" s="90">
        <f t="shared" ca="1" si="59"/>
        <v>0</v>
      </c>
      <c r="AX51" s="90">
        <v>0</v>
      </c>
      <c r="AY51" s="90">
        <f t="shared" ca="1" si="60"/>
        <v>0</v>
      </c>
      <c r="AZ51" s="83">
        <f t="shared" ca="1" si="61"/>
        <v>0</v>
      </c>
      <c r="BA51" s="83">
        <f t="shared" ca="1" si="62"/>
        <v>0</v>
      </c>
      <c r="BB51" s="83">
        <f t="shared" ca="1" si="63"/>
        <v>0</v>
      </c>
      <c r="BC51" s="82"/>
      <c r="BD51" s="83">
        <f t="shared" ca="1" si="64"/>
        <v>0</v>
      </c>
      <c r="BE51" s="83">
        <f t="shared" ca="1" si="69"/>
        <v>22.148279999999996</v>
      </c>
      <c r="BF51" s="82"/>
      <c r="BG51" s="83">
        <f t="shared" ca="1" si="65"/>
        <v>0</v>
      </c>
      <c r="BH51" s="91">
        <f t="shared" ca="1" si="66"/>
        <v>0</v>
      </c>
      <c r="BI51" s="82"/>
      <c r="BJ51" s="83">
        <f>IF(Nomina!I51=$R$3,0,IF(F51=0,0,BD51+BG51))</f>
        <v>0</v>
      </c>
      <c r="BK51" s="83">
        <f t="shared" ca="1" si="67"/>
        <v>0</v>
      </c>
    </row>
  </sheetData>
  <mergeCells count="42">
    <mergeCell ref="AQ3:AQ4"/>
    <mergeCell ref="AR3:AR4"/>
    <mergeCell ref="AY3:AY6"/>
    <mergeCell ref="AW2:AY2"/>
    <mergeCell ref="X4:X6"/>
    <mergeCell ref="AA4:AA6"/>
    <mergeCell ref="AK3:AK4"/>
    <mergeCell ref="AO2:AO6"/>
    <mergeCell ref="AP2:AP6"/>
    <mergeCell ref="AI3:AI4"/>
    <mergeCell ref="S1:AP1"/>
    <mergeCell ref="AQ1:BB1"/>
    <mergeCell ref="S2:AA2"/>
    <mergeCell ref="AB2:AD2"/>
    <mergeCell ref="AE2:AG2"/>
    <mergeCell ref="AH2:AJ2"/>
    <mergeCell ref="AT2:AV2"/>
    <mergeCell ref="AK2:AM2"/>
    <mergeCell ref="AN2:AN6"/>
    <mergeCell ref="AM3:AM6"/>
    <mergeCell ref="AS3:AS6"/>
    <mergeCell ref="AV3:AV6"/>
    <mergeCell ref="AW3:AW5"/>
    <mergeCell ref="AQ2:AS2"/>
    <mergeCell ref="AZ2:AZ6"/>
    <mergeCell ref="BA2:BA6"/>
    <mergeCell ref="S3:U3"/>
    <mergeCell ref="V3:X3"/>
    <mergeCell ref="Y3:AA3"/>
    <mergeCell ref="BB2:BB6"/>
    <mergeCell ref="AT3:AT4"/>
    <mergeCell ref="AU3:AU4"/>
    <mergeCell ref="AD3:AD6"/>
    <mergeCell ref="AB3:AB4"/>
    <mergeCell ref="AC3:AC4"/>
    <mergeCell ref="AJ3:AJ6"/>
    <mergeCell ref="AL3:AL4"/>
    <mergeCell ref="AE3:AE4"/>
    <mergeCell ref="AF3:AF4"/>
    <mergeCell ref="AG3:AG6"/>
    <mergeCell ref="AH3:AH4"/>
    <mergeCell ref="AX3:AX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1169B3"/>
  </sheetPr>
  <dimension ref="A1:W50"/>
  <sheetViews>
    <sheetView showGridLines="0" topLeftCell="A4" workbookViewId="0">
      <selection activeCell="D20" sqref="D20"/>
    </sheetView>
  </sheetViews>
  <sheetFormatPr baseColWidth="10" defaultColWidth="11.42578125" defaultRowHeight="12" x14ac:dyDescent="0.25"/>
  <cols>
    <col min="1" max="2" width="13.85546875" style="107" bestFit="1" customWidth="1"/>
    <col min="3" max="3" width="12.7109375" style="107" bestFit="1" customWidth="1"/>
    <col min="4" max="4" width="11.5703125" style="107" bestFit="1" customWidth="1"/>
    <col min="5" max="5" width="3.7109375" style="107" customWidth="1"/>
    <col min="6" max="6" width="4" style="107" bestFit="1" customWidth="1"/>
    <col min="7" max="7" width="10" style="107" customWidth="1"/>
    <col min="8" max="8" width="10.28515625" style="107" customWidth="1"/>
    <col min="9" max="9" width="9.7109375" style="107" customWidth="1"/>
    <col min="10" max="10" width="3.7109375" style="107" customWidth="1"/>
    <col min="11" max="11" width="12.85546875" style="107" bestFit="1" customWidth="1"/>
    <col min="12" max="12" width="5.140625" style="107" bestFit="1" customWidth="1"/>
    <col min="13" max="13" width="10.5703125" style="107" customWidth="1"/>
    <col min="14" max="14" width="10.5703125" style="107" bestFit="1" customWidth="1"/>
    <col min="15" max="15" width="3.7109375" style="107" customWidth="1"/>
    <col min="16" max="16" width="14.28515625" style="107" customWidth="1"/>
    <col min="17" max="19" width="9.5703125" style="107" customWidth="1"/>
    <col min="20" max="21" width="11.42578125" style="107"/>
    <col min="22" max="22" width="14" style="107" bestFit="1" customWidth="1"/>
    <col min="23" max="23" width="10.28515625" style="107" bestFit="1" customWidth="1"/>
    <col min="24" max="16384" width="11.42578125" style="107"/>
  </cols>
  <sheetData>
    <row r="1" spans="1:23" ht="23.25" customHeight="1" x14ac:dyDescent="0.25">
      <c r="A1" s="108" t="s">
        <v>121</v>
      </c>
    </row>
    <row r="2" spans="1:23" x14ac:dyDescent="0.25">
      <c r="A2" s="109" t="s">
        <v>71</v>
      </c>
    </row>
    <row r="3" spans="1:23" ht="36" x14ac:dyDescent="0.25">
      <c r="A3" s="110" t="s">
        <v>43</v>
      </c>
      <c r="B3" s="110" t="s">
        <v>44</v>
      </c>
      <c r="C3" s="110" t="s">
        <v>38</v>
      </c>
      <c r="D3" s="110" t="s">
        <v>45</v>
      </c>
      <c r="F3" s="111" t="s">
        <v>46</v>
      </c>
      <c r="G3" s="110" t="s">
        <v>47</v>
      </c>
      <c r="H3" s="110" t="s">
        <v>48</v>
      </c>
      <c r="I3" s="110" t="s">
        <v>49</v>
      </c>
      <c r="L3" s="110" t="s">
        <v>176</v>
      </c>
      <c r="M3" s="110" t="s">
        <v>175</v>
      </c>
      <c r="N3" s="110" t="s">
        <v>56</v>
      </c>
      <c r="Q3" s="111">
        <v>2021</v>
      </c>
      <c r="R3" s="111">
        <v>2022</v>
      </c>
      <c r="S3" s="111">
        <v>2023</v>
      </c>
      <c r="T3" s="111">
        <v>2024</v>
      </c>
      <c r="U3" s="165">
        <v>225</v>
      </c>
      <c r="V3" s="106" t="s">
        <v>177</v>
      </c>
      <c r="W3" s="106" t="s">
        <v>178</v>
      </c>
    </row>
    <row r="4" spans="1:23" x14ac:dyDescent="0.25">
      <c r="A4" s="112">
        <v>0.01</v>
      </c>
      <c r="B4" s="112">
        <v>368.1</v>
      </c>
      <c r="C4" s="112">
        <v>0</v>
      </c>
      <c r="D4" s="113">
        <v>1.9199999999999998E-2</v>
      </c>
      <c r="F4" s="114">
        <v>1</v>
      </c>
      <c r="G4" s="114">
        <v>365</v>
      </c>
      <c r="H4" s="114">
        <v>12</v>
      </c>
      <c r="I4" s="115">
        <f t="shared" ref="I4:I23" si="0">((365-H4)/365)+(H4/365)+((H4*0.25)/365)+($L$7/365)</f>
        <v>1.0493150684931507</v>
      </c>
      <c r="K4" s="114" t="s">
        <v>58</v>
      </c>
      <c r="L4" s="114">
        <f>365-L5</f>
        <v>359</v>
      </c>
      <c r="M4" s="114">
        <v>365</v>
      </c>
      <c r="N4" s="114">
        <f>L4/M4</f>
        <v>0.98356164383561639</v>
      </c>
      <c r="P4" s="112" t="s">
        <v>132</v>
      </c>
      <c r="Q4" s="112">
        <v>213.22</v>
      </c>
      <c r="R4" s="112">
        <v>260.33999999999997</v>
      </c>
      <c r="S4" s="112">
        <v>312.41000000000003</v>
      </c>
      <c r="T4" s="112">
        <v>374.89</v>
      </c>
      <c r="U4" s="112">
        <v>419.88</v>
      </c>
      <c r="V4" s="107" t="s">
        <v>179</v>
      </c>
      <c r="W4" s="107" t="s">
        <v>180</v>
      </c>
    </row>
    <row r="5" spans="1:23" x14ac:dyDescent="0.25">
      <c r="A5" s="112">
        <v>368.11</v>
      </c>
      <c r="B5" s="112">
        <v>3124.35</v>
      </c>
      <c r="C5" s="112">
        <v>7.05</v>
      </c>
      <c r="D5" s="113">
        <v>6.4000000000000001E-2</v>
      </c>
      <c r="F5" s="114">
        <v>2</v>
      </c>
      <c r="G5" s="114">
        <f>G4+G4</f>
        <v>730</v>
      </c>
      <c r="H5" s="114">
        <v>14</v>
      </c>
      <c r="I5" s="115">
        <f t="shared" si="0"/>
        <v>1.0506849315068492</v>
      </c>
      <c r="K5" s="114" t="s">
        <v>60</v>
      </c>
      <c r="L5" s="114">
        <v>6</v>
      </c>
      <c r="M5" s="114">
        <v>365</v>
      </c>
      <c r="N5" s="114">
        <f t="shared" ref="N5:N7" si="1">L5/M5</f>
        <v>1.643835616438356E-2</v>
      </c>
      <c r="P5" s="112" t="s">
        <v>131</v>
      </c>
      <c r="Q5" s="112">
        <v>141.69999999999999</v>
      </c>
      <c r="R5" s="112">
        <v>172.87</v>
      </c>
      <c r="S5" s="112">
        <v>207.44</v>
      </c>
      <c r="T5" s="112">
        <v>248.93</v>
      </c>
      <c r="U5" s="112">
        <v>278.8</v>
      </c>
      <c r="V5" s="107" t="s">
        <v>181</v>
      </c>
      <c r="W5" s="107" t="s">
        <v>182</v>
      </c>
    </row>
    <row r="6" spans="1:23" x14ac:dyDescent="0.25">
      <c r="A6" s="112">
        <v>3124.36</v>
      </c>
      <c r="B6" s="112">
        <v>5490.75</v>
      </c>
      <c r="C6" s="112">
        <v>183.45</v>
      </c>
      <c r="D6" s="113">
        <v>0.10879999999999999</v>
      </c>
      <c r="F6" s="114">
        <v>3</v>
      </c>
      <c r="G6" s="114">
        <f t="shared" ref="G6:G23" si="2">G5+$G$4</f>
        <v>1095</v>
      </c>
      <c r="H6" s="114">
        <v>16</v>
      </c>
      <c r="I6" s="115">
        <f t="shared" si="0"/>
        <v>1.0520547945205478</v>
      </c>
      <c r="K6" s="114" t="s">
        <v>62</v>
      </c>
      <c r="L6" s="114">
        <f>L5*25%</f>
        <v>1.5</v>
      </c>
      <c r="M6" s="114">
        <v>365</v>
      </c>
      <c r="N6" s="114">
        <f t="shared" si="1"/>
        <v>4.10958904109589E-3</v>
      </c>
      <c r="V6" s="107" t="s">
        <v>183</v>
      </c>
      <c r="W6" s="107" t="s">
        <v>184</v>
      </c>
    </row>
    <row r="7" spans="1:23" x14ac:dyDescent="0.25">
      <c r="A7" s="112">
        <v>5490.76</v>
      </c>
      <c r="B7" s="112">
        <v>6382.8</v>
      </c>
      <c r="C7" s="112">
        <v>441</v>
      </c>
      <c r="D7" s="113">
        <v>0.16</v>
      </c>
      <c r="F7" s="114">
        <v>4</v>
      </c>
      <c r="G7" s="114">
        <f t="shared" si="2"/>
        <v>1460</v>
      </c>
      <c r="H7" s="114">
        <v>18</v>
      </c>
      <c r="I7" s="115">
        <f t="shared" si="0"/>
        <v>1.0534246575342465</v>
      </c>
      <c r="K7" s="114" t="s">
        <v>64</v>
      </c>
      <c r="L7" s="114">
        <v>15</v>
      </c>
      <c r="M7" s="114">
        <v>365</v>
      </c>
      <c r="N7" s="114">
        <f t="shared" si="1"/>
        <v>4.1095890410958902E-2</v>
      </c>
      <c r="V7" s="107" t="s">
        <v>185</v>
      </c>
      <c r="W7" s="107" t="s">
        <v>186</v>
      </c>
    </row>
    <row r="8" spans="1:23" x14ac:dyDescent="0.25">
      <c r="A8" s="112">
        <v>6382.81</v>
      </c>
      <c r="B8" s="112">
        <v>7641.9</v>
      </c>
      <c r="C8" s="112">
        <v>583.65</v>
      </c>
      <c r="D8" s="113">
        <v>0.1792</v>
      </c>
      <c r="F8" s="114">
        <v>5</v>
      </c>
      <c r="G8" s="114">
        <f t="shared" si="2"/>
        <v>1825</v>
      </c>
      <c r="H8" s="114">
        <v>20</v>
      </c>
      <c r="I8" s="115">
        <f t="shared" si="0"/>
        <v>1.0547945205479452</v>
      </c>
      <c r="K8" s="114"/>
      <c r="L8" s="114"/>
      <c r="M8" s="114"/>
      <c r="N8" s="116"/>
      <c r="V8" s="107" t="s">
        <v>187</v>
      </c>
      <c r="W8" s="107" t="s">
        <v>188</v>
      </c>
    </row>
    <row r="9" spans="1:23" x14ac:dyDescent="0.25">
      <c r="A9" s="112">
        <v>7641.91</v>
      </c>
      <c r="B9" s="112">
        <v>15412.8</v>
      </c>
      <c r="C9" s="112">
        <v>809.25</v>
      </c>
      <c r="D9" s="113">
        <v>0.21360000000000001</v>
      </c>
      <c r="F9" s="114">
        <v>6</v>
      </c>
      <c r="G9" s="114">
        <f t="shared" si="2"/>
        <v>2190</v>
      </c>
      <c r="H9" s="114">
        <v>22</v>
      </c>
      <c r="I9" s="115">
        <f t="shared" si="0"/>
        <v>1.0561643835616439</v>
      </c>
      <c r="N9" s="117">
        <f>SUM(N4:N8)</f>
        <v>1.0452054794520547</v>
      </c>
      <c r="V9" s="107" t="s">
        <v>189</v>
      </c>
      <c r="W9" s="107" t="s">
        <v>190</v>
      </c>
    </row>
    <row r="10" spans="1:23" x14ac:dyDescent="0.25">
      <c r="A10" s="112">
        <v>15412.81</v>
      </c>
      <c r="B10" s="112">
        <v>24292.65</v>
      </c>
      <c r="C10" s="112">
        <v>2469.15</v>
      </c>
      <c r="D10" s="113">
        <v>0.23519999999999999</v>
      </c>
      <c r="F10" s="114">
        <v>7</v>
      </c>
      <c r="G10" s="114">
        <f t="shared" si="2"/>
        <v>2555</v>
      </c>
      <c r="H10" s="114">
        <v>22</v>
      </c>
      <c r="I10" s="115">
        <f t="shared" si="0"/>
        <v>1.0561643835616439</v>
      </c>
      <c r="V10" s="107" t="s">
        <v>191</v>
      </c>
      <c r="W10" s="107" t="s">
        <v>192</v>
      </c>
    </row>
    <row r="11" spans="1:23" x14ac:dyDescent="0.25">
      <c r="A11" s="112">
        <v>24292.66</v>
      </c>
      <c r="B11" s="112">
        <v>46378.5</v>
      </c>
      <c r="C11" s="112">
        <v>4557.75</v>
      </c>
      <c r="D11" s="113">
        <v>0.3</v>
      </c>
      <c r="F11" s="114">
        <v>8</v>
      </c>
      <c r="G11" s="114">
        <f t="shared" si="2"/>
        <v>2920</v>
      </c>
      <c r="H11" s="114">
        <v>22</v>
      </c>
      <c r="I11" s="115">
        <f t="shared" si="0"/>
        <v>1.0561643835616439</v>
      </c>
      <c r="V11" s="107" t="s">
        <v>193</v>
      </c>
      <c r="W11" s="107" t="s">
        <v>194</v>
      </c>
    </row>
    <row r="12" spans="1:23" x14ac:dyDescent="0.25">
      <c r="A12" s="112">
        <v>46378.51</v>
      </c>
      <c r="B12" s="112">
        <v>61838.1</v>
      </c>
      <c r="C12" s="112">
        <v>11183.4</v>
      </c>
      <c r="D12" s="113">
        <v>0.32</v>
      </c>
      <c r="F12" s="114">
        <v>9</v>
      </c>
      <c r="G12" s="114">
        <f t="shared" si="2"/>
        <v>3285</v>
      </c>
      <c r="H12" s="114">
        <v>22</v>
      </c>
      <c r="I12" s="115">
        <f t="shared" si="0"/>
        <v>1.0561643835616439</v>
      </c>
      <c r="K12" s="111" t="s">
        <v>101</v>
      </c>
      <c r="L12" s="111" t="s">
        <v>73</v>
      </c>
      <c r="M12" s="111" t="s">
        <v>83</v>
      </c>
    </row>
    <row r="13" spans="1:23" x14ac:dyDescent="0.25">
      <c r="A13" s="112">
        <v>61838.11</v>
      </c>
      <c r="B13" s="112">
        <v>185514.3</v>
      </c>
      <c r="C13" s="112">
        <v>16130.55</v>
      </c>
      <c r="D13" s="113">
        <v>0.34</v>
      </c>
      <c r="F13" s="114">
        <v>10</v>
      </c>
      <c r="G13" s="114">
        <f t="shared" si="2"/>
        <v>3650</v>
      </c>
      <c r="H13" s="114">
        <v>22</v>
      </c>
      <c r="I13" s="115">
        <f t="shared" si="0"/>
        <v>1.0561643835616439</v>
      </c>
      <c r="K13" s="118" t="s">
        <v>111</v>
      </c>
      <c r="L13" s="118" t="s">
        <v>80</v>
      </c>
      <c r="M13" s="119">
        <v>5.0000000000000001E-3</v>
      </c>
      <c r="N13" s="114"/>
    </row>
    <row r="14" spans="1:23" x14ac:dyDescent="0.25">
      <c r="A14" s="112">
        <v>185514.31</v>
      </c>
      <c r="B14" s="112" t="s">
        <v>168</v>
      </c>
      <c r="C14" s="112">
        <v>58180.35</v>
      </c>
      <c r="D14" s="113">
        <v>0.35</v>
      </c>
      <c r="F14" s="114">
        <v>11</v>
      </c>
      <c r="G14" s="114">
        <f t="shared" si="2"/>
        <v>4015</v>
      </c>
      <c r="H14" s="114">
        <v>24</v>
      </c>
      <c r="I14" s="115">
        <f t="shared" si="0"/>
        <v>1.0575342465753423</v>
      </c>
      <c r="K14" s="118" t="s">
        <v>112</v>
      </c>
      <c r="L14" s="118" t="s">
        <v>80</v>
      </c>
      <c r="M14" s="119">
        <v>5.1380000000000002E-3</v>
      </c>
      <c r="N14" s="114" t="s">
        <v>126</v>
      </c>
    </row>
    <row r="15" spans="1:23" x14ac:dyDescent="0.25">
      <c r="A15" s="120"/>
      <c r="B15" s="121"/>
      <c r="C15" s="120"/>
      <c r="D15" s="122"/>
      <c r="F15" s="114">
        <v>12</v>
      </c>
      <c r="G15" s="114">
        <f t="shared" si="2"/>
        <v>4380</v>
      </c>
      <c r="H15" s="114">
        <v>24</v>
      </c>
      <c r="I15" s="115">
        <f t="shared" si="0"/>
        <v>1.0575342465753423</v>
      </c>
      <c r="K15" s="118" t="s">
        <v>113</v>
      </c>
      <c r="L15" s="118" t="s">
        <v>81</v>
      </c>
      <c r="M15" s="119">
        <v>6.6350999999999997E-3</v>
      </c>
      <c r="N15" s="114" t="s">
        <v>127</v>
      </c>
    </row>
    <row r="16" spans="1:23" x14ac:dyDescent="0.25">
      <c r="A16" s="120"/>
      <c r="B16" s="121"/>
      <c r="C16" s="120"/>
      <c r="D16" s="122"/>
      <c r="F16" s="114">
        <v>13</v>
      </c>
      <c r="G16" s="114">
        <f t="shared" si="2"/>
        <v>4745</v>
      </c>
      <c r="H16" s="114">
        <v>24</v>
      </c>
      <c r="I16" s="115">
        <f t="shared" si="0"/>
        <v>1.0575342465753423</v>
      </c>
      <c r="K16" s="118" t="s">
        <v>114</v>
      </c>
      <c r="L16" s="118" t="s">
        <v>82</v>
      </c>
      <c r="M16" s="119">
        <v>1.5984000000000002E-2</v>
      </c>
      <c r="N16" s="114" t="s">
        <v>128</v>
      </c>
    </row>
    <row r="17" spans="1:14" x14ac:dyDescent="0.25">
      <c r="A17" s="120"/>
      <c r="B17" s="121"/>
      <c r="C17" s="120"/>
      <c r="D17" s="122"/>
      <c r="F17" s="114">
        <v>14</v>
      </c>
      <c r="G17" s="114">
        <f t="shared" si="2"/>
        <v>5110</v>
      </c>
      <c r="H17" s="114">
        <v>24</v>
      </c>
      <c r="I17" s="115">
        <f t="shared" si="0"/>
        <v>1.0575342465753423</v>
      </c>
      <c r="K17" s="118" t="s">
        <v>115</v>
      </c>
      <c r="L17" s="118" t="s">
        <v>109</v>
      </c>
      <c r="M17" s="119">
        <v>4.6532499999999997E-2</v>
      </c>
      <c r="N17" s="114" t="s">
        <v>129</v>
      </c>
    </row>
    <row r="18" spans="1:14" x14ac:dyDescent="0.25">
      <c r="A18" s="109" t="s">
        <v>40</v>
      </c>
      <c r="B18" s="123"/>
      <c r="C18" s="123"/>
      <c r="D18" s="123"/>
      <c r="F18" s="114">
        <v>15</v>
      </c>
      <c r="G18" s="114">
        <f t="shared" si="2"/>
        <v>5475</v>
      </c>
      <c r="H18" s="114">
        <v>24</v>
      </c>
      <c r="I18" s="115">
        <f t="shared" si="0"/>
        <v>1.0575342465753423</v>
      </c>
      <c r="K18" s="118" t="s">
        <v>116</v>
      </c>
      <c r="L18" s="118" t="s">
        <v>110</v>
      </c>
      <c r="M18" s="124">
        <v>7.5887499999999997E-2</v>
      </c>
      <c r="N18" s="114" t="s">
        <v>130</v>
      </c>
    </row>
    <row r="19" spans="1:14" x14ac:dyDescent="0.25">
      <c r="A19" s="125" t="s">
        <v>66</v>
      </c>
      <c r="B19" s="126" t="s">
        <v>67</v>
      </c>
      <c r="C19" s="127" t="s">
        <v>40</v>
      </c>
      <c r="D19" s="123"/>
      <c r="F19" s="114">
        <v>16</v>
      </c>
      <c r="G19" s="114">
        <f t="shared" si="2"/>
        <v>5840</v>
      </c>
      <c r="H19" s="114">
        <v>26</v>
      </c>
      <c r="I19" s="115">
        <f t="shared" si="0"/>
        <v>1.058904109589041</v>
      </c>
    </row>
    <row r="20" spans="1:14" x14ac:dyDescent="0.25">
      <c r="A20" s="112">
        <v>0.01</v>
      </c>
      <c r="B20" s="112">
        <v>5085.5</v>
      </c>
      <c r="C20" s="112">
        <v>237.47</v>
      </c>
      <c r="D20" s="130"/>
      <c r="F20" s="114">
        <v>17</v>
      </c>
      <c r="G20" s="114">
        <f t="shared" si="2"/>
        <v>6205</v>
      </c>
      <c r="H20" s="114">
        <v>26</v>
      </c>
      <c r="I20" s="115">
        <f t="shared" si="0"/>
        <v>1.058904109589041</v>
      </c>
      <c r="K20" s="114" t="s">
        <v>0</v>
      </c>
      <c r="M20" s="114">
        <v>30</v>
      </c>
    </row>
    <row r="21" spans="1:14" x14ac:dyDescent="0.25">
      <c r="A21" s="112">
        <v>5085.51</v>
      </c>
      <c r="B21" s="112">
        <v>9999999</v>
      </c>
      <c r="C21" s="112">
        <v>0</v>
      </c>
      <c r="D21" s="130"/>
      <c r="F21" s="114">
        <v>18</v>
      </c>
      <c r="G21" s="114">
        <f t="shared" si="2"/>
        <v>6570</v>
      </c>
      <c r="H21" s="114">
        <v>26</v>
      </c>
      <c r="I21" s="115">
        <f t="shared" si="0"/>
        <v>1.058904109589041</v>
      </c>
      <c r="K21" s="114" t="s">
        <v>1</v>
      </c>
      <c r="M21" s="114">
        <v>30.4</v>
      </c>
    </row>
    <row r="22" spans="1:14" x14ac:dyDescent="0.25">
      <c r="A22" s="128"/>
      <c r="B22" s="128"/>
      <c r="C22" s="129"/>
      <c r="D22" s="130"/>
      <c r="F22" s="114">
        <v>19</v>
      </c>
      <c r="G22" s="114">
        <f t="shared" si="2"/>
        <v>6935</v>
      </c>
      <c r="H22" s="114">
        <v>26</v>
      </c>
      <c r="I22" s="115">
        <f t="shared" si="0"/>
        <v>1.058904109589041</v>
      </c>
    </row>
    <row r="23" spans="1:14" x14ac:dyDescent="0.25">
      <c r="A23" s="131"/>
      <c r="B23" s="131"/>
      <c r="C23" s="129"/>
      <c r="D23" s="130"/>
      <c r="F23" s="114">
        <v>20</v>
      </c>
      <c r="G23" s="114">
        <f t="shared" si="2"/>
        <v>7300</v>
      </c>
      <c r="H23" s="114">
        <v>26</v>
      </c>
      <c r="I23" s="115">
        <f t="shared" si="0"/>
        <v>1.058904109589041</v>
      </c>
      <c r="M23" s="132"/>
      <c r="N23" s="133"/>
    </row>
    <row r="24" spans="1:14" x14ac:dyDescent="0.25">
      <c r="A24" s="131"/>
      <c r="B24" s="131"/>
      <c r="C24" s="129"/>
      <c r="D24" s="130"/>
    </row>
    <row r="25" spans="1:14" x14ac:dyDescent="0.25">
      <c r="A25" s="131"/>
      <c r="B25" s="131"/>
      <c r="C25" s="129"/>
      <c r="D25" s="130"/>
    </row>
    <row r="26" spans="1:14" x14ac:dyDescent="0.25">
      <c r="A26" s="131"/>
      <c r="B26" s="131"/>
      <c r="C26" s="129"/>
      <c r="D26" s="130"/>
    </row>
    <row r="27" spans="1:14" x14ac:dyDescent="0.25">
      <c r="A27" s="131"/>
      <c r="B27" s="131"/>
      <c r="C27" s="129"/>
      <c r="D27" s="130"/>
    </row>
    <row r="28" spans="1:14" x14ac:dyDescent="0.25">
      <c r="A28" s="131"/>
      <c r="B28" s="131"/>
      <c r="C28" s="129"/>
      <c r="D28" s="130"/>
    </row>
    <row r="29" spans="1:14" x14ac:dyDescent="0.25">
      <c r="A29" s="131"/>
      <c r="B29" s="131"/>
      <c r="C29" s="129"/>
      <c r="D29" s="130"/>
      <c r="J29" s="134"/>
    </row>
    <row r="30" spans="1:14" x14ac:dyDescent="0.25">
      <c r="A30" s="131"/>
      <c r="B30" s="131"/>
      <c r="C30" s="129"/>
      <c r="D30" s="130"/>
    </row>
    <row r="31" spans="1:14" x14ac:dyDescent="0.25">
      <c r="D31" s="130"/>
      <c r="I31" s="134"/>
    </row>
    <row r="34" spans="1:11" x14ac:dyDescent="0.25">
      <c r="A34" s="114" t="s">
        <v>15</v>
      </c>
      <c r="C34" s="135">
        <v>41988</v>
      </c>
    </row>
    <row r="35" spans="1:11" x14ac:dyDescent="0.25">
      <c r="A35" s="114" t="s">
        <v>50</v>
      </c>
      <c r="C35" s="135">
        <v>42353</v>
      </c>
    </row>
    <row r="36" spans="1:11" x14ac:dyDescent="0.25">
      <c r="A36" s="114" t="s">
        <v>51</v>
      </c>
      <c r="C36" s="135">
        <v>42719</v>
      </c>
    </row>
    <row r="37" spans="1:11" x14ac:dyDescent="0.25">
      <c r="A37" s="114" t="s">
        <v>52</v>
      </c>
      <c r="B37" s="136"/>
      <c r="C37" s="135">
        <v>43084</v>
      </c>
    </row>
    <row r="38" spans="1:11" x14ac:dyDescent="0.25">
      <c r="A38" s="114" t="s">
        <v>53</v>
      </c>
      <c r="B38" s="136"/>
      <c r="C38" s="135">
        <v>43449</v>
      </c>
    </row>
    <row r="39" spans="1:11" x14ac:dyDescent="0.25">
      <c r="A39" s="114" t="s">
        <v>54</v>
      </c>
      <c r="B39" s="136"/>
      <c r="C39" s="135">
        <v>43814</v>
      </c>
    </row>
    <row r="40" spans="1:11" x14ac:dyDescent="0.25">
      <c r="A40" s="114" t="s">
        <v>55</v>
      </c>
      <c r="B40" s="136"/>
      <c r="C40" s="135">
        <v>44180</v>
      </c>
    </row>
    <row r="41" spans="1:11" x14ac:dyDescent="0.25">
      <c r="A41" s="114" t="s">
        <v>57</v>
      </c>
      <c r="B41" s="136"/>
      <c r="C41" s="135">
        <v>44545</v>
      </c>
      <c r="K41" s="134"/>
    </row>
    <row r="42" spans="1:11" x14ac:dyDescent="0.25">
      <c r="A42" s="114" t="s">
        <v>59</v>
      </c>
      <c r="B42" s="136"/>
      <c r="C42" s="135">
        <v>44910</v>
      </c>
      <c r="K42" s="134"/>
    </row>
    <row r="43" spans="1:11" x14ac:dyDescent="0.25">
      <c r="A43" s="114" t="s">
        <v>61</v>
      </c>
      <c r="B43" s="136"/>
      <c r="C43" s="135">
        <v>45275</v>
      </c>
      <c r="K43" s="134"/>
    </row>
    <row r="44" spans="1:11" x14ac:dyDescent="0.25">
      <c r="A44" s="114" t="s">
        <v>63</v>
      </c>
      <c r="B44" s="136"/>
      <c r="C44" s="135">
        <v>45641</v>
      </c>
      <c r="K44" s="134"/>
    </row>
    <row r="45" spans="1:11" x14ac:dyDescent="0.25">
      <c r="A45" s="114" t="s">
        <v>65</v>
      </c>
      <c r="B45" s="136"/>
      <c r="K45" s="134"/>
    </row>
    <row r="46" spans="1:11" x14ac:dyDescent="0.25">
      <c r="A46" s="136"/>
      <c r="B46" s="136"/>
      <c r="K46" s="134"/>
    </row>
    <row r="47" spans="1:11" x14ac:dyDescent="0.25">
      <c r="A47" s="136"/>
      <c r="K47" s="134"/>
    </row>
    <row r="48" spans="1:11" x14ac:dyDescent="0.25">
      <c r="K48" s="134"/>
    </row>
    <row r="49" spans="11:11" x14ac:dyDescent="0.25">
      <c r="K49" s="134"/>
    </row>
    <row r="50" spans="11:11" x14ac:dyDescent="0.25">
      <c r="K50" s="1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Instrucciones </vt:lpstr>
      <vt:lpstr>Nomina</vt:lpstr>
      <vt:lpstr>Recibos</vt:lpstr>
      <vt:lpstr>Impuestos</vt:lpstr>
      <vt:lpstr>Tablas</vt:lpstr>
      <vt:lpstr>registros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RRHH E</dc:title>
  <dc:creator>Grupo En Excel</dc:creator>
  <cp:lastModifiedBy>ACER</cp:lastModifiedBy>
  <cp:lastPrinted>2020-05-04T02:10:12Z</cp:lastPrinted>
  <dcterms:created xsi:type="dcterms:W3CDTF">2014-02-17T20:20:29Z</dcterms:created>
  <dcterms:modified xsi:type="dcterms:W3CDTF">2025-01-10T01:04:30Z</dcterms:modified>
</cp:coreProperties>
</file>