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C13652-7434-430F-89F3-424A2E04A96F}" xr6:coauthVersionLast="47" xr6:coauthVersionMax="47" xr10:uidLastSave="{00000000-0000-0000-0000-000000000000}"/>
  <bookViews>
    <workbookView xWindow="-120" yWindow="-120" windowWidth="29040" windowHeight="15720" firstSheet="8" activeTab="14" xr2:uid="{9EA9D164-8C48-443D-8050-46238BD05E8F}"/>
  </bookViews>
  <sheets>
    <sheet name="Datos y Resumen " sheetId="1" r:id="rId1"/>
    <sheet name="LISTA TRABAJADORES" sheetId="14" r:id="rId2"/>
    <sheet name="ISR " sheetId="8" r:id="rId3"/>
    <sheet name="OTRAS PRESTACIONES" sheetId="10" r:id="rId4"/>
    <sheet name="OTRAS RETENCIONES" sheetId="11" r:id="rId5"/>
    <sheet name="DATOS PARA AJUSTE" sheetId="18" state="hidden" r:id="rId6"/>
    <sheet name="AJUSTE AL SUBSIDIO " sheetId="19" state="hidden" r:id="rId7"/>
    <sheet name="COMPARACIÓN MENSUAL" sheetId="21" state="hidden" r:id="rId8"/>
    <sheet name="NOMINA FISCAL" sheetId="20" r:id="rId9"/>
    <sheet name="CUOTAS IMSS" sheetId="13" r:id="rId10"/>
    <sheet name="HORAS EXTRAS" sheetId="16" r:id="rId11"/>
    <sheet name="AGUINALDO" sheetId="17" r:id="rId12"/>
    <sheet name="CONCEN" sheetId="12" r:id="rId13"/>
    <sheet name="DATOS EXTRAS" sheetId="2" r:id="rId14"/>
    <sheet name="TARIFAS 2025" sheetId="9" r:id="rId15"/>
  </sheets>
  <definedNames>
    <definedName name="TARIFAS_2023">'Datos y Resumen '!$AM$17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8" l="1"/>
  <c r="G10" i="8"/>
  <c r="G8" i="8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8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7" i="20"/>
  <c r="G7" i="20"/>
  <c r="H7" i="20"/>
  <c r="G13" i="17"/>
  <c r="G11" i="16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37" i="17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38" i="16"/>
  <c r="G11" i="8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7" i="19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G7" i="16"/>
  <c r="G8" i="16"/>
  <c r="G9" i="16"/>
  <c r="G10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G6" i="17"/>
  <c r="G7" i="17"/>
  <c r="G8" i="17"/>
  <c r="G9" i="17"/>
  <c r="G10" i="17"/>
  <c r="G11" i="17"/>
  <c r="G12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" i="17"/>
  <c r="J55" i="17"/>
  <c r="G10" i="18"/>
  <c r="F12" i="18" l="1"/>
  <c r="F8" i="18"/>
  <c r="F9" i="18"/>
  <c r="F10" i="18"/>
  <c r="F11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G8" i="18"/>
  <c r="G9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7" i="18"/>
  <c r="F7" i="18"/>
  <c r="G11" i="11"/>
  <c r="Z9" i="10" l="1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8" i="10"/>
  <c r="J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P8" i="10"/>
  <c r="O8" i="10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6" i="16"/>
  <c r="G6" i="16"/>
  <c r="F6" i="16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48" i="20"/>
  <c r="Y49" i="20"/>
  <c r="Y50" i="20"/>
  <c r="Y51" i="20"/>
  <c r="Y52" i="20"/>
  <c r="Y53" i="20"/>
  <c r="Y54" i="20"/>
  <c r="Y55" i="20"/>
  <c r="Y56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6" i="20"/>
  <c r="W47" i="20"/>
  <c r="W48" i="20"/>
  <c r="W49" i="20"/>
  <c r="W50" i="20"/>
  <c r="W51" i="20"/>
  <c r="W52" i="20"/>
  <c r="W53" i="20"/>
  <c r="W54" i="20"/>
  <c r="W55" i="20"/>
  <c r="W56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3" i="20"/>
  <c r="V44" i="20"/>
  <c r="V45" i="20"/>
  <c r="V46" i="20"/>
  <c r="V47" i="20"/>
  <c r="V48" i="20"/>
  <c r="V49" i="20"/>
  <c r="V50" i="20"/>
  <c r="V51" i="20"/>
  <c r="V52" i="20"/>
  <c r="V53" i="20"/>
  <c r="V54" i="20"/>
  <c r="V55" i="20"/>
  <c r="V56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7" i="20"/>
  <c r="N8" i="20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P339" i="21"/>
  <c r="O339" i="21"/>
  <c r="G339" i="21"/>
  <c r="F339" i="21"/>
  <c r="P325" i="21"/>
  <c r="O325" i="21"/>
  <c r="G325" i="21"/>
  <c r="F325" i="21"/>
  <c r="P311" i="21"/>
  <c r="O311" i="21"/>
  <c r="G311" i="21"/>
  <c r="F311" i="21"/>
  <c r="P297" i="21"/>
  <c r="O297" i="21"/>
  <c r="G297" i="21"/>
  <c r="F297" i="21"/>
  <c r="P283" i="21"/>
  <c r="O283" i="21"/>
  <c r="G283" i="21"/>
  <c r="F283" i="21"/>
  <c r="P269" i="21"/>
  <c r="O269" i="21"/>
  <c r="G269" i="21"/>
  <c r="F269" i="21"/>
  <c r="P255" i="21"/>
  <c r="O255" i="21"/>
  <c r="G255" i="21"/>
  <c r="F255" i="21"/>
  <c r="P241" i="21"/>
  <c r="O241" i="21"/>
  <c r="G241" i="21"/>
  <c r="F241" i="21"/>
  <c r="P227" i="21"/>
  <c r="O227" i="21"/>
  <c r="G227" i="21"/>
  <c r="F227" i="21"/>
  <c r="P213" i="21"/>
  <c r="O213" i="21"/>
  <c r="G213" i="21"/>
  <c r="F213" i="21"/>
  <c r="P199" i="21"/>
  <c r="O199" i="21"/>
  <c r="G199" i="21"/>
  <c r="F199" i="21"/>
  <c r="P185" i="21"/>
  <c r="O185" i="21"/>
  <c r="G185" i="21"/>
  <c r="F185" i="21"/>
  <c r="P171" i="21"/>
  <c r="O171" i="21"/>
  <c r="G171" i="21"/>
  <c r="F171" i="21"/>
  <c r="P157" i="21"/>
  <c r="O157" i="21"/>
  <c r="G157" i="21"/>
  <c r="F157" i="21"/>
  <c r="P143" i="21"/>
  <c r="O143" i="21"/>
  <c r="G143" i="21"/>
  <c r="F143" i="21"/>
  <c r="P129" i="21"/>
  <c r="O129" i="21"/>
  <c r="G129" i="21"/>
  <c r="F129" i="21"/>
  <c r="P115" i="21"/>
  <c r="O115" i="21"/>
  <c r="G115" i="21"/>
  <c r="F115" i="21"/>
  <c r="P101" i="21"/>
  <c r="O101" i="21"/>
  <c r="G101" i="21"/>
  <c r="F101" i="21"/>
  <c r="P87" i="21"/>
  <c r="O87" i="21"/>
  <c r="G87" i="21"/>
  <c r="F87" i="21"/>
  <c r="P73" i="21"/>
  <c r="O73" i="21"/>
  <c r="G73" i="21"/>
  <c r="F73" i="21"/>
  <c r="P59" i="21"/>
  <c r="O59" i="21"/>
  <c r="G59" i="21"/>
  <c r="F59" i="21"/>
  <c r="P45" i="21"/>
  <c r="O45" i="21"/>
  <c r="G45" i="21"/>
  <c r="F45" i="21"/>
  <c r="P31" i="21"/>
  <c r="O31" i="21"/>
  <c r="BJ132" i="9"/>
  <c r="BD132" i="9"/>
  <c r="AX132" i="9"/>
  <c r="AR132" i="9"/>
  <c r="AL132" i="9"/>
  <c r="AF132" i="9"/>
  <c r="Z132" i="9"/>
  <c r="T132" i="9"/>
  <c r="N132" i="9"/>
  <c r="H132" i="9"/>
  <c r="BJ100" i="9"/>
  <c r="BD100" i="9"/>
  <c r="AX100" i="9"/>
  <c r="AR100" i="9"/>
  <c r="AL100" i="9"/>
  <c r="AF100" i="9"/>
  <c r="Z100" i="9"/>
  <c r="T100" i="9"/>
  <c r="N100" i="9"/>
  <c r="H100" i="9"/>
  <c r="BJ68" i="9"/>
  <c r="BD68" i="9"/>
  <c r="AX68" i="9"/>
  <c r="AR68" i="9"/>
  <c r="AL68" i="9"/>
  <c r="AF68" i="9"/>
  <c r="Z68" i="9"/>
  <c r="T68" i="9"/>
  <c r="N68" i="9"/>
  <c r="H68" i="9"/>
  <c r="H35" i="9"/>
  <c r="N35" i="9"/>
  <c r="T35" i="9"/>
  <c r="Z35" i="9"/>
  <c r="AF35" i="9"/>
  <c r="AL35" i="9"/>
  <c r="AR35" i="9"/>
  <c r="AX35" i="9"/>
  <c r="BD35" i="9"/>
  <c r="BJ35" i="9"/>
  <c r="BJ3" i="9"/>
  <c r="BD3" i="9"/>
  <c r="AX3" i="9"/>
  <c r="AR3" i="9"/>
  <c r="AL3" i="9"/>
  <c r="AF3" i="9"/>
  <c r="Z3" i="9"/>
  <c r="T3" i="9"/>
  <c r="N3" i="9"/>
  <c r="BI144" i="9"/>
  <c r="BC144" i="9"/>
  <c r="AW144" i="9"/>
  <c r="AQ144" i="9"/>
  <c r="AK144" i="9"/>
  <c r="AE144" i="9"/>
  <c r="Y144" i="9"/>
  <c r="S144" i="9"/>
  <c r="M144" i="9"/>
  <c r="G144" i="9"/>
  <c r="BI143" i="9"/>
  <c r="BC143" i="9"/>
  <c r="AW143" i="9"/>
  <c r="AQ143" i="9"/>
  <c r="AK143" i="9"/>
  <c r="AE143" i="9"/>
  <c r="Y143" i="9"/>
  <c r="S143" i="9"/>
  <c r="M143" i="9"/>
  <c r="G143" i="9"/>
  <c r="BI142" i="9"/>
  <c r="BC142" i="9"/>
  <c r="AW142" i="9"/>
  <c r="AQ142" i="9"/>
  <c r="AK142" i="9"/>
  <c r="AE142" i="9"/>
  <c r="Y142" i="9"/>
  <c r="S142" i="9"/>
  <c r="M142" i="9"/>
  <c r="G142" i="9"/>
  <c r="BI141" i="9"/>
  <c r="BC141" i="9"/>
  <c r="AW141" i="9"/>
  <c r="AQ141" i="9"/>
  <c r="AK141" i="9"/>
  <c r="AE141" i="9"/>
  <c r="Y141" i="9"/>
  <c r="S141" i="9"/>
  <c r="M141" i="9"/>
  <c r="G141" i="9"/>
  <c r="BI140" i="9"/>
  <c r="BC140" i="9"/>
  <c r="AW140" i="9"/>
  <c r="AQ140" i="9"/>
  <c r="AK140" i="9"/>
  <c r="AE140" i="9"/>
  <c r="Y140" i="9"/>
  <c r="S140" i="9"/>
  <c r="M140" i="9"/>
  <c r="G140" i="9"/>
  <c r="BI139" i="9"/>
  <c r="BC139" i="9"/>
  <c r="AW139" i="9"/>
  <c r="AQ139" i="9"/>
  <c r="AK139" i="9"/>
  <c r="AE139" i="9"/>
  <c r="Y139" i="9"/>
  <c r="S139" i="9"/>
  <c r="M139" i="9"/>
  <c r="G139" i="9"/>
  <c r="BI138" i="9"/>
  <c r="BC138" i="9"/>
  <c r="AW138" i="9"/>
  <c r="AQ138" i="9"/>
  <c r="AK138" i="9"/>
  <c r="AE138" i="9"/>
  <c r="Y138" i="9"/>
  <c r="S138" i="9"/>
  <c r="M138" i="9"/>
  <c r="G138" i="9"/>
  <c r="BI137" i="9"/>
  <c r="BC137" i="9"/>
  <c r="AW137" i="9"/>
  <c r="AQ137" i="9"/>
  <c r="AK137" i="9"/>
  <c r="AE137" i="9"/>
  <c r="Y137" i="9"/>
  <c r="S137" i="9"/>
  <c r="M137" i="9"/>
  <c r="G137" i="9"/>
  <c r="BI136" i="9"/>
  <c r="BC136" i="9"/>
  <c r="AW136" i="9"/>
  <c r="AQ136" i="9"/>
  <c r="AK136" i="9"/>
  <c r="AE136" i="9"/>
  <c r="Y136" i="9"/>
  <c r="S136" i="9"/>
  <c r="M136" i="9"/>
  <c r="G136" i="9"/>
  <c r="BI135" i="9"/>
  <c r="BC135" i="9"/>
  <c r="AW135" i="9"/>
  <c r="AQ135" i="9"/>
  <c r="AK135" i="9"/>
  <c r="AE135" i="9"/>
  <c r="Y135" i="9"/>
  <c r="S135" i="9"/>
  <c r="M135" i="9"/>
  <c r="G135" i="9"/>
  <c r="BI134" i="9"/>
  <c r="BC134" i="9"/>
  <c r="AW134" i="9"/>
  <c r="AQ134" i="9"/>
  <c r="AK134" i="9"/>
  <c r="AE134" i="9"/>
  <c r="Y134" i="9"/>
  <c r="S134" i="9"/>
  <c r="M134" i="9"/>
  <c r="G134" i="9"/>
  <c r="BI112" i="9"/>
  <c r="BC112" i="9"/>
  <c r="AW112" i="9"/>
  <c r="AQ112" i="9"/>
  <c r="AK112" i="9"/>
  <c r="AE112" i="9"/>
  <c r="Y112" i="9"/>
  <c r="S112" i="9"/>
  <c r="M112" i="9"/>
  <c r="G112" i="9"/>
  <c r="BI111" i="9"/>
  <c r="BC111" i="9"/>
  <c r="AW111" i="9"/>
  <c r="AQ111" i="9"/>
  <c r="AK111" i="9"/>
  <c r="AE111" i="9"/>
  <c r="Y111" i="9"/>
  <c r="S111" i="9"/>
  <c r="M111" i="9"/>
  <c r="G111" i="9"/>
  <c r="BI110" i="9"/>
  <c r="BC110" i="9"/>
  <c r="AW110" i="9"/>
  <c r="AQ110" i="9"/>
  <c r="AK110" i="9"/>
  <c r="AE110" i="9"/>
  <c r="Y110" i="9"/>
  <c r="S110" i="9"/>
  <c r="M110" i="9"/>
  <c r="G110" i="9"/>
  <c r="BI109" i="9"/>
  <c r="BC109" i="9"/>
  <c r="AW109" i="9"/>
  <c r="AQ109" i="9"/>
  <c r="AK109" i="9"/>
  <c r="AE109" i="9"/>
  <c r="Y109" i="9"/>
  <c r="S109" i="9"/>
  <c r="M109" i="9"/>
  <c r="G109" i="9"/>
  <c r="BI108" i="9"/>
  <c r="BC108" i="9"/>
  <c r="AW108" i="9"/>
  <c r="AQ108" i="9"/>
  <c r="AK108" i="9"/>
  <c r="AE108" i="9"/>
  <c r="Y108" i="9"/>
  <c r="S108" i="9"/>
  <c r="M108" i="9"/>
  <c r="G108" i="9"/>
  <c r="BI107" i="9"/>
  <c r="BC107" i="9"/>
  <c r="AW107" i="9"/>
  <c r="AQ107" i="9"/>
  <c r="AK107" i="9"/>
  <c r="AE107" i="9"/>
  <c r="Y107" i="9"/>
  <c r="S107" i="9"/>
  <c r="M107" i="9"/>
  <c r="G107" i="9"/>
  <c r="BI106" i="9"/>
  <c r="BC106" i="9"/>
  <c r="AW106" i="9"/>
  <c r="AQ106" i="9"/>
  <c r="AK106" i="9"/>
  <c r="AE106" i="9"/>
  <c r="Y106" i="9"/>
  <c r="S106" i="9"/>
  <c r="M106" i="9"/>
  <c r="G106" i="9"/>
  <c r="BI105" i="9"/>
  <c r="BC105" i="9"/>
  <c r="AW105" i="9"/>
  <c r="AQ105" i="9"/>
  <c r="AK105" i="9"/>
  <c r="AE105" i="9"/>
  <c r="Y105" i="9"/>
  <c r="S105" i="9"/>
  <c r="M105" i="9"/>
  <c r="G105" i="9"/>
  <c r="BI104" i="9"/>
  <c r="BC104" i="9"/>
  <c r="AW104" i="9"/>
  <c r="AQ104" i="9"/>
  <c r="AK104" i="9"/>
  <c r="AE104" i="9"/>
  <c r="Y104" i="9"/>
  <c r="S104" i="9"/>
  <c r="M104" i="9"/>
  <c r="G104" i="9"/>
  <c r="BI103" i="9"/>
  <c r="BC103" i="9"/>
  <c r="AW103" i="9"/>
  <c r="AQ103" i="9"/>
  <c r="AK103" i="9"/>
  <c r="AE103" i="9"/>
  <c r="Y103" i="9"/>
  <c r="S103" i="9"/>
  <c r="M103" i="9"/>
  <c r="G103" i="9"/>
  <c r="BI102" i="9"/>
  <c r="BC102" i="9"/>
  <c r="AW102" i="9"/>
  <c r="AQ102" i="9"/>
  <c r="AK102" i="9"/>
  <c r="AE102" i="9"/>
  <c r="Y102" i="9"/>
  <c r="S102" i="9"/>
  <c r="M102" i="9"/>
  <c r="G102" i="9"/>
  <c r="BI80" i="9"/>
  <c r="BC80" i="9"/>
  <c r="AW80" i="9"/>
  <c r="AQ80" i="9"/>
  <c r="AK80" i="9"/>
  <c r="AE80" i="9"/>
  <c r="Y80" i="9"/>
  <c r="S80" i="9"/>
  <c r="M80" i="9"/>
  <c r="G80" i="9"/>
  <c r="BI79" i="9"/>
  <c r="BC79" i="9"/>
  <c r="AW79" i="9"/>
  <c r="AQ79" i="9"/>
  <c r="AK79" i="9"/>
  <c r="AE79" i="9"/>
  <c r="Y79" i="9"/>
  <c r="S79" i="9"/>
  <c r="M79" i="9"/>
  <c r="G79" i="9"/>
  <c r="BI78" i="9"/>
  <c r="BC78" i="9"/>
  <c r="AW78" i="9"/>
  <c r="AQ78" i="9"/>
  <c r="AK78" i="9"/>
  <c r="AE78" i="9"/>
  <c r="Y78" i="9"/>
  <c r="S78" i="9"/>
  <c r="M78" i="9"/>
  <c r="G78" i="9"/>
  <c r="BI77" i="9"/>
  <c r="BC77" i="9"/>
  <c r="AW77" i="9"/>
  <c r="AQ77" i="9"/>
  <c r="AK77" i="9"/>
  <c r="AE77" i="9"/>
  <c r="Y77" i="9"/>
  <c r="S77" i="9"/>
  <c r="M77" i="9"/>
  <c r="G77" i="9"/>
  <c r="BI76" i="9"/>
  <c r="BC76" i="9"/>
  <c r="AW76" i="9"/>
  <c r="AQ76" i="9"/>
  <c r="AK76" i="9"/>
  <c r="AE76" i="9"/>
  <c r="Y76" i="9"/>
  <c r="S76" i="9"/>
  <c r="M76" i="9"/>
  <c r="G76" i="9"/>
  <c r="BI75" i="9"/>
  <c r="BC75" i="9"/>
  <c r="AW75" i="9"/>
  <c r="AQ75" i="9"/>
  <c r="AK75" i="9"/>
  <c r="AE75" i="9"/>
  <c r="Y75" i="9"/>
  <c r="S75" i="9"/>
  <c r="M75" i="9"/>
  <c r="G75" i="9"/>
  <c r="BI74" i="9"/>
  <c r="BC74" i="9"/>
  <c r="AW74" i="9"/>
  <c r="AQ74" i="9"/>
  <c r="AK74" i="9"/>
  <c r="AE74" i="9"/>
  <c r="Y74" i="9"/>
  <c r="S74" i="9"/>
  <c r="M74" i="9"/>
  <c r="G74" i="9"/>
  <c r="BI73" i="9"/>
  <c r="BC73" i="9"/>
  <c r="AW73" i="9"/>
  <c r="AQ73" i="9"/>
  <c r="AK73" i="9"/>
  <c r="AE73" i="9"/>
  <c r="Y73" i="9"/>
  <c r="S73" i="9"/>
  <c r="M73" i="9"/>
  <c r="G73" i="9"/>
  <c r="BI72" i="9"/>
  <c r="BC72" i="9"/>
  <c r="AW72" i="9"/>
  <c r="AQ72" i="9"/>
  <c r="AK72" i="9"/>
  <c r="AE72" i="9"/>
  <c r="Y72" i="9"/>
  <c r="S72" i="9"/>
  <c r="M72" i="9"/>
  <c r="G72" i="9"/>
  <c r="BI71" i="9"/>
  <c r="BC71" i="9"/>
  <c r="AW71" i="9"/>
  <c r="AQ71" i="9"/>
  <c r="AK71" i="9"/>
  <c r="AE71" i="9"/>
  <c r="Y71" i="9"/>
  <c r="S71" i="9"/>
  <c r="M71" i="9"/>
  <c r="G71" i="9"/>
  <c r="BI70" i="9"/>
  <c r="BC70" i="9"/>
  <c r="AW70" i="9"/>
  <c r="AQ70" i="9"/>
  <c r="AK70" i="9"/>
  <c r="AE70" i="9"/>
  <c r="Y70" i="9"/>
  <c r="S70" i="9"/>
  <c r="M70" i="9"/>
  <c r="G70" i="9"/>
  <c r="BI47" i="9"/>
  <c r="BC47" i="9"/>
  <c r="AW47" i="9"/>
  <c r="AQ47" i="9"/>
  <c r="AK47" i="9"/>
  <c r="AE47" i="9"/>
  <c r="Y47" i="9"/>
  <c r="S47" i="9"/>
  <c r="M47" i="9"/>
  <c r="G47" i="9"/>
  <c r="BI46" i="9"/>
  <c r="BC46" i="9"/>
  <c r="AW46" i="9"/>
  <c r="AQ46" i="9"/>
  <c r="AK46" i="9"/>
  <c r="AE46" i="9"/>
  <c r="Y46" i="9"/>
  <c r="S46" i="9"/>
  <c r="M46" i="9"/>
  <c r="G46" i="9"/>
  <c r="BI45" i="9"/>
  <c r="BC45" i="9"/>
  <c r="AW45" i="9"/>
  <c r="AQ45" i="9"/>
  <c r="AK45" i="9"/>
  <c r="AE45" i="9"/>
  <c r="Y45" i="9"/>
  <c r="S45" i="9"/>
  <c r="M45" i="9"/>
  <c r="G45" i="9"/>
  <c r="BI44" i="9"/>
  <c r="BC44" i="9"/>
  <c r="AW44" i="9"/>
  <c r="AQ44" i="9"/>
  <c r="AK44" i="9"/>
  <c r="AE44" i="9"/>
  <c r="Y44" i="9"/>
  <c r="S44" i="9"/>
  <c r="M44" i="9"/>
  <c r="G44" i="9"/>
  <c r="BI43" i="9"/>
  <c r="BC43" i="9"/>
  <c r="AW43" i="9"/>
  <c r="AQ43" i="9"/>
  <c r="AK43" i="9"/>
  <c r="AE43" i="9"/>
  <c r="Y43" i="9"/>
  <c r="S43" i="9"/>
  <c r="M43" i="9"/>
  <c r="G43" i="9"/>
  <c r="BI42" i="9"/>
  <c r="BC42" i="9"/>
  <c r="AW42" i="9"/>
  <c r="AQ42" i="9"/>
  <c r="AK42" i="9"/>
  <c r="AE42" i="9"/>
  <c r="Y42" i="9"/>
  <c r="S42" i="9"/>
  <c r="M42" i="9"/>
  <c r="G42" i="9"/>
  <c r="BI41" i="9"/>
  <c r="BC41" i="9"/>
  <c r="AW41" i="9"/>
  <c r="AQ41" i="9"/>
  <c r="AK41" i="9"/>
  <c r="AE41" i="9"/>
  <c r="Y41" i="9"/>
  <c r="S41" i="9"/>
  <c r="M41" i="9"/>
  <c r="G41" i="9"/>
  <c r="BI40" i="9"/>
  <c r="BC40" i="9"/>
  <c r="AW40" i="9"/>
  <c r="AQ40" i="9"/>
  <c r="AK40" i="9"/>
  <c r="AE40" i="9"/>
  <c r="Y40" i="9"/>
  <c r="S40" i="9"/>
  <c r="M40" i="9"/>
  <c r="G40" i="9"/>
  <c r="BI39" i="9"/>
  <c r="BC39" i="9"/>
  <c r="AW39" i="9"/>
  <c r="AQ39" i="9"/>
  <c r="AK39" i="9"/>
  <c r="AE39" i="9"/>
  <c r="Y39" i="9"/>
  <c r="S39" i="9"/>
  <c r="M39" i="9"/>
  <c r="G39" i="9"/>
  <c r="BI38" i="9"/>
  <c r="BC38" i="9"/>
  <c r="AW38" i="9"/>
  <c r="AQ38" i="9"/>
  <c r="AK38" i="9"/>
  <c r="AE38" i="9"/>
  <c r="Y38" i="9"/>
  <c r="S38" i="9"/>
  <c r="M38" i="9"/>
  <c r="G38" i="9"/>
  <c r="BI37" i="9"/>
  <c r="BC37" i="9"/>
  <c r="AW37" i="9"/>
  <c r="AQ37" i="9"/>
  <c r="AK37" i="9"/>
  <c r="AE37" i="9"/>
  <c r="Y37" i="9"/>
  <c r="S37" i="9"/>
  <c r="M37" i="9"/>
  <c r="G37" i="9"/>
  <c r="BI15" i="9"/>
  <c r="BI14" i="9"/>
  <c r="BI13" i="9"/>
  <c r="BI12" i="9"/>
  <c r="BI11" i="9"/>
  <c r="BI10" i="9"/>
  <c r="BI9" i="9"/>
  <c r="BI8" i="9"/>
  <c r="BI7" i="9"/>
  <c r="BI6" i="9"/>
  <c r="BI5" i="9"/>
  <c r="BC15" i="9"/>
  <c r="BC14" i="9"/>
  <c r="BC13" i="9"/>
  <c r="BC12" i="9"/>
  <c r="BC11" i="9"/>
  <c r="BC10" i="9"/>
  <c r="BC9" i="9"/>
  <c r="BC8" i="9"/>
  <c r="BC7" i="9"/>
  <c r="BC6" i="9"/>
  <c r="BC5" i="9"/>
  <c r="AW15" i="9"/>
  <c r="AW14" i="9"/>
  <c r="AW13" i="9"/>
  <c r="AW12" i="9"/>
  <c r="AW11" i="9"/>
  <c r="AW10" i="9"/>
  <c r="AW9" i="9"/>
  <c r="AW8" i="9"/>
  <c r="AW7" i="9"/>
  <c r="AW6" i="9"/>
  <c r="AW5" i="9"/>
  <c r="AQ15" i="9"/>
  <c r="AQ14" i="9"/>
  <c r="AQ13" i="9"/>
  <c r="AQ12" i="9"/>
  <c r="AQ11" i="9"/>
  <c r="AQ10" i="9"/>
  <c r="AQ9" i="9"/>
  <c r="AQ8" i="9"/>
  <c r="AQ7" i="9"/>
  <c r="AQ6" i="9"/>
  <c r="AQ5" i="9"/>
  <c r="AK15" i="9"/>
  <c r="AK14" i="9"/>
  <c r="AK13" i="9"/>
  <c r="AK12" i="9"/>
  <c r="AK11" i="9"/>
  <c r="AK10" i="9"/>
  <c r="AK9" i="9"/>
  <c r="AK8" i="9"/>
  <c r="AK7" i="9"/>
  <c r="AK6" i="9"/>
  <c r="AK5" i="9"/>
  <c r="AE15" i="9"/>
  <c r="AE14" i="9"/>
  <c r="AE13" i="9"/>
  <c r="AE12" i="9"/>
  <c r="AE11" i="9"/>
  <c r="AE10" i="9"/>
  <c r="AE9" i="9"/>
  <c r="AE8" i="9"/>
  <c r="AE7" i="9"/>
  <c r="AE6" i="9"/>
  <c r="AE5" i="9"/>
  <c r="Y15" i="9"/>
  <c r="Y14" i="9"/>
  <c r="Y13" i="9"/>
  <c r="Y12" i="9"/>
  <c r="Y11" i="9"/>
  <c r="Y10" i="9"/>
  <c r="Y9" i="9"/>
  <c r="Y8" i="9"/>
  <c r="Y7" i="9"/>
  <c r="Y6" i="9"/>
  <c r="Y5" i="9"/>
  <c r="S15" i="9"/>
  <c r="S14" i="9"/>
  <c r="S13" i="9"/>
  <c r="S12" i="9"/>
  <c r="S11" i="9"/>
  <c r="S10" i="9"/>
  <c r="S9" i="9"/>
  <c r="S8" i="9"/>
  <c r="S7" i="9"/>
  <c r="S6" i="9"/>
  <c r="S5" i="9"/>
  <c r="M15" i="9"/>
  <c r="M14" i="9"/>
  <c r="M13" i="9"/>
  <c r="M12" i="9"/>
  <c r="M11" i="9"/>
  <c r="M10" i="9"/>
  <c r="M9" i="9"/>
  <c r="M8" i="9"/>
  <c r="M7" i="9"/>
  <c r="M6" i="9"/>
  <c r="M5" i="9"/>
  <c r="L56" i="20" l="1"/>
  <c r="L48" i="20"/>
  <c r="L40" i="20"/>
  <c r="L32" i="20"/>
  <c r="L24" i="20"/>
  <c r="L16" i="20"/>
  <c r="L8" i="20"/>
  <c r="I32" i="20"/>
  <c r="I24" i="20"/>
  <c r="I56" i="20"/>
  <c r="L42" i="20"/>
  <c r="L27" i="20"/>
  <c r="L18" i="20"/>
  <c r="L49" i="20"/>
  <c r="L41" i="20"/>
  <c r="L33" i="20"/>
  <c r="L25" i="20"/>
  <c r="L17" i="20"/>
  <c r="L9" i="20"/>
  <c r="I55" i="20"/>
  <c r="I47" i="20"/>
  <c r="I39" i="20"/>
  <c r="I31" i="20"/>
  <c r="I23" i="20"/>
  <c r="I15" i="20"/>
  <c r="L51" i="20"/>
  <c r="I42" i="20"/>
  <c r="L43" i="20"/>
  <c r="L35" i="20"/>
  <c r="L19" i="20"/>
  <c r="L11" i="20"/>
  <c r="L50" i="20"/>
  <c r="L34" i="20"/>
  <c r="L26" i="20"/>
  <c r="L10" i="20"/>
  <c r="I49" i="20"/>
  <c r="I41" i="20"/>
  <c r="I33" i="20"/>
  <c r="I25" i="20"/>
  <c r="I17" i="20"/>
  <c r="I9" i="20"/>
  <c r="I48" i="20"/>
  <c r="I40" i="20"/>
  <c r="I16" i="20"/>
  <c r="I8" i="20"/>
  <c r="I54" i="20"/>
  <c r="I46" i="20"/>
  <c r="I38" i="20"/>
  <c r="I30" i="20"/>
  <c r="I22" i="20"/>
  <c r="I14" i="20"/>
  <c r="I50" i="20"/>
  <c r="I18" i="20"/>
  <c r="I10" i="20"/>
  <c r="L28" i="20"/>
  <c r="I45" i="20"/>
  <c r="I52" i="20"/>
  <c r="I44" i="20"/>
  <c r="I36" i="20"/>
  <c r="I28" i="20"/>
  <c r="I20" i="20"/>
  <c r="I34" i="20"/>
  <c r="I26" i="20"/>
  <c r="I51" i="20"/>
  <c r="I43" i="20"/>
  <c r="I35" i="20"/>
  <c r="I27" i="20"/>
  <c r="I19" i="20"/>
  <c r="I11" i="20"/>
  <c r="L53" i="20"/>
  <c r="L29" i="20"/>
  <c r="BH144" i="9"/>
  <c r="BH136" i="9"/>
  <c r="BG137" i="9"/>
  <c r="BF138" i="9" s="1"/>
  <c r="BG143" i="9"/>
  <c r="BF144" i="9" s="1"/>
  <c r="BH143" i="9"/>
  <c r="BH135" i="9"/>
  <c r="BG136" i="9"/>
  <c r="BF137" i="9" s="1"/>
  <c r="BH142" i="9"/>
  <c r="BH141" i="9"/>
  <c r="BG142" i="9"/>
  <c r="BF143" i="9" s="1"/>
  <c r="BG134" i="9"/>
  <c r="BF135" i="9" s="1"/>
  <c r="BG139" i="9"/>
  <c r="BF140" i="9" s="1"/>
  <c r="BH140" i="9"/>
  <c r="BG141" i="9"/>
  <c r="BF142" i="9" s="1"/>
  <c r="BH139" i="9"/>
  <c r="BG140" i="9"/>
  <c r="BF141" i="9" s="1"/>
  <c r="BH138" i="9"/>
  <c r="BH137" i="9"/>
  <c r="BG138" i="9"/>
  <c r="BF139" i="9" s="1"/>
  <c r="BG135" i="9"/>
  <c r="BF136" i="9" s="1"/>
  <c r="BD148" i="9"/>
  <c r="BB138" i="9"/>
  <c r="BA141" i="9"/>
  <c r="AZ142" i="9" s="1"/>
  <c r="BB137" i="9"/>
  <c r="BB144" i="9"/>
  <c r="BB136" i="9"/>
  <c r="BA139" i="9"/>
  <c r="AZ140" i="9" s="1"/>
  <c r="BB143" i="9"/>
  <c r="BB135" i="9"/>
  <c r="BA138" i="9"/>
  <c r="AZ139" i="9" s="1"/>
  <c r="BB142" i="9"/>
  <c r="BA137" i="9"/>
  <c r="AZ138" i="9" s="1"/>
  <c r="BB141" i="9"/>
  <c r="BA136" i="9"/>
  <c r="AZ137" i="9" s="1"/>
  <c r="BB140" i="9"/>
  <c r="BA143" i="9"/>
  <c r="AZ144" i="9" s="1"/>
  <c r="BA135" i="9"/>
  <c r="AZ136" i="9" s="1"/>
  <c r="BA140" i="9"/>
  <c r="AZ141" i="9" s="1"/>
  <c r="BB139" i="9"/>
  <c r="BA142" i="9"/>
  <c r="AZ143" i="9" s="1"/>
  <c r="BA134" i="9"/>
  <c r="AZ135" i="9" s="1"/>
  <c r="AX148" i="9"/>
  <c r="AV140" i="9"/>
  <c r="AU137" i="9"/>
  <c r="AT138" i="9" s="1"/>
  <c r="AU136" i="9"/>
  <c r="AT137" i="9" s="1"/>
  <c r="AV138" i="9"/>
  <c r="AU143" i="9"/>
  <c r="AT144" i="9" s="1"/>
  <c r="AU135" i="9"/>
  <c r="AT136" i="9" s="1"/>
  <c r="AV137" i="9"/>
  <c r="AU142" i="9"/>
  <c r="AT143" i="9" s="1"/>
  <c r="AU134" i="9"/>
  <c r="AT135" i="9" s="1"/>
  <c r="AV143" i="9"/>
  <c r="AU140" i="9"/>
  <c r="AT141" i="9" s="1"/>
  <c r="AV144" i="9"/>
  <c r="AV136" i="9"/>
  <c r="AU141" i="9"/>
  <c r="AT142" i="9" s="1"/>
  <c r="AV135" i="9"/>
  <c r="AV142" i="9"/>
  <c r="AU139" i="9"/>
  <c r="AT140" i="9" s="1"/>
  <c r="AV141" i="9"/>
  <c r="AU138" i="9"/>
  <c r="AT139" i="9" s="1"/>
  <c r="AV139" i="9"/>
  <c r="AR148" i="9"/>
  <c r="AP142" i="9"/>
  <c r="AO141" i="9"/>
  <c r="AN142" i="9" s="1"/>
  <c r="AP141" i="9"/>
  <c r="AO140" i="9"/>
  <c r="AN141" i="9" s="1"/>
  <c r="AP140" i="9"/>
  <c r="AO139" i="9"/>
  <c r="AN140" i="9" s="1"/>
  <c r="AP139" i="9"/>
  <c r="AO138" i="9"/>
  <c r="AN139" i="9" s="1"/>
  <c r="AP138" i="9"/>
  <c r="AO137" i="9"/>
  <c r="AN138" i="9" s="1"/>
  <c r="AP137" i="9"/>
  <c r="AO136" i="9"/>
  <c r="AN137" i="9" s="1"/>
  <c r="AP144" i="9"/>
  <c r="AP136" i="9"/>
  <c r="AO143" i="9"/>
  <c r="AN144" i="9" s="1"/>
  <c r="AO135" i="9"/>
  <c r="AN136" i="9" s="1"/>
  <c r="AP143" i="9"/>
  <c r="AP135" i="9"/>
  <c r="AO142" i="9"/>
  <c r="AN143" i="9" s="1"/>
  <c r="AO134" i="9"/>
  <c r="AN135" i="9" s="1"/>
  <c r="AL148" i="9"/>
  <c r="AJ141" i="9"/>
  <c r="AI142" i="9"/>
  <c r="AH143" i="9" s="1"/>
  <c r="AI134" i="9"/>
  <c r="AH135" i="9" s="1"/>
  <c r="AI140" i="9"/>
  <c r="AH141" i="9" s="1"/>
  <c r="AJ143" i="9"/>
  <c r="AI143" i="9"/>
  <c r="AH144" i="9" s="1"/>
  <c r="AJ140" i="9"/>
  <c r="AI141" i="9"/>
  <c r="AH142" i="9" s="1"/>
  <c r="AJ139" i="9"/>
  <c r="AJ142" i="9"/>
  <c r="AJ138" i="9"/>
  <c r="AI139" i="9"/>
  <c r="AH140" i="9" s="1"/>
  <c r="AJ136" i="9"/>
  <c r="AI137" i="9"/>
  <c r="AH138" i="9" s="1"/>
  <c r="AI136" i="9"/>
  <c r="AH137" i="9" s="1"/>
  <c r="AI135" i="9"/>
  <c r="AH136" i="9" s="1"/>
  <c r="AJ137" i="9"/>
  <c r="AI138" i="9"/>
  <c r="AH139" i="9" s="1"/>
  <c r="AJ144" i="9"/>
  <c r="AJ135" i="9"/>
  <c r="AF148" i="9"/>
  <c r="AD138" i="9"/>
  <c r="AC141" i="9"/>
  <c r="AB142" i="9" s="1"/>
  <c r="AD144" i="9"/>
  <c r="AD136" i="9"/>
  <c r="AC139" i="9"/>
  <c r="AB140" i="9" s="1"/>
  <c r="AD143" i="9"/>
  <c r="AD135" i="9"/>
  <c r="AC138" i="9"/>
  <c r="AB139" i="9" s="1"/>
  <c r="AD141" i="9"/>
  <c r="AD142" i="9"/>
  <c r="AC137" i="9"/>
  <c r="AB138" i="9" s="1"/>
  <c r="AC136" i="9"/>
  <c r="AB137" i="9" s="1"/>
  <c r="AD140" i="9"/>
  <c r="AC143" i="9"/>
  <c r="AB144" i="9" s="1"/>
  <c r="AC135" i="9"/>
  <c r="AB136" i="9" s="1"/>
  <c r="AD137" i="9"/>
  <c r="AD139" i="9"/>
  <c r="AC142" i="9"/>
  <c r="AB143" i="9" s="1"/>
  <c r="AC134" i="9"/>
  <c r="AB135" i="9" s="1"/>
  <c r="AC140" i="9"/>
  <c r="AB141" i="9" s="1"/>
  <c r="Z148" i="9"/>
  <c r="X140" i="9"/>
  <c r="W137" i="9"/>
  <c r="V138" i="9" s="1"/>
  <c r="X139" i="9"/>
  <c r="W136" i="9"/>
  <c r="V137" i="9" s="1"/>
  <c r="X138" i="9"/>
  <c r="W143" i="9"/>
  <c r="V144" i="9" s="1"/>
  <c r="W135" i="9"/>
  <c r="V136" i="9" s="1"/>
  <c r="W139" i="9"/>
  <c r="V140" i="9" s="1"/>
  <c r="W138" i="9"/>
  <c r="V139" i="9" s="1"/>
  <c r="X137" i="9"/>
  <c r="W142" i="9"/>
  <c r="V143" i="9" s="1"/>
  <c r="W134" i="9"/>
  <c r="V135" i="9" s="1"/>
  <c r="X144" i="9"/>
  <c r="X136" i="9"/>
  <c r="W141" i="9"/>
  <c r="V142" i="9" s="1"/>
  <c r="X141" i="9"/>
  <c r="X143" i="9"/>
  <c r="X135" i="9"/>
  <c r="W140" i="9"/>
  <c r="V141" i="9" s="1"/>
  <c r="X142" i="9"/>
  <c r="T148" i="9"/>
  <c r="R142" i="9"/>
  <c r="Q141" i="9"/>
  <c r="P142" i="9" s="1"/>
  <c r="R141" i="9"/>
  <c r="Q140" i="9"/>
  <c r="P141" i="9" s="1"/>
  <c r="R140" i="9"/>
  <c r="Q139" i="9"/>
  <c r="P140" i="9" s="1"/>
  <c r="R139" i="9"/>
  <c r="Q138" i="9"/>
  <c r="P139" i="9" s="1"/>
  <c r="R138" i="9"/>
  <c r="Q137" i="9"/>
  <c r="P138" i="9" s="1"/>
  <c r="R137" i="9"/>
  <c r="Q136" i="9"/>
  <c r="P137" i="9" s="1"/>
  <c r="R144" i="9"/>
  <c r="R136" i="9"/>
  <c r="Q143" i="9"/>
  <c r="P144" i="9" s="1"/>
  <c r="Q135" i="9"/>
  <c r="P136" i="9" s="1"/>
  <c r="R143" i="9"/>
  <c r="R135" i="9"/>
  <c r="Q142" i="9"/>
  <c r="P143" i="9" s="1"/>
  <c r="Q134" i="9"/>
  <c r="P135" i="9" s="1"/>
  <c r="L144" i="9"/>
  <c r="L136" i="9"/>
  <c r="K137" i="9"/>
  <c r="J138" i="9" s="1"/>
  <c r="L143" i="9"/>
  <c r="L135" i="9"/>
  <c r="K136" i="9"/>
  <c r="J137" i="9" s="1"/>
  <c r="L142" i="9"/>
  <c r="K143" i="9"/>
  <c r="J144" i="9" s="1"/>
  <c r="K135" i="9"/>
  <c r="J136" i="9" s="1"/>
  <c r="L141" i="9"/>
  <c r="K142" i="9"/>
  <c r="J143" i="9" s="1"/>
  <c r="K134" i="9"/>
  <c r="J135" i="9" s="1"/>
  <c r="L140" i="9"/>
  <c r="K141" i="9"/>
  <c r="J142" i="9" s="1"/>
  <c r="L139" i="9"/>
  <c r="K140" i="9"/>
  <c r="J141" i="9" s="1"/>
  <c r="L138" i="9"/>
  <c r="K139" i="9"/>
  <c r="J140" i="9" s="1"/>
  <c r="L137" i="9"/>
  <c r="K138" i="9"/>
  <c r="J139" i="9" s="1"/>
  <c r="H148" i="9"/>
  <c r="F144" i="9"/>
  <c r="F136" i="9"/>
  <c r="E139" i="9"/>
  <c r="D140" i="9" s="1"/>
  <c r="F143" i="9"/>
  <c r="F135" i="9"/>
  <c r="E138" i="9"/>
  <c r="D139" i="9" s="1"/>
  <c r="F137" i="9"/>
  <c r="F142" i="9"/>
  <c r="E137" i="9"/>
  <c r="D138" i="9" s="1"/>
  <c r="F141" i="9"/>
  <c r="E136" i="9"/>
  <c r="D137" i="9" s="1"/>
  <c r="E140" i="9"/>
  <c r="D141" i="9" s="1"/>
  <c r="F140" i="9"/>
  <c r="E143" i="9"/>
  <c r="D144" i="9" s="1"/>
  <c r="E135" i="9"/>
  <c r="D136" i="9" s="1"/>
  <c r="F138" i="9"/>
  <c r="F139" i="9"/>
  <c r="E142" i="9"/>
  <c r="D143" i="9" s="1"/>
  <c r="E134" i="9"/>
  <c r="D135" i="9" s="1"/>
  <c r="E141" i="9"/>
  <c r="D142" i="9" s="1"/>
  <c r="BJ116" i="9"/>
  <c r="BH108" i="9"/>
  <c r="BG105" i="9"/>
  <c r="BF106" i="9" s="1"/>
  <c r="BH107" i="9"/>
  <c r="BG104" i="9"/>
  <c r="BF105" i="9" s="1"/>
  <c r="BH106" i="9"/>
  <c r="BG111" i="9"/>
  <c r="BF112" i="9" s="1"/>
  <c r="BG103" i="9"/>
  <c r="BF104" i="9" s="1"/>
  <c r="BH105" i="9"/>
  <c r="BG110" i="9"/>
  <c r="BF111" i="9" s="1"/>
  <c r="BG102" i="9"/>
  <c r="BF103" i="9" s="1"/>
  <c r="BH112" i="9"/>
  <c r="BH104" i="9"/>
  <c r="BG109" i="9"/>
  <c r="BF110" i="9" s="1"/>
  <c r="BH111" i="9"/>
  <c r="BH103" i="9"/>
  <c r="BG108" i="9"/>
  <c r="BF109" i="9" s="1"/>
  <c r="BH110" i="9"/>
  <c r="BG107" i="9"/>
  <c r="BF108" i="9" s="1"/>
  <c r="BH109" i="9"/>
  <c r="BG106" i="9"/>
  <c r="BF107" i="9" s="1"/>
  <c r="BB110" i="9"/>
  <c r="BA109" i="9"/>
  <c r="AZ110" i="9" s="1"/>
  <c r="BB108" i="9"/>
  <c r="BB109" i="9"/>
  <c r="BA108" i="9"/>
  <c r="AZ109" i="9" s="1"/>
  <c r="BA107" i="9"/>
  <c r="AZ108" i="9" s="1"/>
  <c r="BB107" i="9"/>
  <c r="BA106" i="9"/>
  <c r="AZ107" i="9" s="1"/>
  <c r="BA111" i="9"/>
  <c r="AZ112" i="9" s="1"/>
  <c r="BB106" i="9"/>
  <c r="BA105" i="9"/>
  <c r="AZ106" i="9" s="1"/>
  <c r="BB104" i="9"/>
  <c r="BA103" i="9"/>
  <c r="AZ104" i="9" s="1"/>
  <c r="BB105" i="9"/>
  <c r="BA104" i="9"/>
  <c r="AZ105" i="9" s="1"/>
  <c r="BB112" i="9"/>
  <c r="BB111" i="9"/>
  <c r="BB103" i="9"/>
  <c r="BA110" i="9"/>
  <c r="AZ111" i="9" s="1"/>
  <c r="BA102" i="9"/>
  <c r="AZ103" i="9" s="1"/>
  <c r="AX116" i="9"/>
  <c r="AV112" i="9"/>
  <c r="AV104" i="9"/>
  <c r="AU105" i="9"/>
  <c r="AT106" i="9" s="1"/>
  <c r="AV111" i="9"/>
  <c r="AV103" i="9"/>
  <c r="AU104" i="9"/>
  <c r="AT105" i="9" s="1"/>
  <c r="AV110" i="9"/>
  <c r="AU111" i="9"/>
  <c r="AT112" i="9" s="1"/>
  <c r="AU103" i="9"/>
  <c r="AT104" i="9" s="1"/>
  <c r="AV109" i="9"/>
  <c r="AU110" i="9"/>
  <c r="AT111" i="9" s="1"/>
  <c r="AU102" i="9"/>
  <c r="AT103" i="9" s="1"/>
  <c r="AV108" i="9"/>
  <c r="AU109" i="9"/>
  <c r="AT110" i="9" s="1"/>
  <c r="AV107" i="9"/>
  <c r="AU108" i="9"/>
  <c r="AT109" i="9" s="1"/>
  <c r="AV106" i="9"/>
  <c r="AU107" i="9"/>
  <c r="AT108" i="9" s="1"/>
  <c r="AV105" i="9"/>
  <c r="AU106" i="9"/>
  <c r="AT107" i="9" s="1"/>
  <c r="AR116" i="9"/>
  <c r="AP106" i="9"/>
  <c r="AO109" i="9"/>
  <c r="AN110" i="9" s="1"/>
  <c r="AP105" i="9"/>
  <c r="AO108" i="9"/>
  <c r="AN109" i="9" s="1"/>
  <c r="AP112" i="9"/>
  <c r="AP104" i="9"/>
  <c r="AO107" i="9"/>
  <c r="AN108" i="9" s="1"/>
  <c r="AP111" i="9"/>
  <c r="AP103" i="9"/>
  <c r="AO106" i="9"/>
  <c r="AN107" i="9" s="1"/>
  <c r="AP110" i="9"/>
  <c r="AO105" i="9"/>
  <c r="AN106" i="9" s="1"/>
  <c r="AP109" i="9"/>
  <c r="AO104" i="9"/>
  <c r="AN105" i="9" s="1"/>
  <c r="AP108" i="9"/>
  <c r="AO111" i="9"/>
  <c r="AN112" i="9" s="1"/>
  <c r="AO103" i="9"/>
  <c r="AN104" i="9" s="1"/>
  <c r="AP107" i="9"/>
  <c r="AO110" i="9"/>
  <c r="AN111" i="9" s="1"/>
  <c r="AO102" i="9"/>
  <c r="AN103" i="9" s="1"/>
  <c r="AL116" i="9"/>
  <c r="AJ108" i="9"/>
  <c r="AI105" i="9"/>
  <c r="AH106" i="9" s="1"/>
  <c r="AJ107" i="9"/>
  <c r="AI104" i="9"/>
  <c r="AH105" i="9" s="1"/>
  <c r="AJ106" i="9"/>
  <c r="AI111" i="9"/>
  <c r="AH112" i="9" s="1"/>
  <c r="AI103" i="9"/>
  <c r="AH104" i="9" s="1"/>
  <c r="AJ105" i="9"/>
  <c r="AI110" i="9"/>
  <c r="AH111" i="9" s="1"/>
  <c r="AI102" i="9"/>
  <c r="AH103" i="9" s="1"/>
  <c r="AJ103" i="9"/>
  <c r="AJ112" i="9"/>
  <c r="AJ104" i="9"/>
  <c r="AI109" i="9"/>
  <c r="AH110" i="9" s="1"/>
  <c r="AJ111" i="9"/>
  <c r="AI108" i="9"/>
  <c r="AH109" i="9" s="1"/>
  <c r="AJ110" i="9"/>
  <c r="AI107" i="9"/>
  <c r="AH108" i="9" s="1"/>
  <c r="AJ109" i="9"/>
  <c r="AI106" i="9"/>
  <c r="AH107" i="9" s="1"/>
  <c r="AF116" i="9"/>
  <c r="AD110" i="9"/>
  <c r="AC109" i="9"/>
  <c r="AB110" i="9" s="1"/>
  <c r="AC102" i="9"/>
  <c r="AB103" i="9" s="1"/>
  <c r="AD109" i="9"/>
  <c r="AC108" i="9"/>
  <c r="AB109" i="9" s="1"/>
  <c r="AC110" i="9"/>
  <c r="AB111" i="9" s="1"/>
  <c r="AD108" i="9"/>
  <c r="AC107" i="9"/>
  <c r="AB108" i="9" s="1"/>
  <c r="AD103" i="9"/>
  <c r="AD107" i="9"/>
  <c r="AC106" i="9"/>
  <c r="AB107" i="9" s="1"/>
  <c r="AD106" i="9"/>
  <c r="AC105" i="9"/>
  <c r="AB106" i="9" s="1"/>
  <c r="AD105" i="9"/>
  <c r="AC104" i="9"/>
  <c r="AB105" i="9" s="1"/>
  <c r="AD112" i="9"/>
  <c r="AD104" i="9"/>
  <c r="AC111" i="9"/>
  <c r="AB112" i="9" s="1"/>
  <c r="AC103" i="9"/>
  <c r="AB104" i="9" s="1"/>
  <c r="AD111" i="9"/>
  <c r="X112" i="9"/>
  <c r="X104" i="9"/>
  <c r="W105" i="9"/>
  <c r="V106" i="9" s="1"/>
  <c r="X105" i="9"/>
  <c r="X111" i="9"/>
  <c r="X103" i="9"/>
  <c r="W104" i="9"/>
  <c r="V105" i="9" s="1"/>
  <c r="X110" i="9"/>
  <c r="W111" i="9"/>
  <c r="V112" i="9" s="1"/>
  <c r="W103" i="9"/>
  <c r="V104" i="9" s="1"/>
  <c r="W106" i="9"/>
  <c r="V107" i="9" s="1"/>
  <c r="X109" i="9"/>
  <c r="W110" i="9"/>
  <c r="V111" i="9" s="1"/>
  <c r="W102" i="9"/>
  <c r="V103" i="9" s="1"/>
  <c r="X108" i="9"/>
  <c r="W109" i="9"/>
  <c r="V110" i="9" s="1"/>
  <c r="X107" i="9"/>
  <c r="W108" i="9"/>
  <c r="V109" i="9" s="1"/>
  <c r="X106" i="9"/>
  <c r="W107" i="9"/>
  <c r="V108" i="9" s="1"/>
  <c r="T116" i="9"/>
  <c r="R106" i="9"/>
  <c r="Q109" i="9"/>
  <c r="P110" i="9" s="1"/>
  <c r="R105" i="9"/>
  <c r="Q108" i="9"/>
  <c r="P109" i="9" s="1"/>
  <c r="R112" i="9"/>
  <c r="R104" i="9"/>
  <c r="Q107" i="9"/>
  <c r="P108" i="9" s="1"/>
  <c r="R111" i="9"/>
  <c r="R103" i="9"/>
  <c r="Q106" i="9"/>
  <c r="P107" i="9" s="1"/>
  <c r="R110" i="9"/>
  <c r="Q105" i="9"/>
  <c r="P106" i="9" s="1"/>
  <c r="R109" i="9"/>
  <c r="Q104" i="9"/>
  <c r="P105" i="9" s="1"/>
  <c r="R108" i="9"/>
  <c r="Q111" i="9"/>
  <c r="P112" i="9" s="1"/>
  <c r="Q103" i="9"/>
  <c r="P104" i="9" s="1"/>
  <c r="R107" i="9"/>
  <c r="Q110" i="9"/>
  <c r="P111" i="9" s="1"/>
  <c r="Q102" i="9"/>
  <c r="P103" i="9" s="1"/>
  <c r="N116" i="9"/>
  <c r="L108" i="9"/>
  <c r="K105" i="9"/>
  <c r="J106" i="9" s="1"/>
  <c r="L107" i="9"/>
  <c r="K104" i="9"/>
  <c r="J105" i="9" s="1"/>
  <c r="L106" i="9"/>
  <c r="K111" i="9"/>
  <c r="J112" i="9" s="1"/>
  <c r="K103" i="9"/>
  <c r="J104" i="9" s="1"/>
  <c r="L105" i="9"/>
  <c r="K110" i="9"/>
  <c r="J111" i="9" s="1"/>
  <c r="K102" i="9"/>
  <c r="J103" i="9" s="1"/>
  <c r="L112" i="9"/>
  <c r="L104" i="9"/>
  <c r="K109" i="9"/>
  <c r="J110" i="9" s="1"/>
  <c r="L111" i="9"/>
  <c r="L103" i="9"/>
  <c r="K108" i="9"/>
  <c r="J109" i="9" s="1"/>
  <c r="L110" i="9"/>
  <c r="K107" i="9"/>
  <c r="J108" i="9" s="1"/>
  <c r="L109" i="9"/>
  <c r="K106" i="9"/>
  <c r="J107" i="9" s="1"/>
  <c r="H116" i="9"/>
  <c r="F110" i="9"/>
  <c r="E109" i="9"/>
  <c r="D110" i="9" s="1"/>
  <c r="F108" i="9"/>
  <c r="F107" i="9"/>
  <c r="E106" i="9"/>
  <c r="D107" i="9" s="1"/>
  <c r="F105" i="9"/>
  <c r="E104" i="9"/>
  <c r="D105" i="9" s="1"/>
  <c r="F104" i="9"/>
  <c r="E111" i="9"/>
  <c r="D112" i="9" s="1"/>
  <c r="F106" i="9"/>
  <c r="E105" i="9"/>
  <c r="D106" i="9" s="1"/>
  <c r="F112" i="9"/>
  <c r="E103" i="9"/>
  <c r="D104" i="9" s="1"/>
  <c r="F111" i="9"/>
  <c r="F103" i="9"/>
  <c r="E110" i="9"/>
  <c r="D111" i="9" s="1"/>
  <c r="E102" i="9"/>
  <c r="D103" i="9" s="1"/>
  <c r="F109" i="9"/>
  <c r="E108" i="9"/>
  <c r="D109" i="9" s="1"/>
  <c r="E107" i="9"/>
  <c r="D108" i="9" s="1"/>
  <c r="BJ84" i="9"/>
  <c r="BH80" i="9"/>
  <c r="BH72" i="9"/>
  <c r="BG73" i="9"/>
  <c r="BF74" i="9" s="1"/>
  <c r="BH71" i="9"/>
  <c r="BG72" i="9"/>
  <c r="BF73" i="9" s="1"/>
  <c r="BH79" i="9"/>
  <c r="BH78" i="9"/>
  <c r="BG79" i="9"/>
  <c r="BF80" i="9" s="1"/>
  <c r="BG71" i="9"/>
  <c r="BF72" i="9" s="1"/>
  <c r="BH77" i="9"/>
  <c r="BG78" i="9"/>
  <c r="BF79" i="9" s="1"/>
  <c r="BG70" i="9"/>
  <c r="BF71" i="9" s="1"/>
  <c r="BH76" i="9"/>
  <c r="BG77" i="9"/>
  <c r="BF78" i="9" s="1"/>
  <c r="BH75" i="9"/>
  <c r="BG76" i="9"/>
  <c r="BF77" i="9" s="1"/>
  <c r="BH74" i="9"/>
  <c r="BG75" i="9"/>
  <c r="BF76" i="9" s="1"/>
  <c r="BH73" i="9"/>
  <c r="BG74" i="9"/>
  <c r="BF75" i="9" s="1"/>
  <c r="BB74" i="9"/>
  <c r="BA77" i="9"/>
  <c r="AZ78" i="9" s="1"/>
  <c r="BB73" i="9"/>
  <c r="BA76" i="9"/>
  <c r="AZ77" i="9" s="1"/>
  <c r="BB80" i="9"/>
  <c r="BB72" i="9"/>
  <c r="BA75" i="9"/>
  <c r="AZ76" i="9" s="1"/>
  <c r="BB79" i="9"/>
  <c r="BB71" i="9"/>
  <c r="BA74" i="9"/>
  <c r="AZ75" i="9" s="1"/>
  <c r="BB78" i="9"/>
  <c r="BA73" i="9"/>
  <c r="AZ74" i="9" s="1"/>
  <c r="BB77" i="9"/>
  <c r="BA72" i="9"/>
  <c r="AZ73" i="9" s="1"/>
  <c r="BB76" i="9"/>
  <c r="BA79" i="9"/>
  <c r="AZ80" i="9" s="1"/>
  <c r="BA71" i="9"/>
  <c r="AZ72" i="9" s="1"/>
  <c r="BB75" i="9"/>
  <c r="BA78" i="9"/>
  <c r="AZ79" i="9" s="1"/>
  <c r="BA70" i="9"/>
  <c r="AZ71" i="9" s="1"/>
  <c r="AX84" i="9"/>
  <c r="AV76" i="9"/>
  <c r="AU73" i="9"/>
  <c r="AT74" i="9" s="1"/>
  <c r="AV75" i="9"/>
  <c r="AU72" i="9"/>
  <c r="AT73" i="9" s="1"/>
  <c r="AV74" i="9"/>
  <c r="AU79" i="9"/>
  <c r="AT80" i="9" s="1"/>
  <c r="AU71" i="9"/>
  <c r="AT72" i="9" s="1"/>
  <c r="AV73" i="9"/>
  <c r="AU78" i="9"/>
  <c r="AT79" i="9" s="1"/>
  <c r="AU70" i="9"/>
  <c r="AT71" i="9" s="1"/>
  <c r="AV80" i="9"/>
  <c r="AV72" i="9"/>
  <c r="AU77" i="9"/>
  <c r="AT78" i="9" s="1"/>
  <c r="AV79" i="9"/>
  <c r="AV71" i="9"/>
  <c r="AU76" i="9"/>
  <c r="AT77" i="9" s="1"/>
  <c r="AV78" i="9"/>
  <c r="AU75" i="9"/>
  <c r="AT76" i="9" s="1"/>
  <c r="AV77" i="9"/>
  <c r="AU74" i="9"/>
  <c r="AT75" i="9" s="1"/>
  <c r="AR84" i="9"/>
  <c r="AP78" i="9"/>
  <c r="AO77" i="9"/>
  <c r="AN78" i="9" s="1"/>
  <c r="AO76" i="9"/>
  <c r="AN77" i="9" s="1"/>
  <c r="AP76" i="9"/>
  <c r="AP75" i="9"/>
  <c r="AO74" i="9"/>
  <c r="AN75" i="9" s="1"/>
  <c r="AP73" i="9"/>
  <c r="AP80" i="9"/>
  <c r="AO79" i="9"/>
  <c r="AN80" i="9" s="1"/>
  <c r="AP74" i="9"/>
  <c r="AO73" i="9"/>
  <c r="AN74" i="9" s="1"/>
  <c r="AO72" i="9"/>
  <c r="AN73" i="9" s="1"/>
  <c r="AP72" i="9"/>
  <c r="AO71" i="9"/>
  <c r="AN72" i="9" s="1"/>
  <c r="AP79" i="9"/>
  <c r="AP71" i="9"/>
  <c r="AO78" i="9"/>
  <c r="AN79" i="9" s="1"/>
  <c r="AO70" i="9"/>
  <c r="AN71" i="9" s="1"/>
  <c r="AP77" i="9"/>
  <c r="AO75" i="9"/>
  <c r="AN76" i="9" s="1"/>
  <c r="AL84" i="9"/>
  <c r="AJ80" i="9"/>
  <c r="AJ72" i="9"/>
  <c r="AI73" i="9"/>
  <c r="AH74" i="9" s="1"/>
  <c r="AJ79" i="9"/>
  <c r="AJ71" i="9"/>
  <c r="AI72" i="9"/>
  <c r="AH73" i="9" s="1"/>
  <c r="AJ78" i="9"/>
  <c r="AI79" i="9"/>
  <c r="AH80" i="9" s="1"/>
  <c r="AI71" i="9"/>
  <c r="AH72" i="9" s="1"/>
  <c r="AJ77" i="9"/>
  <c r="AI78" i="9"/>
  <c r="AH79" i="9" s="1"/>
  <c r="AI70" i="9"/>
  <c r="AH71" i="9" s="1"/>
  <c r="AJ76" i="9"/>
  <c r="AI77" i="9"/>
  <c r="AH78" i="9" s="1"/>
  <c r="AJ75" i="9"/>
  <c r="AI76" i="9"/>
  <c r="AH77" i="9" s="1"/>
  <c r="AJ74" i="9"/>
  <c r="AI75" i="9"/>
  <c r="AH76" i="9" s="1"/>
  <c r="AJ73" i="9"/>
  <c r="AI74" i="9"/>
  <c r="AH75" i="9" s="1"/>
  <c r="AD74" i="9"/>
  <c r="AC77" i="9"/>
  <c r="AB78" i="9" s="1"/>
  <c r="AD73" i="9"/>
  <c r="AC76" i="9"/>
  <c r="AB77" i="9" s="1"/>
  <c r="AD72" i="9"/>
  <c r="AD80" i="9"/>
  <c r="AD79" i="9"/>
  <c r="AD71" i="9"/>
  <c r="AC74" i="9"/>
  <c r="AB75" i="9" s="1"/>
  <c r="AD78" i="9"/>
  <c r="AC73" i="9"/>
  <c r="AB74" i="9" s="1"/>
  <c r="AC79" i="9"/>
  <c r="AB80" i="9" s="1"/>
  <c r="AD77" i="9"/>
  <c r="AC72" i="9"/>
  <c r="AB73" i="9" s="1"/>
  <c r="AC71" i="9"/>
  <c r="AB72" i="9" s="1"/>
  <c r="AD76" i="9"/>
  <c r="AD75" i="9"/>
  <c r="AC78" i="9"/>
  <c r="AB79" i="9" s="1"/>
  <c r="AC70" i="9"/>
  <c r="AB71" i="9" s="1"/>
  <c r="AC75" i="9"/>
  <c r="AB76" i="9" s="1"/>
  <c r="Z84" i="9"/>
  <c r="X76" i="9"/>
  <c r="W73" i="9"/>
  <c r="V74" i="9" s="1"/>
  <c r="X75" i="9"/>
  <c r="W72" i="9"/>
  <c r="V73" i="9" s="1"/>
  <c r="X74" i="9"/>
  <c r="W79" i="9"/>
  <c r="V80" i="9" s="1"/>
  <c r="W71" i="9"/>
  <c r="V72" i="9" s="1"/>
  <c r="X73" i="9"/>
  <c r="W78" i="9"/>
  <c r="V79" i="9" s="1"/>
  <c r="W70" i="9"/>
  <c r="V71" i="9" s="1"/>
  <c r="X71" i="9"/>
  <c r="W76" i="9"/>
  <c r="V77" i="9" s="1"/>
  <c r="X80" i="9"/>
  <c r="X72" i="9"/>
  <c r="W77" i="9"/>
  <c r="V78" i="9" s="1"/>
  <c r="X79" i="9"/>
  <c r="X78" i="9"/>
  <c r="W75" i="9"/>
  <c r="V76" i="9" s="1"/>
  <c r="X77" i="9"/>
  <c r="W74" i="9"/>
  <c r="V75" i="9" s="1"/>
  <c r="T84" i="9"/>
  <c r="R78" i="9"/>
  <c r="Q77" i="9"/>
  <c r="P78" i="9" s="1"/>
  <c r="R77" i="9"/>
  <c r="Q76" i="9"/>
  <c r="P77" i="9" s="1"/>
  <c r="R76" i="9"/>
  <c r="Q75" i="9"/>
  <c r="P76" i="9" s="1"/>
  <c r="R75" i="9"/>
  <c r="Q74" i="9"/>
  <c r="P75" i="9" s="1"/>
  <c r="R74" i="9"/>
  <c r="Q73" i="9"/>
  <c r="P74" i="9" s="1"/>
  <c r="R73" i="9"/>
  <c r="Q72" i="9"/>
  <c r="P73" i="9" s="1"/>
  <c r="R80" i="9"/>
  <c r="R72" i="9"/>
  <c r="Q79" i="9"/>
  <c r="P80" i="9" s="1"/>
  <c r="Q71" i="9"/>
  <c r="P72" i="9" s="1"/>
  <c r="R79" i="9"/>
  <c r="R71" i="9"/>
  <c r="Q78" i="9"/>
  <c r="P79" i="9" s="1"/>
  <c r="Q70" i="9"/>
  <c r="P71" i="9" s="1"/>
  <c r="N84" i="9"/>
  <c r="L80" i="9"/>
  <c r="L72" i="9"/>
  <c r="K73" i="9"/>
  <c r="J74" i="9" s="1"/>
  <c r="L71" i="9"/>
  <c r="L78" i="9"/>
  <c r="K79" i="9"/>
  <c r="J80" i="9" s="1"/>
  <c r="K71" i="9"/>
  <c r="J72" i="9" s="1"/>
  <c r="L75" i="9"/>
  <c r="L77" i="9"/>
  <c r="K78" i="9"/>
  <c r="J79" i="9" s="1"/>
  <c r="K70" i="9"/>
  <c r="J71" i="9" s="1"/>
  <c r="L76" i="9"/>
  <c r="K77" i="9"/>
  <c r="J78" i="9" s="1"/>
  <c r="K76" i="9"/>
  <c r="J77" i="9" s="1"/>
  <c r="L74" i="9"/>
  <c r="K75" i="9"/>
  <c r="J76" i="9" s="1"/>
  <c r="L79" i="9"/>
  <c r="K72" i="9"/>
  <c r="J73" i="9" s="1"/>
  <c r="L73" i="9"/>
  <c r="K74" i="9"/>
  <c r="J75" i="9" s="1"/>
  <c r="F74" i="9"/>
  <c r="E77" i="9"/>
  <c r="D78" i="9" s="1"/>
  <c r="F73" i="9"/>
  <c r="E76" i="9"/>
  <c r="D77" i="9" s="1"/>
  <c r="F80" i="9"/>
  <c r="F72" i="9"/>
  <c r="E75" i="9"/>
  <c r="D76" i="9" s="1"/>
  <c r="F79" i="9"/>
  <c r="F71" i="9"/>
  <c r="E74" i="9"/>
  <c r="D75" i="9" s="1"/>
  <c r="E71" i="9"/>
  <c r="D72" i="9" s="1"/>
  <c r="F78" i="9"/>
  <c r="E73" i="9"/>
  <c r="D74" i="9" s="1"/>
  <c r="F77" i="9"/>
  <c r="E72" i="9"/>
  <c r="D73" i="9" s="1"/>
  <c r="F76" i="9"/>
  <c r="E79" i="9"/>
  <c r="D80" i="9" s="1"/>
  <c r="F75" i="9"/>
  <c r="E78" i="9"/>
  <c r="D79" i="9" s="1"/>
  <c r="E70" i="9"/>
  <c r="D71" i="9" s="1"/>
  <c r="BH43" i="9"/>
  <c r="BG40" i="9"/>
  <c r="BF41" i="9" s="1"/>
  <c r="BH42" i="9"/>
  <c r="BG39" i="9"/>
  <c r="BF40" i="9" s="1"/>
  <c r="BH41" i="9"/>
  <c r="BG46" i="9"/>
  <c r="BF47" i="9" s="1"/>
  <c r="BG38" i="9"/>
  <c r="BF39" i="9" s="1"/>
  <c r="BH40" i="9"/>
  <c r="BG45" i="9"/>
  <c r="BF46" i="9" s="1"/>
  <c r="BG37" i="9"/>
  <c r="BF38" i="9" s="1"/>
  <c r="BH47" i="9"/>
  <c r="BH39" i="9"/>
  <c r="BG44" i="9"/>
  <c r="BF45" i="9" s="1"/>
  <c r="BH46" i="9"/>
  <c r="BH38" i="9"/>
  <c r="BG43" i="9"/>
  <c r="BF44" i="9" s="1"/>
  <c r="BH45" i="9"/>
  <c r="BG42" i="9"/>
  <c r="BF43" i="9" s="1"/>
  <c r="BH44" i="9"/>
  <c r="BG41" i="9"/>
  <c r="BF42" i="9" s="1"/>
  <c r="BD51" i="9"/>
  <c r="BB45" i="9"/>
  <c r="BA44" i="9"/>
  <c r="AZ45" i="9" s="1"/>
  <c r="BB44" i="9"/>
  <c r="BA43" i="9"/>
  <c r="AZ44" i="9" s="1"/>
  <c r="BB43" i="9"/>
  <c r="BA42" i="9"/>
  <c r="AZ43" i="9" s="1"/>
  <c r="BB42" i="9"/>
  <c r="BA41" i="9"/>
  <c r="AZ42" i="9" s="1"/>
  <c r="BB41" i="9"/>
  <c r="BA40" i="9"/>
  <c r="AZ41" i="9" s="1"/>
  <c r="BB40" i="9"/>
  <c r="BA39" i="9"/>
  <c r="AZ40" i="9" s="1"/>
  <c r="BB47" i="9"/>
  <c r="BB39" i="9"/>
  <c r="BA46" i="9"/>
  <c r="AZ47" i="9" s="1"/>
  <c r="BA38" i="9"/>
  <c r="AZ39" i="9" s="1"/>
  <c r="BB46" i="9"/>
  <c r="BB38" i="9"/>
  <c r="BA45" i="9"/>
  <c r="AZ46" i="9" s="1"/>
  <c r="BA37" i="9"/>
  <c r="AZ38" i="9" s="1"/>
  <c r="AX51" i="9"/>
  <c r="AV47" i="9"/>
  <c r="AV39" i="9"/>
  <c r="AU40" i="9"/>
  <c r="AT41" i="9" s="1"/>
  <c r="AV46" i="9"/>
  <c r="AV38" i="9"/>
  <c r="AU39" i="9"/>
  <c r="AT40" i="9" s="1"/>
  <c r="AV45" i="9"/>
  <c r="AU46" i="9"/>
  <c r="AT47" i="9" s="1"/>
  <c r="AU38" i="9"/>
  <c r="AT39" i="9" s="1"/>
  <c r="AV44" i="9"/>
  <c r="AU45" i="9"/>
  <c r="AT46" i="9" s="1"/>
  <c r="AU37" i="9"/>
  <c r="AT38" i="9" s="1"/>
  <c r="AV43" i="9"/>
  <c r="AU44" i="9"/>
  <c r="AT45" i="9" s="1"/>
  <c r="AV42" i="9"/>
  <c r="AU43" i="9"/>
  <c r="AT44" i="9" s="1"/>
  <c r="AV41" i="9"/>
  <c r="AU42" i="9"/>
  <c r="AT43" i="9" s="1"/>
  <c r="AV40" i="9"/>
  <c r="AU41" i="9"/>
  <c r="AT42" i="9" s="1"/>
  <c r="AR51" i="9"/>
  <c r="AP41" i="9"/>
  <c r="AO44" i="9"/>
  <c r="AN45" i="9" s="1"/>
  <c r="AO43" i="9"/>
  <c r="AN44" i="9" s="1"/>
  <c r="AP40" i="9"/>
  <c r="AP47" i="9"/>
  <c r="AP39" i="9"/>
  <c r="AO42" i="9"/>
  <c r="AN43" i="9" s="1"/>
  <c r="AP46" i="9"/>
  <c r="AP38" i="9"/>
  <c r="AO41" i="9"/>
  <c r="AN42" i="9" s="1"/>
  <c r="AO39" i="9"/>
  <c r="AN40" i="9" s="1"/>
  <c r="AP45" i="9"/>
  <c r="AO40" i="9"/>
  <c r="AN41" i="9" s="1"/>
  <c r="AP44" i="9"/>
  <c r="AP43" i="9"/>
  <c r="AO46" i="9"/>
  <c r="AN47" i="9" s="1"/>
  <c r="AO38" i="9"/>
  <c r="AN39" i="9" s="1"/>
  <c r="AP42" i="9"/>
  <c r="AO45" i="9"/>
  <c r="AN46" i="9" s="1"/>
  <c r="AO37" i="9"/>
  <c r="AN38" i="9" s="1"/>
  <c r="AL51" i="9"/>
  <c r="AJ43" i="9"/>
  <c r="AI40" i="9"/>
  <c r="AH41" i="9" s="1"/>
  <c r="AI46" i="9"/>
  <c r="AH47" i="9" s="1"/>
  <c r="AJ42" i="9"/>
  <c r="AI39" i="9"/>
  <c r="AH40" i="9" s="1"/>
  <c r="AJ41" i="9"/>
  <c r="AJ40" i="9"/>
  <c r="AI45" i="9"/>
  <c r="AH46" i="9" s="1"/>
  <c r="AI37" i="9"/>
  <c r="AH38" i="9" s="1"/>
  <c r="AJ38" i="9"/>
  <c r="AJ47" i="9"/>
  <c r="AJ39" i="9"/>
  <c r="AI44" i="9"/>
  <c r="AH45" i="9" s="1"/>
  <c r="AJ46" i="9"/>
  <c r="AI43" i="9"/>
  <c r="AH44" i="9" s="1"/>
  <c r="AJ45" i="9"/>
  <c r="AI42" i="9"/>
  <c r="AH43" i="9" s="1"/>
  <c r="AI38" i="9"/>
  <c r="AH39" i="9" s="1"/>
  <c r="AJ44" i="9"/>
  <c r="AI41" i="9"/>
  <c r="AH42" i="9" s="1"/>
  <c r="AF51" i="9"/>
  <c r="AD45" i="9"/>
  <c r="AC44" i="9"/>
  <c r="AB45" i="9" s="1"/>
  <c r="AD44" i="9"/>
  <c r="AC43" i="9"/>
  <c r="AB44" i="9" s="1"/>
  <c r="AD43" i="9"/>
  <c r="AC42" i="9"/>
  <c r="AB43" i="9" s="1"/>
  <c r="AD42" i="9"/>
  <c r="AC41" i="9"/>
  <c r="AB42" i="9" s="1"/>
  <c r="AD41" i="9"/>
  <c r="AC40" i="9"/>
  <c r="AB41" i="9" s="1"/>
  <c r="AD40" i="9"/>
  <c r="AC39" i="9"/>
  <c r="AB40" i="9" s="1"/>
  <c r="AD47" i="9"/>
  <c r="AD39" i="9"/>
  <c r="AC46" i="9"/>
  <c r="AB47" i="9" s="1"/>
  <c r="AC38" i="9"/>
  <c r="AB39" i="9" s="1"/>
  <c r="AD46" i="9"/>
  <c r="AD38" i="9"/>
  <c r="AC45" i="9"/>
  <c r="AB46" i="9" s="1"/>
  <c r="AC37" i="9"/>
  <c r="AB38" i="9" s="1"/>
  <c r="X47" i="9"/>
  <c r="X39" i="9"/>
  <c r="W40" i="9"/>
  <c r="V41" i="9" s="1"/>
  <c r="X46" i="9"/>
  <c r="X38" i="9"/>
  <c r="W39" i="9"/>
  <c r="V40" i="9" s="1"/>
  <c r="X45" i="9"/>
  <c r="W46" i="9"/>
  <c r="V47" i="9" s="1"/>
  <c r="W38" i="9"/>
  <c r="V39" i="9" s="1"/>
  <c r="X44" i="9"/>
  <c r="W45" i="9"/>
  <c r="V46" i="9" s="1"/>
  <c r="W37" i="9"/>
  <c r="V38" i="9" s="1"/>
  <c r="X43" i="9"/>
  <c r="W44" i="9"/>
  <c r="V45" i="9" s="1"/>
  <c r="X42" i="9"/>
  <c r="W43" i="9"/>
  <c r="V44" i="9" s="1"/>
  <c r="X41" i="9"/>
  <c r="W42" i="9"/>
  <c r="V43" i="9" s="1"/>
  <c r="X40" i="9"/>
  <c r="W41" i="9"/>
  <c r="V42" i="9" s="1"/>
  <c r="T51" i="9"/>
  <c r="R41" i="9"/>
  <c r="Q44" i="9"/>
  <c r="P45" i="9" s="1"/>
  <c r="R39" i="9"/>
  <c r="Q42" i="9"/>
  <c r="P43" i="9" s="1"/>
  <c r="R46" i="9"/>
  <c r="R38" i="9"/>
  <c r="Q41" i="9"/>
  <c r="P42" i="9" s="1"/>
  <c r="Q40" i="9"/>
  <c r="P41" i="9" s="1"/>
  <c r="R44" i="9"/>
  <c r="Q39" i="9"/>
  <c r="P40" i="9" s="1"/>
  <c r="Q38" i="9"/>
  <c r="P39" i="9" s="1"/>
  <c r="R45" i="9"/>
  <c r="R43" i="9"/>
  <c r="Q46" i="9"/>
  <c r="P47" i="9" s="1"/>
  <c r="R42" i="9"/>
  <c r="Q45" i="9"/>
  <c r="P46" i="9" s="1"/>
  <c r="Q37" i="9"/>
  <c r="P38" i="9" s="1"/>
  <c r="R40" i="9"/>
  <c r="Q43" i="9"/>
  <c r="P44" i="9" s="1"/>
  <c r="R47" i="9"/>
  <c r="N51" i="9"/>
  <c r="L43" i="9"/>
  <c r="K40" i="9"/>
  <c r="L42" i="9"/>
  <c r="K39" i="9"/>
  <c r="L41" i="9"/>
  <c r="K46" i="9"/>
  <c r="K38" i="9"/>
  <c r="L40" i="9"/>
  <c r="K45" i="9"/>
  <c r="K37" i="9"/>
  <c r="L47" i="9"/>
  <c r="L39" i="9"/>
  <c r="K44" i="9"/>
  <c r="L46" i="9"/>
  <c r="L38" i="9"/>
  <c r="K43" i="9"/>
  <c r="L45" i="9"/>
  <c r="K42" i="9"/>
  <c r="L44" i="9"/>
  <c r="K41" i="9"/>
  <c r="F45" i="9"/>
  <c r="F43" i="9"/>
  <c r="E42" i="9"/>
  <c r="D43" i="9" s="1"/>
  <c r="F42" i="9"/>
  <c r="E41" i="9"/>
  <c r="D42" i="9" s="1"/>
  <c r="E40" i="9"/>
  <c r="D41" i="9" s="1"/>
  <c r="F40" i="9"/>
  <c r="E39" i="9"/>
  <c r="D40" i="9" s="1"/>
  <c r="F41" i="9"/>
  <c r="F47" i="9"/>
  <c r="F39" i="9"/>
  <c r="E46" i="9"/>
  <c r="D47" i="9" s="1"/>
  <c r="E38" i="9"/>
  <c r="D39" i="9" s="1"/>
  <c r="F46" i="9"/>
  <c r="F38" i="9"/>
  <c r="E45" i="9"/>
  <c r="D46" i="9" s="1"/>
  <c r="E37" i="9"/>
  <c r="D38" i="9" s="1"/>
  <c r="E44" i="9"/>
  <c r="D45" i="9" s="1"/>
  <c r="F44" i="9"/>
  <c r="E43" i="9"/>
  <c r="D44" i="9" s="1"/>
  <c r="BJ19" i="9"/>
  <c r="BH15" i="9"/>
  <c r="BH7" i="9"/>
  <c r="BG8" i="9"/>
  <c r="BF9" i="9" s="1"/>
  <c r="BH14" i="9"/>
  <c r="BH6" i="9"/>
  <c r="BG7" i="9"/>
  <c r="BF8" i="9" s="1"/>
  <c r="BH13" i="9"/>
  <c r="BG14" i="9"/>
  <c r="BF15" i="9" s="1"/>
  <c r="BG6" i="9"/>
  <c r="BF7" i="9" s="1"/>
  <c r="BH12" i="9"/>
  <c r="BG13" i="9"/>
  <c r="BF14" i="9" s="1"/>
  <c r="BG5" i="9"/>
  <c r="BF6" i="9" s="1"/>
  <c r="BH11" i="9"/>
  <c r="BG12" i="9"/>
  <c r="BF13" i="9" s="1"/>
  <c r="BH10" i="9"/>
  <c r="BG11" i="9"/>
  <c r="BF12" i="9" s="1"/>
  <c r="BH9" i="9"/>
  <c r="BG10" i="9"/>
  <c r="BF11" i="9" s="1"/>
  <c r="BH8" i="9"/>
  <c r="BG9" i="9"/>
  <c r="BF10" i="9" s="1"/>
  <c r="BD19" i="9"/>
  <c r="BB9" i="9"/>
  <c r="BA12" i="9"/>
  <c r="AZ13" i="9" s="1"/>
  <c r="BB8" i="9"/>
  <c r="BA11" i="9"/>
  <c r="AZ12" i="9" s="1"/>
  <c r="BB15" i="9"/>
  <c r="BB7" i="9"/>
  <c r="BA10" i="9"/>
  <c r="AZ11" i="9" s="1"/>
  <c r="BB14" i="9"/>
  <c r="BB6" i="9"/>
  <c r="BA9" i="9"/>
  <c r="AZ10" i="9" s="1"/>
  <c r="BB13" i="9"/>
  <c r="BA8" i="9"/>
  <c r="AZ9" i="9" s="1"/>
  <c r="BB12" i="9"/>
  <c r="BA7" i="9"/>
  <c r="AZ8" i="9" s="1"/>
  <c r="BB11" i="9"/>
  <c r="BA14" i="9"/>
  <c r="AZ15" i="9" s="1"/>
  <c r="BA6" i="9"/>
  <c r="AZ7" i="9" s="1"/>
  <c r="BB10" i="9"/>
  <c r="BA13" i="9"/>
  <c r="AZ14" i="9" s="1"/>
  <c r="BA5" i="9"/>
  <c r="AZ6" i="9" s="1"/>
  <c r="AX19" i="9"/>
  <c r="AV11" i="9"/>
  <c r="AU8" i="9"/>
  <c r="AT9" i="9" s="1"/>
  <c r="AV12" i="9"/>
  <c r="AV10" i="9"/>
  <c r="AU7" i="9"/>
  <c r="AT8" i="9" s="1"/>
  <c r="AU9" i="9"/>
  <c r="AT10" i="9" s="1"/>
  <c r="AV9" i="9"/>
  <c r="AU14" i="9"/>
  <c r="AT15" i="9" s="1"/>
  <c r="AU6" i="9"/>
  <c r="AT7" i="9" s="1"/>
  <c r="AV8" i="9"/>
  <c r="AU13" i="9"/>
  <c r="AT14" i="9" s="1"/>
  <c r="AU5" i="9"/>
  <c r="AT6" i="9" s="1"/>
  <c r="AV15" i="9"/>
  <c r="AV7" i="9"/>
  <c r="AU12" i="9"/>
  <c r="AT13" i="9" s="1"/>
  <c r="AV14" i="9"/>
  <c r="AV6" i="9"/>
  <c r="AU11" i="9"/>
  <c r="AT12" i="9" s="1"/>
  <c r="AV13" i="9"/>
  <c r="AU10" i="9"/>
  <c r="AT11" i="9" s="1"/>
  <c r="AR19" i="9"/>
  <c r="AP13" i="9"/>
  <c r="AO12" i="9"/>
  <c r="AN13" i="9" s="1"/>
  <c r="AP12" i="9"/>
  <c r="AO11" i="9"/>
  <c r="AN12" i="9" s="1"/>
  <c r="AP11" i="9"/>
  <c r="AO10" i="9"/>
  <c r="AN11" i="9" s="1"/>
  <c r="AP10" i="9"/>
  <c r="AO9" i="9"/>
  <c r="AN10" i="9" s="1"/>
  <c r="AP9" i="9"/>
  <c r="AO8" i="9"/>
  <c r="AN9" i="9" s="1"/>
  <c r="AP8" i="9"/>
  <c r="AO7" i="9"/>
  <c r="AN8" i="9" s="1"/>
  <c r="AP15" i="9"/>
  <c r="AP7" i="9"/>
  <c r="AO14" i="9"/>
  <c r="AN15" i="9" s="1"/>
  <c r="AO6" i="9"/>
  <c r="AN7" i="9" s="1"/>
  <c r="AP14" i="9"/>
  <c r="AP6" i="9"/>
  <c r="AO13" i="9"/>
  <c r="AN14" i="9" s="1"/>
  <c r="AO5" i="9"/>
  <c r="AN6" i="9" s="1"/>
  <c r="AL19" i="9"/>
  <c r="AJ15" i="9"/>
  <c r="AJ7" i="9"/>
  <c r="AI8" i="9"/>
  <c r="AH9" i="9" s="1"/>
  <c r="AJ14" i="9"/>
  <c r="AJ6" i="9"/>
  <c r="AI7" i="9"/>
  <c r="AH8" i="9" s="1"/>
  <c r="AJ13" i="9"/>
  <c r="AI14" i="9"/>
  <c r="AH15" i="9" s="1"/>
  <c r="AI6" i="9"/>
  <c r="AH7" i="9" s="1"/>
  <c r="AJ12" i="9"/>
  <c r="AI13" i="9"/>
  <c r="AH14" i="9" s="1"/>
  <c r="AI5" i="9"/>
  <c r="AH6" i="9" s="1"/>
  <c r="AJ11" i="9"/>
  <c r="AI12" i="9"/>
  <c r="AH13" i="9" s="1"/>
  <c r="AJ10" i="9"/>
  <c r="AI11" i="9"/>
  <c r="AH12" i="9" s="1"/>
  <c r="AJ9" i="9"/>
  <c r="AI10" i="9"/>
  <c r="AH11" i="9" s="1"/>
  <c r="AJ8" i="9"/>
  <c r="AI9" i="9"/>
  <c r="AH10" i="9" s="1"/>
  <c r="AF19" i="9"/>
  <c r="AD9" i="9"/>
  <c r="AC12" i="9"/>
  <c r="AB13" i="9" s="1"/>
  <c r="AD8" i="9"/>
  <c r="AC11" i="9"/>
  <c r="AB12" i="9" s="1"/>
  <c r="AD15" i="9"/>
  <c r="AD7" i="9"/>
  <c r="AC10" i="9"/>
  <c r="AB11" i="9" s="1"/>
  <c r="AD14" i="9"/>
  <c r="AD6" i="9"/>
  <c r="AC9" i="9"/>
  <c r="AB10" i="9" s="1"/>
  <c r="AD13" i="9"/>
  <c r="AC8" i="9"/>
  <c r="AB9" i="9" s="1"/>
  <c r="AC5" i="9"/>
  <c r="AB6" i="9" s="1"/>
  <c r="AD12" i="9"/>
  <c r="AC7" i="9"/>
  <c r="AB8" i="9" s="1"/>
  <c r="AD11" i="9"/>
  <c r="AC14" i="9"/>
  <c r="AB15" i="9" s="1"/>
  <c r="AC6" i="9"/>
  <c r="AB7" i="9" s="1"/>
  <c r="AD10" i="9"/>
  <c r="AC13" i="9"/>
  <c r="AB14" i="9" s="1"/>
  <c r="Z19" i="9"/>
  <c r="X11" i="9"/>
  <c r="W8" i="9"/>
  <c r="V9" i="9" s="1"/>
  <c r="X10" i="9"/>
  <c r="W7" i="9"/>
  <c r="V8" i="9" s="1"/>
  <c r="X9" i="9"/>
  <c r="W14" i="9"/>
  <c r="V15" i="9" s="1"/>
  <c r="W6" i="9"/>
  <c r="V7" i="9" s="1"/>
  <c r="X8" i="9"/>
  <c r="W13" i="9"/>
  <c r="V14" i="9" s="1"/>
  <c r="W5" i="9"/>
  <c r="V6" i="9" s="1"/>
  <c r="X15" i="9"/>
  <c r="X7" i="9"/>
  <c r="W12" i="9"/>
  <c r="V13" i="9" s="1"/>
  <c r="X14" i="9"/>
  <c r="X6" i="9"/>
  <c r="W11" i="9"/>
  <c r="V12" i="9" s="1"/>
  <c r="X13" i="9"/>
  <c r="W10" i="9"/>
  <c r="V11" i="9" s="1"/>
  <c r="X12" i="9"/>
  <c r="W9" i="9"/>
  <c r="V10" i="9" s="1"/>
  <c r="R13" i="9"/>
  <c r="Q12" i="9"/>
  <c r="P13" i="9" s="1"/>
  <c r="R12" i="9"/>
  <c r="Q11" i="9"/>
  <c r="P12" i="9" s="1"/>
  <c r="R11" i="9"/>
  <c r="Q10" i="9"/>
  <c r="P11" i="9" s="1"/>
  <c r="R10" i="9"/>
  <c r="Q9" i="9"/>
  <c r="P10" i="9" s="1"/>
  <c r="R9" i="9"/>
  <c r="Q8" i="9"/>
  <c r="P9" i="9" s="1"/>
  <c r="R8" i="9"/>
  <c r="Q7" i="9"/>
  <c r="P8" i="9" s="1"/>
  <c r="R15" i="9"/>
  <c r="R7" i="9"/>
  <c r="Q14" i="9"/>
  <c r="P15" i="9" s="1"/>
  <c r="Q6" i="9"/>
  <c r="P7" i="9" s="1"/>
  <c r="R14" i="9"/>
  <c r="R6" i="9"/>
  <c r="Q13" i="9"/>
  <c r="P14" i="9" s="1"/>
  <c r="Q5" i="9"/>
  <c r="P6" i="9" s="1"/>
  <c r="L15" i="9"/>
  <c r="L7" i="9"/>
  <c r="K8" i="9"/>
  <c r="J9" i="9" s="1"/>
  <c r="L14" i="9"/>
  <c r="L6" i="9"/>
  <c r="K7" i="9"/>
  <c r="J8" i="9" s="1"/>
  <c r="L13" i="9"/>
  <c r="K14" i="9"/>
  <c r="J15" i="9" s="1"/>
  <c r="K6" i="9"/>
  <c r="J7" i="9" s="1"/>
  <c r="L12" i="9"/>
  <c r="K13" i="9"/>
  <c r="J14" i="9" s="1"/>
  <c r="K5" i="9"/>
  <c r="J6" i="9" s="1"/>
  <c r="L11" i="9"/>
  <c r="K12" i="9"/>
  <c r="J13" i="9" s="1"/>
  <c r="L10" i="9"/>
  <c r="K11" i="9"/>
  <c r="J12" i="9" s="1"/>
  <c r="L9" i="9"/>
  <c r="K10" i="9"/>
  <c r="J11" i="9" s="1"/>
  <c r="L8" i="9"/>
  <c r="K9" i="9"/>
  <c r="J10" i="9" s="1"/>
  <c r="I53" i="20"/>
  <c r="I37" i="20"/>
  <c r="I29" i="20"/>
  <c r="I21" i="20"/>
  <c r="I13" i="20"/>
  <c r="L56" i="16"/>
  <c r="L54" i="20"/>
  <c r="L46" i="20"/>
  <c r="L38" i="20"/>
  <c r="L30" i="20"/>
  <c r="L22" i="20"/>
  <c r="L14" i="20"/>
  <c r="Y58" i="10"/>
  <c r="I12" i="20"/>
  <c r="L45" i="20"/>
  <c r="L37" i="20"/>
  <c r="L21" i="20"/>
  <c r="L13" i="20"/>
  <c r="L52" i="20"/>
  <c r="L44" i="20"/>
  <c r="L36" i="20"/>
  <c r="L20" i="20"/>
  <c r="L12" i="20"/>
  <c r="I7" i="20"/>
  <c r="Z58" i="10"/>
  <c r="BJ51" i="9"/>
  <c r="H51" i="9"/>
  <c r="N148" i="9"/>
  <c r="BJ148" i="9"/>
  <c r="Z51" i="9"/>
  <c r="H84" i="9"/>
  <c r="AF84" i="9"/>
  <c r="BD84" i="9"/>
  <c r="Z116" i="9"/>
  <c r="BD116" i="9"/>
  <c r="N19" i="9"/>
  <c r="T19" i="9"/>
  <c r="L55" i="20"/>
  <c r="L47" i="20"/>
  <c r="L39" i="20"/>
  <c r="L31" i="20"/>
  <c r="L23" i="20"/>
  <c r="L15" i="20"/>
  <c r="G31" i="21"/>
  <c r="F31" i="21"/>
  <c r="P17" i="21"/>
  <c r="O17" i="21"/>
  <c r="G17" i="21"/>
  <c r="F17" i="21"/>
  <c r="P3" i="21"/>
  <c r="O3" i="21"/>
  <c r="BH150" i="9" l="1"/>
  <c r="BG150" i="9"/>
  <c r="BF151" i="9" s="1"/>
  <c r="BB150" i="9"/>
  <c r="BA150" i="9"/>
  <c r="AZ151" i="9" s="1"/>
  <c r="AV150" i="9"/>
  <c r="AU150" i="9"/>
  <c r="AT151" i="9" s="1"/>
  <c r="AP150" i="9"/>
  <c r="AO150" i="9"/>
  <c r="AN151" i="9" s="1"/>
  <c r="AJ150" i="9"/>
  <c r="AI150" i="9"/>
  <c r="AH151" i="9" s="1"/>
  <c r="AC150" i="9"/>
  <c r="AB151" i="9" s="1"/>
  <c r="AD150" i="9"/>
  <c r="X150" i="9"/>
  <c r="W150" i="9"/>
  <c r="V151" i="9" s="1"/>
  <c r="R150" i="9"/>
  <c r="Q150" i="9"/>
  <c r="P151" i="9" s="1"/>
  <c r="K150" i="9"/>
  <c r="J151" i="9" s="1"/>
  <c r="L150" i="9"/>
  <c r="F150" i="9"/>
  <c r="E150" i="9"/>
  <c r="D151" i="9" s="1"/>
  <c r="BH118" i="9"/>
  <c r="BG118" i="9"/>
  <c r="BF119" i="9" s="1"/>
  <c r="BA118" i="9"/>
  <c r="AZ119" i="9" s="1"/>
  <c r="BB118" i="9"/>
  <c r="AV118" i="9"/>
  <c r="AU118" i="9"/>
  <c r="AT119" i="9" s="1"/>
  <c r="AP118" i="9"/>
  <c r="AO118" i="9"/>
  <c r="AN119" i="9" s="1"/>
  <c r="AJ118" i="9"/>
  <c r="AI118" i="9"/>
  <c r="AH119" i="9" s="1"/>
  <c r="AC118" i="9"/>
  <c r="AB119" i="9" s="1"/>
  <c r="AD118" i="9"/>
  <c r="W118" i="9"/>
  <c r="V119" i="9" s="1"/>
  <c r="X118" i="9"/>
  <c r="R118" i="9"/>
  <c r="Q118" i="9"/>
  <c r="P119" i="9" s="1"/>
  <c r="L118" i="9"/>
  <c r="K118" i="9"/>
  <c r="J119" i="9" s="1"/>
  <c r="E118" i="9"/>
  <c r="D119" i="9" s="1"/>
  <c r="F118" i="9"/>
  <c r="BH86" i="9"/>
  <c r="BG86" i="9"/>
  <c r="BF87" i="9" s="1"/>
  <c r="BB86" i="9"/>
  <c r="BA86" i="9"/>
  <c r="AZ87" i="9" s="1"/>
  <c r="AV86" i="9"/>
  <c r="AU86" i="9"/>
  <c r="AT87" i="9" s="1"/>
  <c r="AO86" i="9"/>
  <c r="AN87" i="9" s="1"/>
  <c r="AP86" i="9"/>
  <c r="AJ86" i="9"/>
  <c r="AI86" i="9"/>
  <c r="AH87" i="9" s="1"/>
  <c r="AC86" i="9"/>
  <c r="AB87" i="9" s="1"/>
  <c r="AD86" i="9"/>
  <c r="X86" i="9"/>
  <c r="W86" i="9"/>
  <c r="V87" i="9" s="1"/>
  <c r="Q86" i="9"/>
  <c r="P87" i="9" s="1"/>
  <c r="R86" i="9"/>
  <c r="K86" i="9"/>
  <c r="J87" i="9" s="1"/>
  <c r="L86" i="9"/>
  <c r="F86" i="9"/>
  <c r="E86" i="9"/>
  <c r="D87" i="9" s="1"/>
  <c r="BG53" i="9"/>
  <c r="BF54" i="9" s="1"/>
  <c r="BH53" i="9"/>
  <c r="BA53" i="9"/>
  <c r="AZ54" i="9" s="1"/>
  <c r="BB53" i="9"/>
  <c r="AU53" i="9"/>
  <c r="AT54" i="9" s="1"/>
  <c r="AV53" i="9"/>
  <c r="AO53" i="9"/>
  <c r="AN54" i="9" s="1"/>
  <c r="AP53" i="9"/>
  <c r="AJ53" i="9"/>
  <c r="AI53" i="9"/>
  <c r="AH54" i="9" s="1"/>
  <c r="AD53" i="9"/>
  <c r="AC53" i="9"/>
  <c r="AB54" i="9" s="1"/>
  <c r="W53" i="9"/>
  <c r="V54" i="9" s="1"/>
  <c r="X53" i="9"/>
  <c r="Q53" i="9"/>
  <c r="P54" i="9" s="1"/>
  <c r="R53" i="9"/>
  <c r="K53" i="9"/>
  <c r="J54" i="9" s="1"/>
  <c r="L53" i="9"/>
  <c r="F53" i="9"/>
  <c r="E53" i="9"/>
  <c r="D54" i="9" s="1"/>
  <c r="BG21" i="9"/>
  <c r="BF22" i="9" s="1"/>
  <c r="BH21" i="9"/>
  <c r="BB21" i="9"/>
  <c r="BA21" i="9"/>
  <c r="AZ22" i="9" s="1"/>
  <c r="AU21" i="9"/>
  <c r="AT22" i="9" s="1"/>
  <c r="AV21" i="9"/>
  <c r="AO21" i="9"/>
  <c r="AN22" i="9" s="1"/>
  <c r="AP21" i="9"/>
  <c r="AI21" i="9"/>
  <c r="AH22" i="9" s="1"/>
  <c r="AJ21" i="9"/>
  <c r="AC21" i="9"/>
  <c r="AB22" i="9" s="1"/>
  <c r="AD21" i="9"/>
  <c r="X21" i="9"/>
  <c r="W21" i="9"/>
  <c r="V22" i="9" s="1"/>
  <c r="Q21" i="9"/>
  <c r="P22" i="9" s="1"/>
  <c r="R21" i="9"/>
  <c r="K21" i="9"/>
  <c r="J22" i="9" s="1"/>
  <c r="L21" i="9"/>
  <c r="H9" i="13"/>
  <c r="J43" i="9" l="1"/>
  <c r="J44" i="9"/>
  <c r="J39" i="9"/>
  <c r="J42" i="9"/>
  <c r="J47" i="9"/>
  <c r="J46" i="9"/>
  <c r="J41" i="9"/>
  <c r="J40" i="9"/>
  <c r="J38" i="9"/>
  <c r="J45" i="9"/>
  <c r="P57" i="20"/>
  <c r="K34" i="1" s="1"/>
  <c r="R57" i="20"/>
  <c r="K36" i="1" s="1"/>
  <c r="S57" i="20"/>
  <c r="AD57" i="20"/>
  <c r="AE57" i="20"/>
  <c r="I57" i="20"/>
  <c r="K27" i="1" s="1"/>
  <c r="J57" i="20"/>
  <c r="K28" i="1" s="1"/>
  <c r="F3" i="21" l="1"/>
  <c r="AB7" i="20" l="1"/>
  <c r="AB57" i="20" s="1"/>
  <c r="Y30" i="1" s="1"/>
  <c r="Y7" i="20"/>
  <c r="Y57" i="20" s="1"/>
  <c r="Y31" i="1" s="1"/>
  <c r="W7" i="20"/>
  <c r="W57" i="20" s="1"/>
  <c r="Y28" i="1" s="1"/>
  <c r="V7" i="20"/>
  <c r="V57" i="20" s="1"/>
  <c r="Y27" i="1" s="1"/>
  <c r="N7" i="20"/>
  <c r="N57" i="20" s="1"/>
  <c r="K32" i="1" s="1"/>
  <c r="M7" i="20"/>
  <c r="M57" i="20" s="1"/>
  <c r="K31" i="1" s="1"/>
  <c r="L7" i="20"/>
  <c r="L57" i="20" s="1"/>
  <c r="K30" i="1" s="1"/>
  <c r="J8" i="8"/>
  <c r="H57" i="20" l="1"/>
  <c r="K26" i="1" s="1"/>
  <c r="E63" i="1"/>
  <c r="E61" i="1"/>
  <c r="E62" i="1"/>
  <c r="E60" i="1"/>
  <c r="V9" i="10" l="1"/>
  <c r="O8" i="20" s="1"/>
  <c r="V17" i="10"/>
  <c r="O16" i="20" s="1"/>
  <c r="V25" i="10"/>
  <c r="O24" i="20" s="1"/>
  <c r="V33" i="10"/>
  <c r="O32" i="20" s="1"/>
  <c r="V41" i="10"/>
  <c r="O40" i="20" s="1"/>
  <c r="V49" i="10"/>
  <c r="O48" i="20" s="1"/>
  <c r="V57" i="10"/>
  <c r="O56" i="20" s="1"/>
  <c r="V54" i="10"/>
  <c r="O53" i="20" s="1"/>
  <c r="V31" i="10"/>
  <c r="O30" i="20" s="1"/>
  <c r="V10" i="10"/>
  <c r="O9" i="20" s="1"/>
  <c r="V18" i="10"/>
  <c r="O17" i="20" s="1"/>
  <c r="V26" i="10"/>
  <c r="O25" i="20" s="1"/>
  <c r="V34" i="10"/>
  <c r="O33" i="20" s="1"/>
  <c r="V42" i="10"/>
  <c r="O41" i="20" s="1"/>
  <c r="V50" i="10"/>
  <c r="O49" i="20" s="1"/>
  <c r="V8" i="10"/>
  <c r="AD8" i="10" s="1"/>
  <c r="V30" i="10"/>
  <c r="O29" i="20" s="1"/>
  <c r="V48" i="10"/>
  <c r="O47" i="20" s="1"/>
  <c r="V11" i="10"/>
  <c r="O10" i="20" s="1"/>
  <c r="V19" i="10"/>
  <c r="O18" i="20" s="1"/>
  <c r="V27" i="10"/>
  <c r="O26" i="20" s="1"/>
  <c r="V35" i="10"/>
  <c r="O34" i="20" s="1"/>
  <c r="V43" i="10"/>
  <c r="O42" i="20" s="1"/>
  <c r="V51" i="10"/>
  <c r="O50" i="20" s="1"/>
  <c r="V53" i="10"/>
  <c r="O52" i="20" s="1"/>
  <c r="V46" i="10"/>
  <c r="O45" i="20" s="1"/>
  <c r="V15" i="10"/>
  <c r="O14" i="20" s="1"/>
  <c r="V12" i="10"/>
  <c r="O11" i="20" s="1"/>
  <c r="V20" i="10"/>
  <c r="O19" i="20" s="1"/>
  <c r="V28" i="10"/>
  <c r="O27" i="20" s="1"/>
  <c r="V36" i="10"/>
  <c r="O35" i="20" s="1"/>
  <c r="V44" i="10"/>
  <c r="O43" i="20" s="1"/>
  <c r="V52" i="10"/>
  <c r="O51" i="20" s="1"/>
  <c r="V45" i="10"/>
  <c r="O44" i="20" s="1"/>
  <c r="V22" i="10"/>
  <c r="O21" i="20" s="1"/>
  <c r="V23" i="10"/>
  <c r="O22" i="20" s="1"/>
  <c r="V55" i="10"/>
  <c r="O54" i="20" s="1"/>
  <c r="V13" i="10"/>
  <c r="O12" i="20" s="1"/>
  <c r="V21" i="10"/>
  <c r="O20" i="20" s="1"/>
  <c r="V29" i="10"/>
  <c r="O28" i="20" s="1"/>
  <c r="V37" i="10"/>
  <c r="O36" i="20" s="1"/>
  <c r="V38" i="10"/>
  <c r="O37" i="20" s="1"/>
  <c r="V39" i="10"/>
  <c r="O38" i="20" s="1"/>
  <c r="V14" i="10"/>
  <c r="O13" i="20" s="1"/>
  <c r="V47" i="10"/>
  <c r="O46" i="20" s="1"/>
  <c r="V16" i="10"/>
  <c r="O15" i="20" s="1"/>
  <c r="V24" i="10"/>
  <c r="O23" i="20" s="1"/>
  <c r="V32" i="10"/>
  <c r="O31" i="20" s="1"/>
  <c r="V40" i="10"/>
  <c r="O39" i="20" s="1"/>
  <c r="V56" i="10"/>
  <c r="O55" i="20" s="1"/>
  <c r="O7" i="20" l="1"/>
  <c r="O57" i="20" s="1"/>
  <c r="K33" i="1" s="1"/>
  <c r="M8" i="11"/>
  <c r="L8" i="12" s="1"/>
  <c r="M9" i="11"/>
  <c r="L9" i="12" s="1"/>
  <c r="M10" i="11"/>
  <c r="L10" i="12" s="1"/>
  <c r="M11" i="11"/>
  <c r="L11" i="12" s="1"/>
  <c r="M12" i="11"/>
  <c r="L12" i="12" s="1"/>
  <c r="M13" i="11"/>
  <c r="L13" i="12" s="1"/>
  <c r="M14" i="11"/>
  <c r="L14" i="12" s="1"/>
  <c r="M15" i="11"/>
  <c r="L15" i="12" s="1"/>
  <c r="M16" i="11"/>
  <c r="L16" i="12" s="1"/>
  <c r="M17" i="11"/>
  <c r="L17" i="12" s="1"/>
  <c r="M18" i="11"/>
  <c r="L18" i="12" s="1"/>
  <c r="M19" i="11"/>
  <c r="L19" i="12" s="1"/>
  <c r="M20" i="11"/>
  <c r="L20" i="12" s="1"/>
  <c r="M21" i="11"/>
  <c r="L21" i="12" s="1"/>
  <c r="M22" i="11"/>
  <c r="L22" i="12" s="1"/>
  <c r="M23" i="11"/>
  <c r="L23" i="12" s="1"/>
  <c r="M24" i="11"/>
  <c r="L24" i="12" s="1"/>
  <c r="M25" i="11"/>
  <c r="L25" i="12" s="1"/>
  <c r="M26" i="11"/>
  <c r="L26" i="12" s="1"/>
  <c r="M27" i="11"/>
  <c r="L27" i="12" s="1"/>
  <c r="M28" i="11"/>
  <c r="L28" i="12" s="1"/>
  <c r="M29" i="11"/>
  <c r="L29" i="12" s="1"/>
  <c r="M30" i="11"/>
  <c r="L30" i="12" s="1"/>
  <c r="M31" i="11"/>
  <c r="L31" i="12" s="1"/>
  <c r="M32" i="11"/>
  <c r="L32" i="12" s="1"/>
  <c r="M33" i="11"/>
  <c r="L33" i="12" s="1"/>
  <c r="M34" i="11"/>
  <c r="L34" i="12" s="1"/>
  <c r="M35" i="11"/>
  <c r="L35" i="12" s="1"/>
  <c r="M36" i="11"/>
  <c r="L36" i="12" s="1"/>
  <c r="M37" i="11"/>
  <c r="L37" i="12" s="1"/>
  <c r="M38" i="11"/>
  <c r="L38" i="12" s="1"/>
  <c r="M39" i="11"/>
  <c r="L39" i="12" s="1"/>
  <c r="M40" i="11"/>
  <c r="L40" i="12" s="1"/>
  <c r="M41" i="11"/>
  <c r="L41" i="12" s="1"/>
  <c r="M42" i="11"/>
  <c r="L42" i="12" s="1"/>
  <c r="M43" i="11"/>
  <c r="L43" i="12" s="1"/>
  <c r="M44" i="11"/>
  <c r="L44" i="12" s="1"/>
  <c r="M45" i="11"/>
  <c r="L45" i="12" s="1"/>
  <c r="M46" i="11"/>
  <c r="L46" i="12" s="1"/>
  <c r="M47" i="11"/>
  <c r="L47" i="12" s="1"/>
  <c r="M48" i="11"/>
  <c r="L48" i="12" s="1"/>
  <c r="M49" i="11"/>
  <c r="L49" i="12" s="1"/>
  <c r="M50" i="11"/>
  <c r="L50" i="12" s="1"/>
  <c r="M51" i="11"/>
  <c r="L51" i="12" s="1"/>
  <c r="M52" i="11"/>
  <c r="L52" i="12" s="1"/>
  <c r="M53" i="11"/>
  <c r="L53" i="12" s="1"/>
  <c r="M54" i="11"/>
  <c r="L54" i="12" s="1"/>
  <c r="M55" i="11"/>
  <c r="L55" i="12" s="1"/>
  <c r="M56" i="11"/>
  <c r="L56" i="12" s="1"/>
  <c r="M7" i="11"/>
  <c r="L7" i="12" s="1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9" i="10"/>
  <c r="AD10" i="10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7" i="12"/>
  <c r="L57" i="12" l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8" i="13"/>
  <c r="G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8" i="13"/>
  <c r="F7" i="13"/>
  <c r="G8" i="11"/>
  <c r="G9" i="11"/>
  <c r="G10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7" i="11"/>
  <c r="U3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8" i="13"/>
  <c r="I7" i="13"/>
  <c r="L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8" i="13"/>
  <c r="H7" i="13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8" i="10"/>
  <c r="J9" i="8"/>
  <c r="J10" i="8"/>
  <c r="J11" i="8"/>
  <c r="G10" i="12" s="1"/>
  <c r="J12" i="8"/>
  <c r="G11" i="12" s="1"/>
  <c r="J13" i="8"/>
  <c r="G12" i="12" s="1"/>
  <c r="J14" i="8"/>
  <c r="G13" i="12" s="1"/>
  <c r="J15" i="8"/>
  <c r="G14" i="12" s="1"/>
  <c r="J16" i="8"/>
  <c r="G15" i="12" s="1"/>
  <c r="J17" i="8"/>
  <c r="G16" i="12" s="1"/>
  <c r="J18" i="8"/>
  <c r="G17" i="12" s="1"/>
  <c r="J19" i="8"/>
  <c r="G18" i="12" s="1"/>
  <c r="J20" i="8"/>
  <c r="G19" i="12" s="1"/>
  <c r="J21" i="8"/>
  <c r="G20" i="12" s="1"/>
  <c r="J22" i="8"/>
  <c r="G21" i="12" s="1"/>
  <c r="J23" i="8"/>
  <c r="G22" i="12" s="1"/>
  <c r="J24" i="8"/>
  <c r="G23" i="12" s="1"/>
  <c r="J25" i="8"/>
  <c r="G24" i="12" s="1"/>
  <c r="J26" i="8"/>
  <c r="G25" i="12" s="1"/>
  <c r="J27" i="8"/>
  <c r="G26" i="12" s="1"/>
  <c r="J28" i="8"/>
  <c r="G27" i="12" s="1"/>
  <c r="J29" i="8"/>
  <c r="G28" i="12" s="1"/>
  <c r="J30" i="8"/>
  <c r="G29" i="12" s="1"/>
  <c r="J31" i="8"/>
  <c r="G30" i="12" s="1"/>
  <c r="J32" i="8"/>
  <c r="G31" i="12" s="1"/>
  <c r="J33" i="8"/>
  <c r="G32" i="12" s="1"/>
  <c r="J34" i="8"/>
  <c r="G33" i="12" s="1"/>
  <c r="J35" i="8"/>
  <c r="G34" i="12" s="1"/>
  <c r="J36" i="8"/>
  <c r="G35" i="12" s="1"/>
  <c r="J37" i="8"/>
  <c r="G36" i="12" s="1"/>
  <c r="J38" i="8"/>
  <c r="G37" i="12" s="1"/>
  <c r="J39" i="8"/>
  <c r="G38" i="12" s="1"/>
  <c r="J40" i="8"/>
  <c r="G39" i="12" s="1"/>
  <c r="J41" i="8"/>
  <c r="G40" i="12" s="1"/>
  <c r="J42" i="8"/>
  <c r="G41" i="12" s="1"/>
  <c r="J43" i="8"/>
  <c r="G42" i="12" s="1"/>
  <c r="J44" i="8"/>
  <c r="G43" i="12" s="1"/>
  <c r="J45" i="8"/>
  <c r="G44" i="12" s="1"/>
  <c r="J46" i="8"/>
  <c r="G45" i="12" s="1"/>
  <c r="J47" i="8"/>
  <c r="G46" i="12" s="1"/>
  <c r="J48" i="8"/>
  <c r="G47" i="12" s="1"/>
  <c r="J49" i="8"/>
  <c r="G48" i="12" s="1"/>
  <c r="J50" i="8"/>
  <c r="G49" i="12" s="1"/>
  <c r="J51" i="8"/>
  <c r="G50" i="12" s="1"/>
  <c r="J52" i="8"/>
  <c r="G51" i="12" s="1"/>
  <c r="J53" i="8"/>
  <c r="G52" i="12" s="1"/>
  <c r="J54" i="8"/>
  <c r="G53" i="12" s="1"/>
  <c r="J55" i="8"/>
  <c r="G54" i="12" s="1"/>
  <c r="J56" i="8"/>
  <c r="G55" i="12" s="1"/>
  <c r="J57" i="8"/>
  <c r="G56" i="12" s="1"/>
  <c r="G9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F9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8" i="8"/>
  <c r="G3" i="21"/>
  <c r="I2" i="13"/>
  <c r="G3" i="13"/>
  <c r="H2" i="8"/>
  <c r="G9" i="12" l="1"/>
  <c r="Q18" i="13"/>
  <c r="S56" i="13"/>
  <c r="U56" i="13"/>
  <c r="Q16" i="13"/>
  <c r="S16" i="13"/>
  <c r="Q41" i="13"/>
  <c r="U39" i="13"/>
  <c r="S46" i="13"/>
  <c r="O38" i="13"/>
  <c r="U37" i="13"/>
  <c r="S37" i="13"/>
  <c r="Q37" i="13"/>
  <c r="S29" i="13"/>
  <c r="L50" i="13"/>
  <c r="I51" i="10" s="1"/>
  <c r="J51" i="10" s="1"/>
  <c r="L42" i="13"/>
  <c r="W42" i="13" s="1"/>
  <c r="L34" i="13"/>
  <c r="W34" i="13" s="1"/>
  <c r="O34" i="13"/>
  <c r="L19" i="13"/>
  <c r="W19" i="13" s="1"/>
  <c r="O19" i="13"/>
  <c r="L25" i="13"/>
  <c r="W25" i="13" s="1"/>
  <c r="L17" i="13"/>
  <c r="W17" i="13" s="1"/>
  <c r="O17" i="13"/>
  <c r="L24" i="13"/>
  <c r="I25" i="10" s="1"/>
  <c r="J25" i="10" s="1"/>
  <c r="O24" i="13"/>
  <c r="L16" i="13"/>
  <c r="I17" i="10" s="1"/>
  <c r="J17" i="10" s="1"/>
  <c r="O16" i="13"/>
  <c r="L27" i="13"/>
  <c r="W27" i="13" s="1"/>
  <c r="O27" i="13"/>
  <c r="L23" i="13"/>
  <c r="I24" i="10" s="1"/>
  <c r="J24" i="10" s="1"/>
  <c r="L15" i="13"/>
  <c r="W15" i="13" s="1"/>
  <c r="L30" i="13"/>
  <c r="W30" i="13" s="1"/>
  <c r="L22" i="13"/>
  <c r="I23" i="10" s="1"/>
  <c r="J23" i="10" s="1"/>
  <c r="L14" i="13"/>
  <c r="I15" i="10" s="1"/>
  <c r="J15" i="10" s="1"/>
  <c r="O35" i="13"/>
  <c r="L11" i="13"/>
  <c r="W11" i="13" s="1"/>
  <c r="L29" i="13"/>
  <c r="I30" i="10" s="1"/>
  <c r="J30" i="10" s="1"/>
  <c r="O29" i="13"/>
  <c r="L21" i="13"/>
  <c r="I22" i="10" s="1"/>
  <c r="J22" i="10" s="1"/>
  <c r="L13" i="13"/>
  <c r="W13" i="13" s="1"/>
  <c r="O36" i="13"/>
  <c r="L28" i="13"/>
  <c r="I29" i="10" s="1"/>
  <c r="J29" i="10" s="1"/>
  <c r="L20" i="13"/>
  <c r="I21" i="10" s="1"/>
  <c r="J21" i="10" s="1"/>
  <c r="L12" i="13"/>
  <c r="I13" i="10" s="1"/>
  <c r="J13" i="10" s="1"/>
  <c r="G8" i="12"/>
  <c r="J19" i="13"/>
  <c r="M19" i="13" s="1"/>
  <c r="U19" i="13" s="1"/>
  <c r="J35" i="13"/>
  <c r="M35" i="13" s="1"/>
  <c r="U35" i="13" s="1"/>
  <c r="J45" i="13"/>
  <c r="M45" i="13" s="1"/>
  <c r="S45" i="13" s="1"/>
  <c r="J37" i="13"/>
  <c r="M37" i="13" s="1"/>
  <c r="O37" i="13" s="1"/>
  <c r="J29" i="13"/>
  <c r="M29" i="13" s="1"/>
  <c r="Q29" i="13" s="1"/>
  <c r="J21" i="13"/>
  <c r="M21" i="13" s="1"/>
  <c r="U21" i="13" s="1"/>
  <c r="J13" i="13"/>
  <c r="M13" i="13" s="1"/>
  <c r="O13" i="13" s="1"/>
  <c r="J52" i="13"/>
  <c r="M52" i="13" s="1"/>
  <c r="U52" i="13" s="1"/>
  <c r="J44" i="13"/>
  <c r="M44" i="13" s="1"/>
  <c r="O44" i="13" s="1"/>
  <c r="J36" i="13"/>
  <c r="M36" i="13" s="1"/>
  <c r="S36" i="13" s="1"/>
  <c r="J51" i="13"/>
  <c r="M51" i="13" s="1"/>
  <c r="O51" i="13" s="1"/>
  <c r="J49" i="13"/>
  <c r="M49" i="13" s="1"/>
  <c r="O49" i="13" s="1"/>
  <c r="J41" i="13"/>
  <c r="M41" i="13" s="1"/>
  <c r="O41" i="13" s="1"/>
  <c r="J33" i="13"/>
  <c r="M33" i="13" s="1"/>
  <c r="S33" i="13" s="1"/>
  <c r="J25" i="13"/>
  <c r="M25" i="13" s="1"/>
  <c r="U25" i="13" s="1"/>
  <c r="J17" i="13"/>
  <c r="M17" i="13" s="1"/>
  <c r="S17" i="13" s="1"/>
  <c r="J53" i="13"/>
  <c r="M53" i="13" s="1"/>
  <c r="O53" i="13" s="1"/>
  <c r="L7" i="13"/>
  <c r="L8" i="13"/>
  <c r="I9" i="10" s="1"/>
  <c r="J9" i="10" s="1"/>
  <c r="J43" i="13"/>
  <c r="M43" i="13" s="1"/>
  <c r="S43" i="13" s="1"/>
  <c r="J27" i="13"/>
  <c r="M27" i="13" s="1"/>
  <c r="U27" i="13" s="1"/>
  <c r="J11" i="13"/>
  <c r="M11" i="13" s="1"/>
  <c r="U11" i="13" s="1"/>
  <c r="J12" i="13"/>
  <c r="M12" i="13" s="1"/>
  <c r="U12" i="13" s="1"/>
  <c r="L49" i="13"/>
  <c r="L41" i="13"/>
  <c r="L33" i="13"/>
  <c r="J50" i="13"/>
  <c r="M50" i="13" s="1"/>
  <c r="Q50" i="13" s="1"/>
  <c r="J42" i="13"/>
  <c r="M42" i="13" s="1"/>
  <c r="U42" i="13" s="1"/>
  <c r="J34" i="13"/>
  <c r="M34" i="13" s="1"/>
  <c r="U34" i="13" s="1"/>
  <c r="J26" i="13"/>
  <c r="M26" i="13" s="1"/>
  <c r="U26" i="13" s="1"/>
  <c r="J18" i="13"/>
  <c r="M18" i="13" s="1"/>
  <c r="U18" i="13" s="1"/>
  <c r="J10" i="13"/>
  <c r="M10" i="13" s="1"/>
  <c r="Q10" i="13" s="1"/>
  <c r="L56" i="13"/>
  <c r="L48" i="13"/>
  <c r="L40" i="13"/>
  <c r="L32" i="13"/>
  <c r="L55" i="13"/>
  <c r="L47" i="13"/>
  <c r="L39" i="13"/>
  <c r="L14" i="10"/>
  <c r="K13" i="20" s="1"/>
  <c r="N14" i="10"/>
  <c r="Q13" i="20" s="1"/>
  <c r="J56" i="13"/>
  <c r="M56" i="13" s="1"/>
  <c r="O56" i="13" s="1"/>
  <c r="J48" i="13"/>
  <c r="M48" i="13" s="1"/>
  <c r="Q48" i="13" s="1"/>
  <c r="J40" i="13"/>
  <c r="M40" i="13" s="1"/>
  <c r="O40" i="13" s="1"/>
  <c r="J32" i="13"/>
  <c r="M32" i="13" s="1"/>
  <c r="Q32" i="13" s="1"/>
  <c r="J24" i="13"/>
  <c r="M24" i="13" s="1"/>
  <c r="S24" i="13" s="1"/>
  <c r="J16" i="13"/>
  <c r="M16" i="13" s="1"/>
  <c r="U16" i="13" s="1"/>
  <c r="L54" i="13"/>
  <c r="L46" i="13"/>
  <c r="L38" i="13"/>
  <c r="L22" i="10"/>
  <c r="K21" i="20" s="1"/>
  <c r="N22" i="10"/>
  <c r="Q21" i="20" s="1"/>
  <c r="J55" i="13"/>
  <c r="M55" i="13" s="1"/>
  <c r="S55" i="13" s="1"/>
  <c r="J47" i="13"/>
  <c r="M47" i="13" s="1"/>
  <c r="O47" i="13" s="1"/>
  <c r="J39" i="13"/>
  <c r="M39" i="13" s="1"/>
  <c r="O39" i="13" s="1"/>
  <c r="J23" i="13"/>
  <c r="M23" i="13" s="1"/>
  <c r="U23" i="13" s="1"/>
  <c r="J15" i="13"/>
  <c r="M15" i="13" s="1"/>
  <c r="Q15" i="13" s="1"/>
  <c r="L53" i="13"/>
  <c r="L45" i="13"/>
  <c r="L37" i="13"/>
  <c r="J54" i="13"/>
  <c r="M54" i="13" s="1"/>
  <c r="U54" i="13" s="1"/>
  <c r="J46" i="13"/>
  <c r="M46" i="13" s="1"/>
  <c r="O46" i="13" s="1"/>
  <c r="J38" i="13"/>
  <c r="M38" i="13" s="1"/>
  <c r="U38" i="13" s="1"/>
  <c r="J30" i="13"/>
  <c r="M30" i="13" s="1"/>
  <c r="O30" i="13" s="1"/>
  <c r="J22" i="13"/>
  <c r="M22" i="13" s="1"/>
  <c r="Q22" i="13" s="1"/>
  <c r="J14" i="13"/>
  <c r="M14" i="13" s="1"/>
  <c r="U14" i="13" s="1"/>
  <c r="J28" i="13"/>
  <c r="M28" i="13" s="1"/>
  <c r="U28" i="13" s="1"/>
  <c r="L52" i="13"/>
  <c r="L44" i="13"/>
  <c r="L36" i="13"/>
  <c r="L30" i="10"/>
  <c r="K29" i="20" s="1"/>
  <c r="N30" i="10"/>
  <c r="Q29" i="20" s="1"/>
  <c r="J20" i="13"/>
  <c r="M20" i="13" s="1"/>
  <c r="U20" i="13" s="1"/>
  <c r="L51" i="13"/>
  <c r="L43" i="13"/>
  <c r="L35" i="13"/>
  <c r="L26" i="13"/>
  <c r="L18" i="13"/>
  <c r="L10" i="13"/>
  <c r="J31" i="13"/>
  <c r="M31" i="13" s="1"/>
  <c r="U31" i="13" s="1"/>
  <c r="L31" i="13"/>
  <c r="G7" i="12"/>
  <c r="W9" i="13"/>
  <c r="I10" i="10"/>
  <c r="J10" i="10" s="1"/>
  <c r="J9" i="13"/>
  <c r="M9" i="13" s="1"/>
  <c r="J8" i="13"/>
  <c r="M8" i="13" s="1"/>
  <c r="S8" i="13" s="1"/>
  <c r="J7" i="13"/>
  <c r="M7" i="13" s="1"/>
  <c r="O7" i="13" s="1"/>
  <c r="I20" i="10" l="1"/>
  <c r="J20" i="10" s="1"/>
  <c r="O12" i="13"/>
  <c r="O14" i="13"/>
  <c r="W14" i="13"/>
  <c r="W16" i="13"/>
  <c r="U8" i="13"/>
  <c r="O10" i="13"/>
  <c r="W24" i="13"/>
  <c r="W28" i="13"/>
  <c r="W12" i="13"/>
  <c r="I31" i="10"/>
  <c r="J31" i="10" s="1"/>
  <c r="W20" i="13"/>
  <c r="I12" i="10"/>
  <c r="J12" i="10" s="1"/>
  <c r="G57" i="12"/>
  <c r="W22" i="13"/>
  <c r="W23" i="13"/>
  <c r="W50" i="13"/>
  <c r="W29" i="13"/>
  <c r="I16" i="10"/>
  <c r="J16" i="10" s="1"/>
  <c r="I26" i="10"/>
  <c r="J26" i="10" s="1"/>
  <c r="I43" i="10"/>
  <c r="J43" i="10" s="1"/>
  <c r="I18" i="10"/>
  <c r="J18" i="10" s="1"/>
  <c r="W21" i="13"/>
  <c r="O11" i="13"/>
  <c r="U22" i="13"/>
  <c r="O31" i="13"/>
  <c r="U55" i="13"/>
  <c r="U33" i="13"/>
  <c r="S32" i="13"/>
  <c r="S10" i="13"/>
  <c r="O26" i="13"/>
  <c r="S50" i="13"/>
  <c r="Q27" i="13"/>
  <c r="U43" i="13"/>
  <c r="Q20" i="13"/>
  <c r="U36" i="13"/>
  <c r="O20" i="13"/>
  <c r="U45" i="13"/>
  <c r="S15" i="13"/>
  <c r="O21" i="13"/>
  <c r="O54" i="13"/>
  <c r="O18" i="13"/>
  <c r="Q13" i="13"/>
  <c r="U29" i="13"/>
  <c r="Q53" i="13"/>
  <c r="S22" i="13"/>
  <c r="Q46" i="13"/>
  <c r="U15" i="13"/>
  <c r="S39" i="13"/>
  <c r="Q55" i="13"/>
  <c r="U41" i="13"/>
  <c r="O32" i="13"/>
  <c r="Q56" i="13"/>
  <c r="U10" i="13"/>
  <c r="Q34" i="13"/>
  <c r="U50" i="13"/>
  <c r="S27" i="13"/>
  <c r="O43" i="13"/>
  <c r="S20" i="13"/>
  <c r="Q44" i="13"/>
  <c r="O15" i="13"/>
  <c r="S13" i="13"/>
  <c r="S53" i="13"/>
  <c r="Q30" i="13"/>
  <c r="Q23" i="13"/>
  <c r="O55" i="13"/>
  <c r="Q40" i="13"/>
  <c r="S34" i="13"/>
  <c r="Q11" i="13"/>
  <c r="Q51" i="13"/>
  <c r="S44" i="13"/>
  <c r="U13" i="13"/>
  <c r="U53" i="13"/>
  <c r="U30" i="13"/>
  <c r="U46" i="13"/>
  <c r="S23" i="13"/>
  <c r="Q39" i="13"/>
  <c r="U17" i="13"/>
  <c r="S41" i="13"/>
  <c r="Q24" i="13"/>
  <c r="S40" i="13"/>
  <c r="S18" i="13"/>
  <c r="S11" i="13"/>
  <c r="Q35" i="13"/>
  <c r="S51" i="13"/>
  <c r="Q28" i="13"/>
  <c r="U44" i="13"/>
  <c r="O28" i="13"/>
  <c r="O23" i="13"/>
  <c r="O33" i="13"/>
  <c r="O42" i="13"/>
  <c r="Q21" i="13"/>
  <c r="Q14" i="13"/>
  <c r="S30" i="13"/>
  <c r="Q54" i="13"/>
  <c r="Q47" i="13"/>
  <c r="Q17" i="13"/>
  <c r="U49" i="13"/>
  <c r="U24" i="13"/>
  <c r="U40" i="13"/>
  <c r="Q25" i="13"/>
  <c r="Q42" i="13"/>
  <c r="S35" i="13"/>
  <c r="U51" i="13"/>
  <c r="S28" i="13"/>
  <c r="O25" i="13"/>
  <c r="I35" i="10"/>
  <c r="J35" i="10" s="1"/>
  <c r="U9" i="13"/>
  <c r="Q9" i="13"/>
  <c r="S9" i="13"/>
  <c r="O9" i="13"/>
  <c r="O52" i="13"/>
  <c r="O45" i="13"/>
  <c r="O22" i="13"/>
  <c r="S21" i="13"/>
  <c r="S14" i="13"/>
  <c r="S38" i="13"/>
  <c r="S54" i="13"/>
  <c r="Q31" i="13"/>
  <c r="S47" i="13"/>
  <c r="Q49" i="13"/>
  <c r="S48" i="13"/>
  <c r="S25" i="13"/>
  <c r="Q26" i="13"/>
  <c r="S42" i="13"/>
  <c r="Q19" i="13"/>
  <c r="Q12" i="13"/>
  <c r="Q52" i="13"/>
  <c r="O50" i="13"/>
  <c r="Q45" i="13"/>
  <c r="Q38" i="13"/>
  <c r="S31" i="13"/>
  <c r="U47" i="13"/>
  <c r="Q33" i="13"/>
  <c r="S49" i="13"/>
  <c r="U32" i="13"/>
  <c r="U48" i="13"/>
  <c r="S26" i="13"/>
  <c r="S19" i="13"/>
  <c r="Q43" i="13"/>
  <c r="S12" i="13"/>
  <c r="Q36" i="13"/>
  <c r="S52" i="13"/>
  <c r="I14" i="10"/>
  <c r="J14" i="10" s="1"/>
  <c r="O48" i="13"/>
  <c r="O8" i="13"/>
  <c r="Q8" i="13"/>
  <c r="I28" i="10"/>
  <c r="J28" i="10" s="1"/>
  <c r="Q7" i="13"/>
  <c r="U7" i="13"/>
  <c r="S7" i="13"/>
  <c r="W8" i="13"/>
  <c r="I8" i="10"/>
  <c r="J8" i="10" s="1"/>
  <c r="L8" i="10" s="1"/>
  <c r="W7" i="13"/>
  <c r="AC14" i="10"/>
  <c r="K14" i="8" s="1"/>
  <c r="W37" i="13"/>
  <c r="I38" i="10"/>
  <c r="J38" i="10" s="1"/>
  <c r="W38" i="13"/>
  <c r="I39" i="10"/>
  <c r="J39" i="10" s="1"/>
  <c r="L26" i="10"/>
  <c r="K25" i="20" s="1"/>
  <c r="N26" i="10"/>
  <c r="Q25" i="20" s="1"/>
  <c r="L13" i="10"/>
  <c r="K12" i="20" s="1"/>
  <c r="N13" i="10"/>
  <c r="Q12" i="20" s="1"/>
  <c r="N23" i="10"/>
  <c r="Q22" i="20" s="1"/>
  <c r="L23" i="10"/>
  <c r="K22" i="20" s="1"/>
  <c r="L12" i="10"/>
  <c r="K11" i="20" s="1"/>
  <c r="N12" i="10"/>
  <c r="Q11" i="20" s="1"/>
  <c r="L28" i="10"/>
  <c r="K27" i="20" s="1"/>
  <c r="N28" i="10"/>
  <c r="Q27" i="20" s="1"/>
  <c r="I33" i="10"/>
  <c r="J33" i="10" s="1"/>
  <c r="W32" i="13"/>
  <c r="L43" i="10"/>
  <c r="K42" i="20" s="1"/>
  <c r="N43" i="10"/>
  <c r="Q42" i="20" s="1"/>
  <c r="N16" i="10"/>
  <c r="Q15" i="20" s="1"/>
  <c r="L16" i="10"/>
  <c r="K15" i="20" s="1"/>
  <c r="I54" i="10"/>
  <c r="J54" i="10" s="1"/>
  <c r="W53" i="13"/>
  <c r="I55" i="10"/>
  <c r="J55" i="10" s="1"/>
  <c r="W54" i="13"/>
  <c r="I40" i="10"/>
  <c r="J40" i="10" s="1"/>
  <c r="W39" i="13"/>
  <c r="I41" i="10"/>
  <c r="J41" i="10" s="1"/>
  <c r="W40" i="13"/>
  <c r="I34" i="10"/>
  <c r="J34" i="10" s="1"/>
  <c r="W33" i="13"/>
  <c r="N21" i="10"/>
  <c r="Q20" i="20" s="1"/>
  <c r="L21" i="10"/>
  <c r="K20" i="20" s="1"/>
  <c r="N17" i="10"/>
  <c r="Q16" i="20" s="1"/>
  <c r="L17" i="10"/>
  <c r="K16" i="20" s="1"/>
  <c r="W36" i="13"/>
  <c r="I37" i="10"/>
  <c r="J37" i="10" s="1"/>
  <c r="I11" i="10"/>
  <c r="J11" i="10" s="1"/>
  <c r="W10" i="13"/>
  <c r="W44" i="13"/>
  <c r="I45" i="10"/>
  <c r="J45" i="10" s="1"/>
  <c r="W45" i="13"/>
  <c r="I46" i="10"/>
  <c r="J46" i="10" s="1"/>
  <c r="W46" i="13"/>
  <c r="I47" i="10"/>
  <c r="J47" i="10" s="1"/>
  <c r="I53" i="10"/>
  <c r="J53" i="10" s="1"/>
  <c r="W52" i="13"/>
  <c r="W26" i="13"/>
  <c r="I27" i="10"/>
  <c r="J27" i="10" s="1"/>
  <c r="I48" i="10"/>
  <c r="J48" i="10" s="1"/>
  <c r="W47" i="13"/>
  <c r="I49" i="10"/>
  <c r="J49" i="10" s="1"/>
  <c r="W48" i="13"/>
  <c r="I42" i="10"/>
  <c r="J42" i="10" s="1"/>
  <c r="W41" i="13"/>
  <c r="N29" i="10"/>
  <c r="Q28" i="20" s="1"/>
  <c r="L29" i="10"/>
  <c r="K28" i="20" s="1"/>
  <c r="L35" i="10"/>
  <c r="K34" i="20" s="1"/>
  <c r="N35" i="10"/>
  <c r="Q34" i="20" s="1"/>
  <c r="N9" i="10"/>
  <c r="Q8" i="20" s="1"/>
  <c r="L9" i="10"/>
  <c r="K8" i="20" s="1"/>
  <c r="W18" i="13"/>
  <c r="I19" i="10"/>
  <c r="J19" i="10" s="1"/>
  <c r="I56" i="10"/>
  <c r="J56" i="10" s="1"/>
  <c r="W55" i="13"/>
  <c r="I57" i="10"/>
  <c r="J57" i="10" s="1"/>
  <c r="W56" i="13"/>
  <c r="I50" i="10"/>
  <c r="J50" i="10" s="1"/>
  <c r="W49" i="13"/>
  <c r="L20" i="10"/>
  <c r="K19" i="20" s="1"/>
  <c r="N20" i="10"/>
  <c r="Q19" i="20" s="1"/>
  <c r="N24" i="10"/>
  <c r="Q23" i="20" s="1"/>
  <c r="L24" i="10"/>
  <c r="K23" i="20" s="1"/>
  <c r="W35" i="13"/>
  <c r="I36" i="10"/>
  <c r="J36" i="10" s="1"/>
  <c r="W43" i="13"/>
  <c r="I44" i="10"/>
  <c r="J44" i="10" s="1"/>
  <c r="L51" i="10"/>
  <c r="K50" i="20" s="1"/>
  <c r="N51" i="10"/>
  <c r="Q50" i="20" s="1"/>
  <c r="I52" i="10"/>
  <c r="J52" i="10" s="1"/>
  <c r="W51" i="13"/>
  <c r="N18" i="10"/>
  <c r="Q17" i="20" s="1"/>
  <c r="L18" i="10"/>
  <c r="K17" i="20" s="1"/>
  <c r="L31" i="10"/>
  <c r="K30" i="20" s="1"/>
  <c r="N31" i="10"/>
  <c r="Q30" i="20" s="1"/>
  <c r="L15" i="10"/>
  <c r="K14" i="20" s="1"/>
  <c r="N15" i="10"/>
  <c r="Q14" i="20" s="1"/>
  <c r="N25" i="10"/>
  <c r="Q24" i="20" s="1"/>
  <c r="L25" i="10"/>
  <c r="K24" i="20" s="1"/>
  <c r="N10" i="10"/>
  <c r="Q9" i="20" s="1"/>
  <c r="L10" i="10"/>
  <c r="K9" i="20" s="1"/>
  <c r="W31" i="13"/>
  <c r="I32" i="10"/>
  <c r="J32" i="10" s="1"/>
  <c r="AC22" i="10"/>
  <c r="K22" i="8" s="1"/>
  <c r="AC30" i="10"/>
  <c r="K30" i="8" s="1"/>
  <c r="X10" i="13" l="1"/>
  <c r="K10" i="12" s="1"/>
  <c r="N8" i="10"/>
  <c r="AC8" i="10" s="1"/>
  <c r="K8" i="8" s="1"/>
  <c r="X11" i="13"/>
  <c r="K11" i="12" s="1"/>
  <c r="X7" i="13"/>
  <c r="X7" i="20" s="1"/>
  <c r="AE22" i="10"/>
  <c r="H21" i="12" s="1"/>
  <c r="AE30" i="10"/>
  <c r="H29" i="12" s="1"/>
  <c r="AE14" i="10"/>
  <c r="H13" i="12" s="1"/>
  <c r="X12" i="13"/>
  <c r="AC12" i="10"/>
  <c r="K12" i="8" s="1"/>
  <c r="AC43" i="10"/>
  <c r="K43" i="8" s="1"/>
  <c r="AC28" i="10"/>
  <c r="K28" i="8" s="1"/>
  <c r="AC10" i="10"/>
  <c r="K10" i="8" s="1"/>
  <c r="AC18" i="10"/>
  <c r="K18" i="8" s="1"/>
  <c r="AC51" i="10"/>
  <c r="K51" i="8" s="1"/>
  <c r="AC25" i="10"/>
  <c r="K25" i="8" s="1"/>
  <c r="AC29" i="10"/>
  <c r="K29" i="8" s="1"/>
  <c r="AC35" i="10"/>
  <c r="K35" i="8" s="1"/>
  <c r="AC31" i="10"/>
  <c r="K31" i="8" s="1"/>
  <c r="AC24" i="10"/>
  <c r="K24" i="8" s="1"/>
  <c r="AC16" i="10"/>
  <c r="K16" i="8" s="1"/>
  <c r="AC26" i="10"/>
  <c r="K26" i="8" s="1"/>
  <c r="AC21" i="10"/>
  <c r="K21" i="8" s="1"/>
  <c r="AC20" i="10"/>
  <c r="K20" i="8" s="1"/>
  <c r="X16" i="13"/>
  <c r="AC15" i="10"/>
  <c r="K15" i="8" s="1"/>
  <c r="AC9" i="10"/>
  <c r="K9" i="8" s="1"/>
  <c r="AC17" i="10"/>
  <c r="K17" i="8" s="1"/>
  <c r="N32" i="10"/>
  <c r="Q31" i="20" s="1"/>
  <c r="L32" i="10"/>
  <c r="K31" i="20" s="1"/>
  <c r="N50" i="10"/>
  <c r="Q49" i="20" s="1"/>
  <c r="L50" i="10"/>
  <c r="K49" i="20" s="1"/>
  <c r="L48" i="10"/>
  <c r="K47" i="20" s="1"/>
  <c r="N48" i="10"/>
  <c r="Q47" i="20" s="1"/>
  <c r="L46" i="10"/>
  <c r="K45" i="20" s="1"/>
  <c r="N46" i="10"/>
  <c r="Q45" i="20" s="1"/>
  <c r="L36" i="10"/>
  <c r="K35" i="20" s="1"/>
  <c r="N36" i="10"/>
  <c r="Q35" i="20" s="1"/>
  <c r="N41" i="10"/>
  <c r="Q40" i="20" s="1"/>
  <c r="L41" i="10"/>
  <c r="K40" i="20" s="1"/>
  <c r="AC23" i="10"/>
  <c r="K23" i="8" s="1"/>
  <c r="L39" i="10"/>
  <c r="K38" i="20" s="1"/>
  <c r="N39" i="10"/>
  <c r="Q38" i="20" s="1"/>
  <c r="N57" i="10"/>
  <c r="Q56" i="20" s="1"/>
  <c r="L57" i="10"/>
  <c r="K56" i="20" s="1"/>
  <c r="K7" i="20"/>
  <c r="N27" i="10"/>
  <c r="Q26" i="20" s="1"/>
  <c r="L27" i="10"/>
  <c r="K26" i="20" s="1"/>
  <c r="L45" i="10"/>
  <c r="K44" i="20" s="1"/>
  <c r="N45" i="10"/>
  <c r="Q44" i="20" s="1"/>
  <c r="N54" i="10"/>
  <c r="Q53" i="20" s="1"/>
  <c r="L54" i="10"/>
  <c r="K53" i="20" s="1"/>
  <c r="L52" i="10"/>
  <c r="K51" i="20" s="1"/>
  <c r="N52" i="10"/>
  <c r="Q51" i="20" s="1"/>
  <c r="N42" i="10"/>
  <c r="Q41" i="20" s="1"/>
  <c r="L42" i="10"/>
  <c r="K41" i="20" s="1"/>
  <c r="N40" i="10"/>
  <c r="Q39" i="20" s="1"/>
  <c r="L40" i="10"/>
  <c r="K39" i="20" s="1"/>
  <c r="L33" i="10"/>
  <c r="K32" i="20" s="1"/>
  <c r="N33" i="10"/>
  <c r="Q32" i="20" s="1"/>
  <c r="N38" i="10"/>
  <c r="Q37" i="20" s="1"/>
  <c r="L38" i="10"/>
  <c r="K37" i="20" s="1"/>
  <c r="AC13" i="10"/>
  <c r="K13" i="8" s="1"/>
  <c r="L44" i="10"/>
  <c r="K43" i="20" s="1"/>
  <c r="N44" i="10"/>
  <c r="Q43" i="20" s="1"/>
  <c r="L56" i="10"/>
  <c r="K55" i="20" s="1"/>
  <c r="N56" i="10"/>
  <c r="Q55" i="20" s="1"/>
  <c r="L53" i="10"/>
  <c r="K52" i="20" s="1"/>
  <c r="N53" i="10"/>
  <c r="Q52" i="20" s="1"/>
  <c r="L11" i="10"/>
  <c r="K10" i="20" s="1"/>
  <c r="N11" i="10"/>
  <c r="Q10" i="20" s="1"/>
  <c r="L19" i="10"/>
  <c r="K18" i="20" s="1"/>
  <c r="N19" i="10"/>
  <c r="Q18" i="20" s="1"/>
  <c r="N49" i="10"/>
  <c r="Q48" i="20" s="1"/>
  <c r="L49" i="10"/>
  <c r="K48" i="20" s="1"/>
  <c r="L47" i="10"/>
  <c r="K46" i="20" s="1"/>
  <c r="N47" i="10"/>
  <c r="Q46" i="20" s="1"/>
  <c r="N37" i="10"/>
  <c r="Q36" i="20" s="1"/>
  <c r="L37" i="10"/>
  <c r="K36" i="20" s="1"/>
  <c r="L34" i="10"/>
  <c r="K33" i="20" s="1"/>
  <c r="N34" i="10"/>
  <c r="Q33" i="20" s="1"/>
  <c r="L55" i="10"/>
  <c r="K54" i="20" s="1"/>
  <c r="N55" i="10"/>
  <c r="Q54" i="20" s="1"/>
  <c r="X9" i="13"/>
  <c r="X8" i="13"/>
  <c r="X10" i="20" l="1"/>
  <c r="Q7" i="20"/>
  <c r="Q57" i="20" s="1"/>
  <c r="K35" i="1" s="1"/>
  <c r="X11" i="20"/>
  <c r="P30" i="8"/>
  <c r="N30" i="8"/>
  <c r="G159" i="21"/>
  <c r="L30" i="8"/>
  <c r="M30" i="8" s="1"/>
  <c r="N22" i="8"/>
  <c r="P22" i="8"/>
  <c r="L22" i="8"/>
  <c r="M22" i="8" s="1"/>
  <c r="G103" i="21"/>
  <c r="P14" i="8"/>
  <c r="N14" i="8"/>
  <c r="L14" i="8"/>
  <c r="M14" i="8" s="1"/>
  <c r="G47" i="21"/>
  <c r="X17" i="13"/>
  <c r="K17" i="12" s="1"/>
  <c r="K9" i="12"/>
  <c r="X9" i="20"/>
  <c r="X15" i="13"/>
  <c r="K12" i="12"/>
  <c r="X12" i="20"/>
  <c r="K16" i="12"/>
  <c r="X16" i="20"/>
  <c r="K57" i="20"/>
  <c r="K29" i="1" s="1"/>
  <c r="G5" i="21"/>
  <c r="AE13" i="10"/>
  <c r="H12" i="12" s="1"/>
  <c r="AE15" i="10"/>
  <c r="H14" i="12" s="1"/>
  <c r="AE24" i="10"/>
  <c r="H23" i="12" s="1"/>
  <c r="AE20" i="10"/>
  <c r="H19" i="12" s="1"/>
  <c r="AE31" i="10"/>
  <c r="H30" i="12" s="1"/>
  <c r="AE16" i="10"/>
  <c r="H15" i="12" s="1"/>
  <c r="AE35" i="10"/>
  <c r="H34" i="12" s="1"/>
  <c r="I159" i="21"/>
  <c r="H29" i="19"/>
  <c r="I29" i="19" s="1"/>
  <c r="AE10" i="10"/>
  <c r="H9" i="12" s="1"/>
  <c r="AE43" i="10"/>
  <c r="H42" i="12" s="1"/>
  <c r="AE23" i="10"/>
  <c r="H22" i="12" s="1"/>
  <c r="AE18" i="10"/>
  <c r="H17" i="12" s="1"/>
  <c r="AE28" i="10"/>
  <c r="H27" i="12" s="1"/>
  <c r="AE21" i="10"/>
  <c r="H20" i="12" s="1"/>
  <c r="AE26" i="10"/>
  <c r="H25" i="12" s="1"/>
  <c r="AE29" i="10"/>
  <c r="H28" i="12" s="1"/>
  <c r="I103" i="21"/>
  <c r="H21" i="19"/>
  <c r="I21" i="19" s="1"/>
  <c r="AE51" i="10"/>
  <c r="H50" i="12" s="1"/>
  <c r="I47" i="21"/>
  <c r="H13" i="19"/>
  <c r="I13" i="19" s="1"/>
  <c r="AE17" i="10"/>
  <c r="H16" i="12" s="1"/>
  <c r="AE25" i="10"/>
  <c r="H24" i="12" s="1"/>
  <c r="AE12" i="10"/>
  <c r="H11" i="12" s="1"/>
  <c r="K8" i="12"/>
  <c r="X8" i="20"/>
  <c r="AE9" i="10"/>
  <c r="I5" i="21"/>
  <c r="H7" i="19"/>
  <c r="I7" i="19" s="1"/>
  <c r="X13" i="13"/>
  <c r="X18" i="13"/>
  <c r="X19" i="13"/>
  <c r="X24" i="13"/>
  <c r="AC32" i="10"/>
  <c r="K32" i="8" s="1"/>
  <c r="AE8" i="10"/>
  <c r="H7" i="12" s="1"/>
  <c r="AC38" i="10"/>
  <c r="K38" i="8" s="1"/>
  <c r="AC27" i="10"/>
  <c r="K27" i="8" s="1"/>
  <c r="AC47" i="10"/>
  <c r="K47" i="8" s="1"/>
  <c r="AC53" i="10"/>
  <c r="K53" i="8" s="1"/>
  <c r="AC34" i="10"/>
  <c r="K34" i="8" s="1"/>
  <c r="AC19" i="10"/>
  <c r="K19" i="8" s="1"/>
  <c r="AC44" i="10"/>
  <c r="K44" i="8" s="1"/>
  <c r="AC42" i="10"/>
  <c r="K42" i="8" s="1"/>
  <c r="AC46" i="10"/>
  <c r="K46" i="8" s="1"/>
  <c r="AC48" i="10"/>
  <c r="K48" i="8" s="1"/>
  <c r="AC11" i="10"/>
  <c r="K11" i="8" s="1"/>
  <c r="AC49" i="10"/>
  <c r="K49" i="8" s="1"/>
  <c r="AC40" i="10"/>
  <c r="K40" i="8" s="1"/>
  <c r="AC54" i="10"/>
  <c r="K54" i="8" s="1"/>
  <c r="AC57" i="10"/>
  <c r="K57" i="8" s="1"/>
  <c r="AC50" i="10"/>
  <c r="K50" i="8" s="1"/>
  <c r="AC55" i="10"/>
  <c r="K55" i="8" s="1"/>
  <c r="AC41" i="10"/>
  <c r="K41" i="8" s="1"/>
  <c r="X14" i="13"/>
  <c r="X22" i="13"/>
  <c r="AC33" i="10"/>
  <c r="K33" i="8" s="1"/>
  <c r="AC52" i="10"/>
  <c r="K52" i="8" s="1"/>
  <c r="AC56" i="10"/>
  <c r="K56" i="8" s="1"/>
  <c r="AC36" i="10"/>
  <c r="K36" i="8" s="1"/>
  <c r="AC37" i="10"/>
  <c r="K37" i="8" s="1"/>
  <c r="AC45" i="10"/>
  <c r="K45" i="8" s="1"/>
  <c r="AC39" i="10"/>
  <c r="K39" i="8" s="1"/>
  <c r="K7" i="12"/>
  <c r="K159" i="21" l="1"/>
  <c r="K164" i="21" s="1"/>
  <c r="X17" i="20"/>
  <c r="K47" i="21"/>
  <c r="K54" i="21" s="1"/>
  <c r="K103" i="21"/>
  <c r="K104" i="21" s="1"/>
  <c r="K105" i="21" s="1"/>
  <c r="X30" i="13"/>
  <c r="K30" i="12" s="1"/>
  <c r="P25" i="8"/>
  <c r="L25" i="8"/>
  <c r="M25" i="8" s="1"/>
  <c r="N25" i="8"/>
  <c r="P117" i="21"/>
  <c r="L28" i="8"/>
  <c r="M28" i="8" s="1"/>
  <c r="N28" i="8"/>
  <c r="G145" i="21"/>
  <c r="P28" i="8"/>
  <c r="N10" i="8"/>
  <c r="G19" i="21"/>
  <c r="L10" i="8"/>
  <c r="M10" i="8" s="1"/>
  <c r="P10" i="8"/>
  <c r="L31" i="8"/>
  <c r="M31" i="8" s="1"/>
  <c r="P159" i="21"/>
  <c r="P31" i="8"/>
  <c r="N31" i="8"/>
  <c r="L13" i="8"/>
  <c r="M13" i="8" s="1"/>
  <c r="P13" i="8"/>
  <c r="N13" i="8"/>
  <c r="P33" i="21"/>
  <c r="P5" i="21"/>
  <c r="L9" i="8"/>
  <c r="M9" i="8" s="1"/>
  <c r="P9" i="8"/>
  <c r="N9" i="8"/>
  <c r="P61" i="21"/>
  <c r="N17" i="8"/>
  <c r="L17" i="8"/>
  <c r="M17" i="8" s="1"/>
  <c r="P17" i="8"/>
  <c r="P29" i="8"/>
  <c r="L29" i="8"/>
  <c r="M29" i="8" s="1"/>
  <c r="N29" i="8"/>
  <c r="P145" i="21"/>
  <c r="N18" i="8"/>
  <c r="G75" i="21"/>
  <c r="L18" i="8"/>
  <c r="M18" i="8" s="1"/>
  <c r="P18" i="8"/>
  <c r="N20" i="8"/>
  <c r="G89" i="21"/>
  <c r="P20" i="8"/>
  <c r="L20" i="8"/>
  <c r="M20" i="8" s="1"/>
  <c r="P26" i="8"/>
  <c r="L26" i="8"/>
  <c r="M26" i="8" s="1"/>
  <c r="G131" i="21"/>
  <c r="N26" i="8"/>
  <c r="L23" i="8"/>
  <c r="M23" i="8" s="1"/>
  <c r="N23" i="8"/>
  <c r="P103" i="21"/>
  <c r="P23" i="8"/>
  <c r="P187" i="21"/>
  <c r="N35" i="8"/>
  <c r="P35" i="8"/>
  <c r="L35" i="8"/>
  <c r="M35" i="8" s="1"/>
  <c r="N24" i="8"/>
  <c r="P24" i="8"/>
  <c r="L24" i="8"/>
  <c r="M24" i="8" s="1"/>
  <c r="G117" i="21"/>
  <c r="N12" i="8"/>
  <c r="L12" i="8"/>
  <c r="M12" i="8" s="1"/>
  <c r="P12" i="8"/>
  <c r="G33" i="21"/>
  <c r="N51" i="8"/>
  <c r="P51" i="8"/>
  <c r="P299" i="21"/>
  <c r="L51" i="8"/>
  <c r="M51" i="8" s="1"/>
  <c r="P21" i="8"/>
  <c r="N21" i="8"/>
  <c r="L21" i="8"/>
  <c r="M21" i="8" s="1"/>
  <c r="P89" i="21"/>
  <c r="N43" i="8"/>
  <c r="P243" i="21"/>
  <c r="P43" i="8"/>
  <c r="L43" i="8"/>
  <c r="M43" i="8" s="1"/>
  <c r="P16" i="8"/>
  <c r="N16" i="8"/>
  <c r="L16" i="8"/>
  <c r="M16" i="8" s="1"/>
  <c r="G61" i="21"/>
  <c r="P47" i="21"/>
  <c r="N15" i="8"/>
  <c r="L15" i="8"/>
  <c r="M15" i="8" s="1"/>
  <c r="P15" i="8"/>
  <c r="X21" i="13"/>
  <c r="X23" i="13"/>
  <c r="K22" i="12"/>
  <c r="X22" i="20"/>
  <c r="K24" i="12"/>
  <c r="X24" i="20"/>
  <c r="H8" i="12"/>
  <c r="K18" i="12"/>
  <c r="X18" i="20"/>
  <c r="K15" i="12"/>
  <c r="X15" i="20"/>
  <c r="K5" i="21"/>
  <c r="K12" i="21" s="1"/>
  <c r="I131" i="21"/>
  <c r="H25" i="19"/>
  <c r="I25" i="19" s="1"/>
  <c r="R103" i="21"/>
  <c r="H22" i="19"/>
  <c r="I22" i="19" s="1"/>
  <c r="R187" i="21"/>
  <c r="H34" i="19"/>
  <c r="I34" i="19" s="1"/>
  <c r="I117" i="21"/>
  <c r="H23" i="19"/>
  <c r="I23" i="19" s="1"/>
  <c r="AE33" i="10"/>
  <c r="H32" i="12" s="1"/>
  <c r="R145" i="21"/>
  <c r="H28" i="19"/>
  <c r="I28" i="19" s="1"/>
  <c r="I89" i="21"/>
  <c r="H19" i="19"/>
  <c r="I19" i="19" s="1"/>
  <c r="AE37" i="10"/>
  <c r="H36" i="12" s="1"/>
  <c r="AE40" i="10"/>
  <c r="H39" i="12" s="1"/>
  <c r="I75" i="21"/>
  <c r="H17" i="19"/>
  <c r="AE39" i="10"/>
  <c r="H38" i="12" s="1"/>
  <c r="AE41" i="10"/>
  <c r="H40" i="12" s="1"/>
  <c r="AE55" i="10"/>
  <c r="H54" i="12" s="1"/>
  <c r="AE46" i="10"/>
  <c r="H45" i="12" s="1"/>
  <c r="AE38" i="10"/>
  <c r="H37" i="12" s="1"/>
  <c r="I33" i="21"/>
  <c r="H11" i="19"/>
  <c r="I11" i="19" s="1"/>
  <c r="R299" i="21"/>
  <c r="H50" i="19"/>
  <c r="I50" i="19" s="1"/>
  <c r="R89" i="21"/>
  <c r="H20" i="19"/>
  <c r="I20" i="19" s="1"/>
  <c r="R243" i="21"/>
  <c r="H42" i="19"/>
  <c r="I42" i="19" s="1"/>
  <c r="I61" i="21"/>
  <c r="H15" i="19"/>
  <c r="I15" i="19" s="1"/>
  <c r="R47" i="21"/>
  <c r="H14" i="19"/>
  <c r="I14" i="19" s="1"/>
  <c r="R61" i="21"/>
  <c r="H16" i="19"/>
  <c r="I16" i="19" s="1"/>
  <c r="AE49" i="10"/>
  <c r="H48" i="12" s="1"/>
  <c r="AE11" i="10"/>
  <c r="H10" i="12" s="1"/>
  <c r="AE27" i="10"/>
  <c r="H26" i="12" s="1"/>
  <c r="AE50" i="10"/>
  <c r="H49" i="12" s="1"/>
  <c r="AE34" i="10"/>
  <c r="H33" i="12" s="1"/>
  <c r="AE45" i="10"/>
  <c r="H44" i="12" s="1"/>
  <c r="AE48" i="10"/>
  <c r="H47" i="12" s="1"/>
  <c r="I145" i="21"/>
  <c r="H27" i="19"/>
  <c r="I27" i="19" s="1"/>
  <c r="I19" i="21"/>
  <c r="H9" i="19"/>
  <c r="I9" i="19" s="1"/>
  <c r="R159" i="21"/>
  <c r="H30" i="19"/>
  <c r="I30" i="19" s="1"/>
  <c r="R33" i="21"/>
  <c r="H12" i="19"/>
  <c r="I12" i="19" s="1"/>
  <c r="AE53" i="10"/>
  <c r="H52" i="12" s="1"/>
  <c r="AE47" i="10"/>
  <c r="H46" i="12" s="1"/>
  <c r="AE36" i="10"/>
  <c r="H35" i="12" s="1"/>
  <c r="AE42" i="10"/>
  <c r="H41" i="12" s="1"/>
  <c r="AE56" i="10"/>
  <c r="H55" i="12" s="1"/>
  <c r="AE57" i="10"/>
  <c r="H56" i="12" s="1"/>
  <c r="AE44" i="10"/>
  <c r="H43" i="12" s="1"/>
  <c r="R117" i="21"/>
  <c r="H24" i="19"/>
  <c r="I24" i="19" s="1"/>
  <c r="AE52" i="10"/>
  <c r="H51" i="12" s="1"/>
  <c r="AE54" i="10"/>
  <c r="H53" i="12" s="1"/>
  <c r="AE19" i="10"/>
  <c r="H18" i="12" s="1"/>
  <c r="R5" i="21"/>
  <c r="H8" i="19"/>
  <c r="I8" i="19" s="1"/>
  <c r="K14" i="12"/>
  <c r="X14" i="20"/>
  <c r="K13" i="12"/>
  <c r="X13" i="20"/>
  <c r="X25" i="13"/>
  <c r="K19" i="12"/>
  <c r="X19" i="20"/>
  <c r="AE32" i="10"/>
  <c r="H31" i="12" s="1"/>
  <c r="X28" i="13"/>
  <c r="X20" i="13"/>
  <c r="X30" i="20" l="1"/>
  <c r="K50" i="21"/>
  <c r="K48" i="21"/>
  <c r="K49" i="21" s="1"/>
  <c r="K166" i="21"/>
  <c r="K160" i="21"/>
  <c r="K161" i="21" s="1"/>
  <c r="K145" i="21"/>
  <c r="K152" i="21" s="1"/>
  <c r="K162" i="21"/>
  <c r="K52" i="21"/>
  <c r="K110" i="21"/>
  <c r="K10" i="21"/>
  <c r="K106" i="21"/>
  <c r="K107" i="21" s="1"/>
  <c r="K108" i="21"/>
  <c r="T299" i="21"/>
  <c r="T304" i="21" s="1"/>
  <c r="K19" i="21"/>
  <c r="K26" i="21" s="1"/>
  <c r="K75" i="21"/>
  <c r="K78" i="21" s="1"/>
  <c r="T187" i="21"/>
  <c r="T192" i="21" s="1"/>
  <c r="T61" i="21"/>
  <c r="T66" i="21" s="1"/>
  <c r="K8" i="21"/>
  <c r="K117" i="21"/>
  <c r="K124" i="21" s="1"/>
  <c r="T89" i="21"/>
  <c r="T94" i="21" s="1"/>
  <c r="T145" i="21"/>
  <c r="T150" i="21" s="1"/>
  <c r="T103" i="21"/>
  <c r="T108" i="21" s="1"/>
  <c r="T117" i="21"/>
  <c r="T122" i="21" s="1"/>
  <c r="T33" i="21"/>
  <c r="T38" i="21" s="1"/>
  <c r="T47" i="21"/>
  <c r="T52" i="21" s="1"/>
  <c r="K61" i="21"/>
  <c r="K66" i="21" s="1"/>
  <c r="K33" i="21"/>
  <c r="K38" i="21" s="1"/>
  <c r="K131" i="21"/>
  <c r="K132" i="21" s="1"/>
  <c r="K133" i="21" s="1"/>
  <c r="P54" i="8"/>
  <c r="N54" i="8"/>
  <c r="G327" i="21"/>
  <c r="L54" i="8"/>
  <c r="M54" i="8" s="1"/>
  <c r="L57" i="8"/>
  <c r="M57" i="8" s="1"/>
  <c r="P57" i="8"/>
  <c r="P341" i="21"/>
  <c r="N57" i="8"/>
  <c r="T159" i="21"/>
  <c r="T164" i="21" s="1"/>
  <c r="N11" i="8"/>
  <c r="P19" i="21"/>
  <c r="P11" i="8"/>
  <c r="L11" i="8"/>
  <c r="M11" i="8" s="1"/>
  <c r="N41" i="8"/>
  <c r="L41" i="8"/>
  <c r="M41" i="8" s="1"/>
  <c r="P41" i="8"/>
  <c r="P229" i="21"/>
  <c r="P201" i="21"/>
  <c r="P37" i="8"/>
  <c r="N37" i="8"/>
  <c r="L37" i="8"/>
  <c r="M37" i="8" s="1"/>
  <c r="N32" i="8"/>
  <c r="P32" i="8"/>
  <c r="L32" i="8"/>
  <c r="M32" i="8" s="1"/>
  <c r="G173" i="21"/>
  <c r="P52" i="8"/>
  <c r="N52" i="8"/>
  <c r="L52" i="8"/>
  <c r="M52" i="8" s="1"/>
  <c r="G313" i="21"/>
  <c r="G341" i="21"/>
  <c r="N56" i="8"/>
  <c r="L56" i="8"/>
  <c r="M56" i="8" s="1"/>
  <c r="P56" i="8"/>
  <c r="N48" i="8"/>
  <c r="G285" i="21"/>
  <c r="L48" i="8"/>
  <c r="M48" i="8" s="1"/>
  <c r="P48" i="8"/>
  <c r="N34" i="8"/>
  <c r="P34" i="8"/>
  <c r="G187" i="21"/>
  <c r="L34" i="8"/>
  <c r="M34" i="8" s="1"/>
  <c r="L49" i="8"/>
  <c r="M49" i="8" s="1"/>
  <c r="P49" i="8"/>
  <c r="P285" i="21"/>
  <c r="N49" i="8"/>
  <c r="L38" i="8"/>
  <c r="M38" i="8" s="1"/>
  <c r="P38" i="8"/>
  <c r="G215" i="21"/>
  <c r="N38" i="8"/>
  <c r="P215" i="21"/>
  <c r="P39" i="8"/>
  <c r="L39" i="8"/>
  <c r="M39" i="8" s="1"/>
  <c r="N39" i="8"/>
  <c r="T243" i="21"/>
  <c r="T248" i="21" s="1"/>
  <c r="K89" i="21"/>
  <c r="K94" i="21" s="1"/>
  <c r="N42" i="8"/>
  <c r="L42" i="8"/>
  <c r="M42" i="8" s="1"/>
  <c r="P42" i="8"/>
  <c r="G243" i="21"/>
  <c r="P271" i="21"/>
  <c r="P47" i="8"/>
  <c r="N47" i="8"/>
  <c r="L47" i="8"/>
  <c r="M47" i="8" s="1"/>
  <c r="P257" i="21"/>
  <c r="L45" i="8"/>
  <c r="M45" i="8" s="1"/>
  <c r="N45" i="8"/>
  <c r="P45" i="8"/>
  <c r="N50" i="8"/>
  <c r="G299" i="21"/>
  <c r="L50" i="8"/>
  <c r="M50" i="8" s="1"/>
  <c r="P50" i="8"/>
  <c r="L46" i="8"/>
  <c r="M46" i="8" s="1"/>
  <c r="P46" i="8"/>
  <c r="G271" i="21"/>
  <c r="N46" i="8"/>
  <c r="P75" i="21"/>
  <c r="N19" i="8"/>
  <c r="P19" i="8"/>
  <c r="L19" i="8"/>
  <c r="M19" i="8" s="1"/>
  <c r="P44" i="8"/>
  <c r="N44" i="8"/>
  <c r="L44" i="8"/>
  <c r="M44" i="8" s="1"/>
  <c r="G257" i="21"/>
  <c r="G201" i="21"/>
  <c r="P36" i="8"/>
  <c r="N36" i="8"/>
  <c r="L36" i="8"/>
  <c r="M36" i="8" s="1"/>
  <c r="L53" i="8"/>
  <c r="M53" i="8" s="1"/>
  <c r="P313" i="21"/>
  <c r="P53" i="8"/>
  <c r="N53" i="8"/>
  <c r="P131" i="21"/>
  <c r="L27" i="8"/>
  <c r="M27" i="8" s="1"/>
  <c r="P27" i="8"/>
  <c r="N27" i="8"/>
  <c r="P327" i="21"/>
  <c r="P55" i="8"/>
  <c r="N55" i="8"/>
  <c r="L55" i="8"/>
  <c r="M55" i="8" s="1"/>
  <c r="G229" i="21"/>
  <c r="N40" i="8"/>
  <c r="L40" i="8"/>
  <c r="M40" i="8" s="1"/>
  <c r="L33" i="8"/>
  <c r="M33" i="8" s="1"/>
  <c r="P33" i="8"/>
  <c r="N33" i="8"/>
  <c r="P173" i="21"/>
  <c r="K28" i="12"/>
  <c r="X28" i="20"/>
  <c r="K23" i="12"/>
  <c r="X23" i="20"/>
  <c r="AE58" i="10"/>
  <c r="X27" i="13"/>
  <c r="X29" i="13"/>
  <c r="X36" i="13"/>
  <c r="K21" i="12"/>
  <c r="X21" i="20"/>
  <c r="K6" i="21"/>
  <c r="K7" i="21" s="1"/>
  <c r="H57" i="12"/>
  <c r="R75" i="21"/>
  <c r="H18" i="19"/>
  <c r="I18" i="19" s="1"/>
  <c r="I257" i="21"/>
  <c r="H43" i="19"/>
  <c r="I43" i="19" s="1"/>
  <c r="I201" i="21"/>
  <c r="H35" i="19"/>
  <c r="I35" i="19" s="1"/>
  <c r="R313" i="21"/>
  <c r="H52" i="19"/>
  <c r="I52" i="19" s="1"/>
  <c r="R327" i="21"/>
  <c r="H54" i="19"/>
  <c r="I54" i="19" s="1"/>
  <c r="I229" i="21"/>
  <c r="H39" i="19"/>
  <c r="I39" i="19" s="1"/>
  <c r="R173" i="21"/>
  <c r="H32" i="19"/>
  <c r="I32" i="19" s="1"/>
  <c r="R19" i="21"/>
  <c r="H10" i="19"/>
  <c r="I10" i="19" s="1"/>
  <c r="R229" i="21"/>
  <c r="H40" i="19"/>
  <c r="I40" i="19" s="1"/>
  <c r="R201" i="21"/>
  <c r="H36" i="19"/>
  <c r="I36" i="19" s="1"/>
  <c r="I341" i="21"/>
  <c r="H55" i="19"/>
  <c r="I55" i="19" s="1"/>
  <c r="R131" i="21"/>
  <c r="H26" i="19"/>
  <c r="I26" i="19" s="1"/>
  <c r="I327" i="21"/>
  <c r="H53" i="19"/>
  <c r="I53" i="19" s="1"/>
  <c r="I173" i="21"/>
  <c r="H31" i="19"/>
  <c r="I31" i="19" s="1"/>
  <c r="I285" i="21"/>
  <c r="H47" i="19"/>
  <c r="I47" i="19" s="1"/>
  <c r="I187" i="21"/>
  <c r="H33" i="19"/>
  <c r="I33" i="19" s="1"/>
  <c r="R285" i="21"/>
  <c r="H48" i="19"/>
  <c r="I48" i="19" s="1"/>
  <c r="I215" i="21"/>
  <c r="H37" i="19"/>
  <c r="I37" i="19" s="1"/>
  <c r="R215" i="21"/>
  <c r="H38" i="19"/>
  <c r="I38" i="19" s="1"/>
  <c r="I313" i="21"/>
  <c r="H51" i="19"/>
  <c r="I51" i="19" s="1"/>
  <c r="I243" i="21"/>
  <c r="H41" i="19"/>
  <c r="I41" i="19" s="1"/>
  <c r="R271" i="21"/>
  <c r="H46" i="19"/>
  <c r="I46" i="19" s="1"/>
  <c r="R341" i="21"/>
  <c r="H56" i="19"/>
  <c r="I56" i="19" s="1"/>
  <c r="R257" i="21"/>
  <c r="H44" i="19"/>
  <c r="I44" i="19" s="1"/>
  <c r="I299" i="21"/>
  <c r="H49" i="19"/>
  <c r="I49" i="19" s="1"/>
  <c r="I271" i="21"/>
  <c r="H45" i="19"/>
  <c r="I45" i="19" s="1"/>
  <c r="I17" i="19"/>
  <c r="K20" i="12"/>
  <c r="X20" i="20"/>
  <c r="K25" i="12"/>
  <c r="X25" i="20"/>
  <c r="X31" i="13"/>
  <c r="X34" i="13"/>
  <c r="X26" i="13"/>
  <c r="AC3" i="1"/>
  <c r="AC2" i="1"/>
  <c r="B4" i="12"/>
  <c r="K51" i="21" l="1"/>
  <c r="K53" i="21" s="1"/>
  <c r="K56" i="21" s="1"/>
  <c r="K146" i="21"/>
  <c r="K147" i="21" s="1"/>
  <c r="K163" i="21"/>
  <c r="K165" i="21" s="1"/>
  <c r="K168" i="21" s="1"/>
  <c r="K148" i="21"/>
  <c r="K150" i="21"/>
  <c r="T341" i="21"/>
  <c r="T346" i="21" s="1"/>
  <c r="K118" i="21"/>
  <c r="K119" i="21" s="1"/>
  <c r="K120" i="21"/>
  <c r="K122" i="21"/>
  <c r="K36" i="21"/>
  <c r="K34" i="21"/>
  <c r="K35" i="21" s="1"/>
  <c r="K40" i="21"/>
  <c r="K134" i="21"/>
  <c r="K135" i="21" s="1"/>
  <c r="K109" i="21"/>
  <c r="K112" i="21" s="1"/>
  <c r="T90" i="21"/>
  <c r="T91" i="21" s="1"/>
  <c r="T306" i="21"/>
  <c r="T300" i="21"/>
  <c r="T301" i="21" s="1"/>
  <c r="K82" i="21"/>
  <c r="K271" i="21"/>
  <c r="K278" i="21" s="1"/>
  <c r="T201" i="21"/>
  <c r="T206" i="21" s="1"/>
  <c r="T302" i="21"/>
  <c r="K80" i="21"/>
  <c r="K76" i="21"/>
  <c r="K77" i="21" s="1"/>
  <c r="K79" i="21" s="1"/>
  <c r="K285" i="21"/>
  <c r="K288" i="21" s="1"/>
  <c r="T190" i="21"/>
  <c r="K20" i="21"/>
  <c r="K21" i="21" s="1"/>
  <c r="T194" i="21"/>
  <c r="K22" i="21"/>
  <c r="T215" i="21"/>
  <c r="T220" i="21" s="1"/>
  <c r="K24" i="21"/>
  <c r="T104" i="21"/>
  <c r="T105" i="21" s="1"/>
  <c r="T110" i="21"/>
  <c r="T106" i="21"/>
  <c r="T68" i="21"/>
  <c r="K9" i="21"/>
  <c r="K11" i="21" s="1"/>
  <c r="K14" i="21" s="1"/>
  <c r="T34" i="21"/>
  <c r="T35" i="21" s="1"/>
  <c r="T36" i="21"/>
  <c r="T40" i="21"/>
  <c r="T75" i="21"/>
  <c r="T80" i="21" s="1"/>
  <c r="T188" i="21"/>
  <c r="T189" i="21" s="1"/>
  <c r="T62" i="21"/>
  <c r="T63" i="21" s="1"/>
  <c r="T64" i="21"/>
  <c r="K136" i="21"/>
  <c r="T152" i="21"/>
  <c r="T96" i="21"/>
  <c r="T162" i="21"/>
  <c r="K138" i="21"/>
  <c r="T146" i="21"/>
  <c r="T147" i="21" s="1"/>
  <c r="T92" i="21"/>
  <c r="T327" i="21"/>
  <c r="T332" i="21" s="1"/>
  <c r="T160" i="21"/>
  <c r="T161" i="21" s="1"/>
  <c r="T148" i="21"/>
  <c r="T166" i="21"/>
  <c r="T229" i="21"/>
  <c r="T234" i="21" s="1"/>
  <c r="K173" i="21"/>
  <c r="K178" i="21" s="1"/>
  <c r="T124" i="21"/>
  <c r="K327" i="21"/>
  <c r="K332" i="21" s="1"/>
  <c r="T118" i="21"/>
  <c r="T119" i="21" s="1"/>
  <c r="K243" i="21"/>
  <c r="K248" i="21" s="1"/>
  <c r="T120" i="21"/>
  <c r="T19" i="21"/>
  <c r="T313" i="21"/>
  <c r="T318" i="21" s="1"/>
  <c r="K341" i="21"/>
  <c r="K344" i="21" s="1"/>
  <c r="T173" i="21"/>
  <c r="T178" i="21" s="1"/>
  <c r="K313" i="21"/>
  <c r="K320" i="21" s="1"/>
  <c r="T246" i="21"/>
  <c r="T244" i="21"/>
  <c r="T245" i="21" s="1"/>
  <c r="K62" i="21"/>
  <c r="K63" i="21" s="1"/>
  <c r="T50" i="21"/>
  <c r="K229" i="21"/>
  <c r="K230" i="21" s="1"/>
  <c r="K231" i="21" s="1"/>
  <c r="T250" i="21"/>
  <c r="K68" i="21"/>
  <c r="T48" i="21"/>
  <c r="T49" i="21" s="1"/>
  <c r="K64" i="21"/>
  <c r="T54" i="21"/>
  <c r="K299" i="21"/>
  <c r="K302" i="21" s="1"/>
  <c r="T131" i="21"/>
  <c r="T136" i="21" s="1"/>
  <c r="T285" i="21"/>
  <c r="T290" i="21" s="1"/>
  <c r="T271" i="21"/>
  <c r="T276" i="21" s="1"/>
  <c r="K257" i="21"/>
  <c r="K258" i="21" s="1"/>
  <c r="K259" i="21" s="1"/>
  <c r="K90" i="21"/>
  <c r="K91" i="21" s="1"/>
  <c r="K96" i="21"/>
  <c r="K92" i="21"/>
  <c r="K201" i="21"/>
  <c r="K208" i="21" s="1"/>
  <c r="T257" i="21"/>
  <c r="T262" i="21" s="1"/>
  <c r="K215" i="21"/>
  <c r="K216" i="21" s="1"/>
  <c r="K217" i="21" s="1"/>
  <c r="K187" i="21"/>
  <c r="K188" i="21" s="1"/>
  <c r="K189" i="21" s="1"/>
  <c r="X33" i="13"/>
  <c r="K29" i="12"/>
  <c r="X29" i="20"/>
  <c r="K34" i="12"/>
  <c r="X34" i="20"/>
  <c r="K36" i="12"/>
  <c r="X36" i="20"/>
  <c r="X35" i="13"/>
  <c r="X42" i="13"/>
  <c r="K27" i="12"/>
  <c r="X27" i="20"/>
  <c r="K26" i="12"/>
  <c r="X26" i="20"/>
  <c r="K31" i="12"/>
  <c r="X31" i="20"/>
  <c r="X37" i="13"/>
  <c r="X40" i="13"/>
  <c r="X32" i="13"/>
  <c r="E2" i="20"/>
  <c r="E2" i="19"/>
  <c r="E2" i="18"/>
  <c r="E2" i="8"/>
  <c r="E2" i="14"/>
  <c r="B2" i="12"/>
  <c r="E3" i="10"/>
  <c r="B1" i="12"/>
  <c r="E2" i="13"/>
  <c r="K149" i="21" l="1"/>
  <c r="K151" i="21" s="1"/>
  <c r="K154" i="21" s="1"/>
  <c r="K55" i="21"/>
  <c r="K167" i="21"/>
  <c r="K111" i="21"/>
  <c r="T348" i="21"/>
  <c r="T342" i="21"/>
  <c r="T343" i="21" s="1"/>
  <c r="T344" i="21"/>
  <c r="K121" i="21"/>
  <c r="K123" i="21" s="1"/>
  <c r="K37" i="21"/>
  <c r="K39" i="21" s="1"/>
  <c r="K41" i="21" s="1"/>
  <c r="T107" i="21"/>
  <c r="T109" i="21" s="1"/>
  <c r="T112" i="21" s="1"/>
  <c r="T303" i="21"/>
  <c r="T305" i="21" s="1"/>
  <c r="T307" i="21" s="1"/>
  <c r="T93" i="21"/>
  <c r="T95" i="21" s="1"/>
  <c r="T97" i="21" s="1"/>
  <c r="K274" i="21"/>
  <c r="K272" i="21"/>
  <c r="K273" i="21" s="1"/>
  <c r="K276" i="21"/>
  <c r="T204" i="21"/>
  <c r="K81" i="21"/>
  <c r="K84" i="21" s="1"/>
  <c r="T216" i="21"/>
  <c r="T217" i="21" s="1"/>
  <c r="T218" i="21"/>
  <c r="T208" i="21"/>
  <c r="T222" i="21"/>
  <c r="T202" i="21"/>
  <c r="T203" i="21" s="1"/>
  <c r="K292" i="21"/>
  <c r="K23" i="21"/>
  <c r="K25" i="21" s="1"/>
  <c r="K27" i="21" s="1"/>
  <c r="T320" i="21"/>
  <c r="K290" i="21"/>
  <c r="T316" i="21"/>
  <c r="T288" i="21"/>
  <c r="T78" i="21"/>
  <c r="K13" i="21"/>
  <c r="T232" i="21"/>
  <c r="T191" i="21"/>
  <c r="T193" i="21" s="1"/>
  <c r="T196" i="21" s="1"/>
  <c r="K286" i="21"/>
  <c r="K287" i="21" s="1"/>
  <c r="K289" i="21" s="1"/>
  <c r="K218" i="21"/>
  <c r="K219" i="21" s="1"/>
  <c r="T76" i="21"/>
  <c r="T77" i="21" s="1"/>
  <c r="T314" i="21"/>
  <c r="T315" i="21" s="1"/>
  <c r="T82" i="21"/>
  <c r="K220" i="21"/>
  <c r="K222" i="21"/>
  <c r="K180" i="21"/>
  <c r="K174" i="21"/>
  <c r="K175" i="21" s="1"/>
  <c r="K176" i="21"/>
  <c r="T292" i="21"/>
  <c r="K260" i="21"/>
  <c r="K261" i="21" s="1"/>
  <c r="T37" i="21"/>
  <c r="T39" i="21" s="1"/>
  <c r="T42" i="21" s="1"/>
  <c r="K334" i="21"/>
  <c r="T149" i="21"/>
  <c r="T151" i="21" s="1"/>
  <c r="T154" i="21" s="1"/>
  <c r="T286" i="21"/>
  <c r="T287" i="21" s="1"/>
  <c r="T65" i="21"/>
  <c r="T67" i="21" s="1"/>
  <c r="T69" i="21" s="1"/>
  <c r="T247" i="21"/>
  <c r="T249" i="21" s="1"/>
  <c r="T252" i="21" s="1"/>
  <c r="K316" i="21"/>
  <c r="K246" i="21"/>
  <c r="K250" i="21"/>
  <c r="K137" i="21"/>
  <c r="K139" i="21" s="1"/>
  <c r="K314" i="21"/>
  <c r="K315" i="21" s="1"/>
  <c r="K244" i="21"/>
  <c r="K245" i="21" s="1"/>
  <c r="K328" i="21"/>
  <c r="K329" i="21" s="1"/>
  <c r="T163" i="21"/>
  <c r="T165" i="21" s="1"/>
  <c r="T167" i="21" s="1"/>
  <c r="K264" i="21"/>
  <c r="K318" i="21"/>
  <c r="K262" i="21"/>
  <c r="K330" i="21"/>
  <c r="K346" i="21"/>
  <c r="K342" i="21"/>
  <c r="K343" i="21" s="1"/>
  <c r="K345" i="21" s="1"/>
  <c r="K348" i="21"/>
  <c r="K202" i="21"/>
  <c r="K203" i="21" s="1"/>
  <c r="T236" i="21"/>
  <c r="T230" i="21"/>
  <c r="T231" i="21" s="1"/>
  <c r="T328" i="21"/>
  <c r="T329" i="21" s="1"/>
  <c r="T330" i="21"/>
  <c r="K236" i="21"/>
  <c r="T180" i="21"/>
  <c r="K190" i="21"/>
  <c r="K191" i="21" s="1"/>
  <c r="T334" i="21"/>
  <c r="K192" i="21"/>
  <c r="T174" i="21"/>
  <c r="T175" i="21" s="1"/>
  <c r="T176" i="21"/>
  <c r="K194" i="21"/>
  <c r="T272" i="21"/>
  <c r="T273" i="21" s="1"/>
  <c r="T121" i="21"/>
  <c r="T123" i="21" s="1"/>
  <c r="T126" i="21" s="1"/>
  <c r="T274" i="21"/>
  <c r="T278" i="21"/>
  <c r="K204" i="21"/>
  <c r="K65" i="21"/>
  <c r="K67" i="21" s="1"/>
  <c r="K70" i="21" s="1"/>
  <c r="K304" i="21"/>
  <c r="K306" i="21"/>
  <c r="T51" i="21"/>
  <c r="T53" i="21" s="1"/>
  <c r="T55" i="21" s="1"/>
  <c r="K206" i="21"/>
  <c r="K232" i="21"/>
  <c r="K233" i="21" s="1"/>
  <c r="K234" i="21"/>
  <c r="T132" i="21"/>
  <c r="T133" i="21" s="1"/>
  <c r="K300" i="21"/>
  <c r="K301" i="21" s="1"/>
  <c r="K303" i="21" s="1"/>
  <c r="T134" i="21"/>
  <c r="T138" i="21"/>
  <c r="T264" i="21"/>
  <c r="T258" i="21"/>
  <c r="T259" i="21" s="1"/>
  <c r="T260" i="21"/>
  <c r="K93" i="21"/>
  <c r="K95" i="21" s="1"/>
  <c r="K98" i="21" s="1"/>
  <c r="K40" i="12"/>
  <c r="X40" i="20"/>
  <c r="K33" i="12"/>
  <c r="X33" i="20"/>
  <c r="X41" i="13"/>
  <c r="K42" i="12"/>
  <c r="X42" i="20"/>
  <c r="X39" i="13"/>
  <c r="X48" i="13"/>
  <c r="K35" i="12"/>
  <c r="X35" i="20"/>
  <c r="K32" i="12"/>
  <c r="X32" i="20"/>
  <c r="K37" i="12"/>
  <c r="X37" i="20"/>
  <c r="X43" i="13"/>
  <c r="X46" i="13"/>
  <c r="X38" i="13"/>
  <c r="H19" i="9"/>
  <c r="H3" i="9"/>
  <c r="G15" i="9"/>
  <c r="G14" i="9"/>
  <c r="G13" i="9"/>
  <c r="G12" i="9"/>
  <c r="G11" i="9"/>
  <c r="G10" i="9"/>
  <c r="G9" i="9"/>
  <c r="G8" i="9"/>
  <c r="G7" i="9"/>
  <c r="G6" i="9"/>
  <c r="G5" i="9"/>
  <c r="E21" i="9" l="1"/>
  <c r="D22" i="9" s="1"/>
  <c r="F21" i="9"/>
  <c r="F15" i="9"/>
  <c r="F7" i="9"/>
  <c r="E8" i="9"/>
  <c r="D9" i="9" s="1"/>
  <c r="F6" i="9"/>
  <c r="F14" i="9"/>
  <c r="F13" i="9"/>
  <c r="E14" i="9"/>
  <c r="D15" i="9" s="1"/>
  <c r="E6" i="9"/>
  <c r="D7" i="9" s="1"/>
  <c r="E13" i="9"/>
  <c r="D14" i="9" s="1"/>
  <c r="E5" i="9"/>
  <c r="D6" i="9" s="1"/>
  <c r="F12" i="9"/>
  <c r="F11" i="9"/>
  <c r="E12" i="9"/>
  <c r="D13" i="9" s="1"/>
  <c r="F10" i="9"/>
  <c r="E11" i="9"/>
  <c r="D12" i="9" s="1"/>
  <c r="F9" i="9"/>
  <c r="E10" i="9"/>
  <c r="D11" i="9" s="1"/>
  <c r="F8" i="9"/>
  <c r="E9" i="9"/>
  <c r="D10" i="9" s="1"/>
  <c r="E7" i="9"/>
  <c r="D8" i="9" s="1"/>
  <c r="T345" i="21"/>
  <c r="T347" i="21" s="1"/>
  <c r="T349" i="21" s="1"/>
  <c r="K153" i="21"/>
  <c r="K42" i="21"/>
  <c r="T111" i="21"/>
  <c r="K125" i="21"/>
  <c r="K126" i="21"/>
  <c r="K275" i="21"/>
  <c r="K277" i="21" s="1"/>
  <c r="K279" i="21" s="1"/>
  <c r="T205" i="21"/>
  <c r="T207" i="21" s="1"/>
  <c r="T209" i="21" s="1"/>
  <c r="T79" i="21"/>
  <c r="T81" i="21" s="1"/>
  <c r="T84" i="21" s="1"/>
  <c r="T195" i="21"/>
  <c r="T308" i="21"/>
  <c r="T233" i="21"/>
  <c r="T235" i="21" s="1"/>
  <c r="T237" i="21" s="1"/>
  <c r="T98" i="21"/>
  <c r="K291" i="21"/>
  <c r="K294" i="21" s="1"/>
  <c r="K83" i="21"/>
  <c r="T219" i="21"/>
  <c r="T221" i="21" s="1"/>
  <c r="T223" i="21" s="1"/>
  <c r="T317" i="21"/>
  <c r="T319" i="21" s="1"/>
  <c r="T322" i="21" s="1"/>
  <c r="T289" i="21"/>
  <c r="T291" i="21" s="1"/>
  <c r="T294" i="21" s="1"/>
  <c r="K28" i="21"/>
  <c r="K221" i="21"/>
  <c r="K224" i="21" s="1"/>
  <c r="T70" i="21"/>
  <c r="T41" i="21"/>
  <c r="T251" i="21"/>
  <c r="T56" i="21"/>
  <c r="K177" i="21"/>
  <c r="K179" i="21" s="1"/>
  <c r="K181" i="21" s="1"/>
  <c r="T125" i="21"/>
  <c r="T153" i="21"/>
  <c r="T275" i="21"/>
  <c r="T277" i="21" s="1"/>
  <c r="T279" i="21" s="1"/>
  <c r="K247" i="21"/>
  <c r="K249" i="21" s="1"/>
  <c r="K251" i="21" s="1"/>
  <c r="K205" i="21"/>
  <c r="K207" i="21" s="1"/>
  <c r="K209" i="21" s="1"/>
  <c r="K347" i="21"/>
  <c r="K350" i="21" s="1"/>
  <c r="T168" i="21"/>
  <c r="K317" i="21"/>
  <c r="K319" i="21" s="1"/>
  <c r="K322" i="21" s="1"/>
  <c r="K331" i="21"/>
  <c r="K333" i="21" s="1"/>
  <c r="K335" i="21" s="1"/>
  <c r="T177" i="21"/>
  <c r="T179" i="21" s="1"/>
  <c r="T181" i="21" s="1"/>
  <c r="K193" i="21"/>
  <c r="K196" i="21" s="1"/>
  <c r="K140" i="21"/>
  <c r="K305" i="21"/>
  <c r="K308" i="21" s="1"/>
  <c r="T331" i="21"/>
  <c r="T333" i="21" s="1"/>
  <c r="T336" i="21" s="1"/>
  <c r="K263" i="21"/>
  <c r="K266" i="21" s="1"/>
  <c r="K97" i="21"/>
  <c r="K69" i="21"/>
  <c r="T135" i="21"/>
  <c r="T137" i="21" s="1"/>
  <c r="T139" i="21" s="1"/>
  <c r="K235" i="21"/>
  <c r="K238" i="21" s="1"/>
  <c r="T261" i="21"/>
  <c r="T263" i="21" s="1"/>
  <c r="T266" i="21" s="1"/>
  <c r="K39" i="12"/>
  <c r="X39" i="20"/>
  <c r="X47" i="13"/>
  <c r="K46" i="12"/>
  <c r="X46" i="20"/>
  <c r="K48" i="12"/>
  <c r="X48" i="20"/>
  <c r="X45" i="13"/>
  <c r="X54" i="13"/>
  <c r="K41" i="12"/>
  <c r="X41" i="20"/>
  <c r="K38" i="12"/>
  <c r="X38" i="20"/>
  <c r="K43" i="12"/>
  <c r="X43" i="20"/>
  <c r="X49" i="13"/>
  <c r="X44" i="13"/>
  <c r="X52" i="13"/>
  <c r="K58" i="8"/>
  <c r="T350" i="21" l="1"/>
  <c r="T83" i="21"/>
  <c r="T238" i="21"/>
  <c r="T210" i="21"/>
  <c r="T224" i="21"/>
  <c r="K280" i="21"/>
  <c r="T293" i="21"/>
  <c r="T321" i="21"/>
  <c r="K293" i="21"/>
  <c r="K223" i="21"/>
  <c r="K349" i="21"/>
  <c r="T280" i="21"/>
  <c r="K182" i="21"/>
  <c r="K252" i="21"/>
  <c r="K336" i="21"/>
  <c r="T182" i="21"/>
  <c r="K195" i="21"/>
  <c r="K321" i="21"/>
  <c r="K210" i="21"/>
  <c r="K307" i="21"/>
  <c r="T335" i="21"/>
  <c r="K265" i="21"/>
  <c r="T140" i="21"/>
  <c r="K237" i="21"/>
  <c r="T265" i="21"/>
  <c r="N8" i="8"/>
  <c r="L8" i="8"/>
  <c r="M8" i="8" s="1"/>
  <c r="P8" i="8"/>
  <c r="K54" i="12"/>
  <c r="X54" i="20"/>
  <c r="K45" i="12"/>
  <c r="X45" i="20"/>
  <c r="K47" i="12"/>
  <c r="X47" i="20"/>
  <c r="X51" i="13"/>
  <c r="X53" i="13"/>
  <c r="K52" i="12"/>
  <c r="X52" i="20"/>
  <c r="K44" i="12"/>
  <c r="X44" i="20"/>
  <c r="K49" i="12"/>
  <c r="X49" i="20"/>
  <c r="X55" i="13"/>
  <c r="O41" i="8"/>
  <c r="X50" i="13"/>
  <c r="O34" i="8"/>
  <c r="O53" i="8"/>
  <c r="O45" i="8"/>
  <c r="O16" i="8"/>
  <c r="O14" i="8"/>
  <c r="O30" i="8"/>
  <c r="O26" i="8"/>
  <c r="O23" i="8"/>
  <c r="O17" i="8"/>
  <c r="O15" i="8"/>
  <c r="O39" i="8"/>
  <c r="O47" i="8"/>
  <c r="O36" i="8"/>
  <c r="O27" i="8"/>
  <c r="O31" i="8"/>
  <c r="O25" i="8"/>
  <c r="E2" i="10"/>
  <c r="E2" i="11"/>
  <c r="B15" i="1"/>
  <c r="P53" i="1"/>
  <c r="B52" i="1"/>
  <c r="K53" i="12" l="1"/>
  <c r="X53" i="20"/>
  <c r="K51" i="12"/>
  <c r="X51" i="20"/>
  <c r="K50" i="12"/>
  <c r="X50" i="20"/>
  <c r="K55" i="12"/>
  <c r="X55" i="20"/>
  <c r="O13" i="8"/>
  <c r="O46" i="8"/>
  <c r="O52" i="8"/>
  <c r="O55" i="8"/>
  <c r="O56" i="8"/>
  <c r="O43" i="8"/>
  <c r="O40" i="8"/>
  <c r="O44" i="8"/>
  <c r="O33" i="8"/>
  <c r="O57" i="8"/>
  <c r="X56" i="13"/>
  <c r="O54" i="8"/>
  <c r="O42" i="8"/>
  <c r="O37" i="8"/>
  <c r="O35" i="8"/>
  <c r="O21" i="8"/>
  <c r="O12" i="8"/>
  <c r="O32" i="8"/>
  <c r="O10" i="8"/>
  <c r="O9" i="8"/>
  <c r="O49" i="8"/>
  <c r="O50" i="8"/>
  <c r="O29" i="8"/>
  <c r="O51" i="8"/>
  <c r="O19" i="8"/>
  <c r="O24" i="8"/>
  <c r="O22" i="8"/>
  <c r="O48" i="8"/>
  <c r="O18" i="8"/>
  <c r="O38" i="8"/>
  <c r="O28" i="8"/>
  <c r="O11" i="8"/>
  <c r="O8" i="8"/>
  <c r="K56" i="12" l="1"/>
  <c r="K57" i="12" s="1"/>
  <c r="X56" i="20"/>
  <c r="X57" i="20" s="1"/>
  <c r="Y29" i="1" s="1"/>
  <c r="P40" i="8"/>
  <c r="O20" i="8" l="1"/>
  <c r="T20" i="21" l="1"/>
  <c r="T21" i="21" s="1"/>
  <c r="T22" i="21"/>
  <c r="T26" i="21"/>
  <c r="T24" i="21"/>
  <c r="T23" i="21" l="1"/>
  <c r="T25" i="21" s="1"/>
  <c r="T27" i="21" l="1"/>
  <c r="T28" i="21"/>
  <c r="T5" i="21" l="1"/>
  <c r="T12" i="21" l="1"/>
  <c r="T6" i="21"/>
  <c r="T7" i="21" s="1"/>
  <c r="T8" i="21"/>
  <c r="T10" i="21"/>
  <c r="T9" i="21" l="1"/>
  <c r="T11" i="21" s="1"/>
  <c r="T13" i="21" l="1"/>
  <c r="T14" i="21"/>
  <c r="R8" i="8" l="1"/>
  <c r="G12" i="21" s="1"/>
  <c r="J7" i="19" s="1"/>
  <c r="K7" i="19" s="1"/>
  <c r="I12" i="21" s="1"/>
  <c r="O7" i="19" s="1"/>
  <c r="R7" i="19" s="1"/>
  <c r="AG7" i="20" s="1"/>
  <c r="P7" i="19" l="1"/>
  <c r="AA7" i="20" s="1"/>
  <c r="N7" i="19"/>
  <c r="Z7" i="20"/>
  <c r="R278" i="21"/>
  <c r="I26" i="21"/>
  <c r="I40" i="21"/>
  <c r="R54" i="21"/>
  <c r="I82" i="21"/>
  <c r="R96" i="21"/>
  <c r="I124" i="21"/>
  <c r="I152" i="21"/>
  <c r="R194" i="21"/>
  <c r="I348" i="21" l="1"/>
  <c r="I306" i="21"/>
  <c r="I292" i="21"/>
  <c r="I278" i="21"/>
  <c r="I208" i="21"/>
  <c r="I180" i="21"/>
  <c r="R68" i="21"/>
  <c r="I320" i="21"/>
  <c r="R306" i="21"/>
  <c r="I236" i="21"/>
  <c r="U7" i="20"/>
  <c r="Q7" i="19"/>
  <c r="AF7" i="20" s="1"/>
  <c r="Q32" i="8"/>
  <c r="Q53" i="8"/>
  <c r="Q8" i="8"/>
  <c r="Q16" i="8"/>
  <c r="Q29" i="8"/>
  <c r="P151" i="21" s="1"/>
  <c r="R151" i="21" s="1"/>
  <c r="I250" i="21"/>
  <c r="R138" i="21"/>
  <c r="I334" i="21"/>
  <c r="G11" i="21" l="1"/>
  <c r="I11" i="21" s="1"/>
  <c r="I13" i="21" s="1"/>
  <c r="S8" i="8"/>
  <c r="G179" i="21"/>
  <c r="I179" i="21" s="1"/>
  <c r="G67" i="21"/>
  <c r="I67" i="21" s="1"/>
  <c r="P319" i="21"/>
  <c r="R319" i="21" s="1"/>
  <c r="L56" i="19"/>
  <c r="L53" i="19"/>
  <c r="L43" i="19"/>
  <c r="T8" i="8"/>
  <c r="G14" i="21" s="1"/>
  <c r="L8" i="19"/>
  <c r="L35" i="19"/>
  <c r="L29" i="19"/>
  <c r="L19" i="19"/>
  <c r="L31" i="19"/>
  <c r="L16" i="19"/>
  <c r="I14" i="21" l="1"/>
  <c r="U8" i="8"/>
  <c r="I182" i="21"/>
  <c r="I181" i="21"/>
  <c r="L52" i="19"/>
  <c r="L15" i="19"/>
  <c r="L28" i="19"/>
  <c r="L7" i="19"/>
  <c r="I7" i="12"/>
  <c r="AC7" i="20"/>
  <c r="R263" i="21" l="1"/>
  <c r="I39" i="21"/>
  <c r="I41" i="21" s="1"/>
  <c r="Q12" i="8"/>
  <c r="R39" i="21"/>
  <c r="R291" i="21"/>
  <c r="Q49" i="8" s="1"/>
  <c r="I53" i="21"/>
  <c r="Q14" i="8" s="1"/>
  <c r="G53" i="21" s="1"/>
  <c r="R53" i="21"/>
  <c r="Q15" i="8" s="1"/>
  <c r="P53" i="21" s="1"/>
  <c r="R81" i="21"/>
  <c r="R123" i="21"/>
  <c r="Q25" i="8" s="1"/>
  <c r="P123" i="21" s="1"/>
  <c r="R179" i="21"/>
  <c r="Q33" i="8"/>
  <c r="I193" i="21"/>
  <c r="Q34" i="8"/>
  <c r="I221" i="21"/>
  <c r="R221" i="21"/>
  <c r="Q39" i="8" s="1"/>
  <c r="P221" i="21" s="1"/>
  <c r="G39" i="21" l="1"/>
  <c r="I42" i="21"/>
  <c r="P179" i="21"/>
  <c r="P291" i="21"/>
  <c r="G193" i="21"/>
  <c r="R55" i="21"/>
  <c r="Q13" i="8"/>
  <c r="P39" i="21" s="1"/>
  <c r="R25" i="21"/>
  <c r="Q19" i="8"/>
  <c r="R95" i="21"/>
  <c r="Q21" i="8" s="1"/>
  <c r="I137" i="21"/>
  <c r="R137" i="21"/>
  <c r="Q38" i="8"/>
  <c r="I235" i="21"/>
  <c r="R249" i="21"/>
  <c r="Q45" i="8"/>
  <c r="R277" i="21"/>
  <c r="R280" i="21" s="1"/>
  <c r="R333" i="21"/>
  <c r="I319" i="21"/>
  <c r="I249" i="21"/>
  <c r="I277" i="21"/>
  <c r="I291" i="21"/>
  <c r="L48" i="19"/>
  <c r="I305" i="21"/>
  <c r="R305" i="21"/>
  <c r="I347" i="21"/>
  <c r="Q41" i="8"/>
  <c r="P235" i="21" s="1"/>
  <c r="R235" i="21" s="1"/>
  <c r="R207" i="21"/>
  <c r="R193" i="21"/>
  <c r="L32" i="19"/>
  <c r="R165" i="21"/>
  <c r="I151" i="21"/>
  <c r="I123" i="21"/>
  <c r="R109" i="21"/>
  <c r="I109" i="21"/>
  <c r="I81" i="21"/>
  <c r="R56" i="21"/>
  <c r="L11" i="19"/>
  <c r="I25" i="21"/>
  <c r="P263" i="21" l="1"/>
  <c r="P95" i="21"/>
  <c r="P81" i="21"/>
  <c r="G221" i="21"/>
  <c r="Q11" i="8"/>
  <c r="P25" i="21" s="1"/>
  <c r="R97" i="21"/>
  <c r="R98" i="21"/>
  <c r="Q26" i="8"/>
  <c r="G137" i="21" s="1"/>
  <c r="R139" i="21"/>
  <c r="Q27" i="8"/>
  <c r="P137" i="21" s="1"/>
  <c r="R140" i="21"/>
  <c r="Q40" i="8"/>
  <c r="G235" i="21" s="1"/>
  <c r="I238" i="21"/>
  <c r="I237" i="21"/>
  <c r="Q43" i="8"/>
  <c r="P249" i="21" s="1"/>
  <c r="R279" i="21"/>
  <c r="Q47" i="8"/>
  <c r="P277" i="21" s="1"/>
  <c r="Q55" i="8"/>
  <c r="P333" i="21" s="1"/>
  <c r="I322" i="21"/>
  <c r="I321" i="21"/>
  <c r="Q52" i="8"/>
  <c r="G319" i="21" s="1"/>
  <c r="Q42" i="8"/>
  <c r="G249" i="21" s="1"/>
  <c r="I251" i="21"/>
  <c r="I252" i="21"/>
  <c r="L44" i="19"/>
  <c r="I280" i="21"/>
  <c r="I279" i="21"/>
  <c r="Q46" i="8"/>
  <c r="G277" i="21" s="1"/>
  <c r="Q48" i="8"/>
  <c r="G291" i="21" s="1"/>
  <c r="I294" i="21"/>
  <c r="I293" i="21"/>
  <c r="I308" i="21"/>
  <c r="I307" i="21"/>
  <c r="Q50" i="8"/>
  <c r="G305" i="21" s="1"/>
  <c r="R308" i="21"/>
  <c r="Q51" i="8"/>
  <c r="P305" i="21" s="1"/>
  <c r="R307" i="21"/>
  <c r="Q56" i="8"/>
  <c r="G347" i="21" s="1"/>
  <c r="I350" i="21"/>
  <c r="I349" i="21"/>
  <c r="L38" i="19"/>
  <c r="Q37" i="8"/>
  <c r="P207" i="21" s="1"/>
  <c r="R195" i="21"/>
  <c r="R196" i="21"/>
  <c r="Q35" i="8"/>
  <c r="P193" i="21" s="1"/>
  <c r="L33" i="19"/>
  <c r="Q31" i="8"/>
  <c r="P165" i="21" s="1"/>
  <c r="I154" i="21"/>
  <c r="Q28" i="8"/>
  <c r="G151" i="21" s="1"/>
  <c r="I153" i="21"/>
  <c r="L24" i="19"/>
  <c r="I126" i="21"/>
  <c r="I125" i="21"/>
  <c r="Q24" i="8"/>
  <c r="G123" i="21" s="1"/>
  <c r="Q23" i="8"/>
  <c r="P109" i="21" s="1"/>
  <c r="Q22" i="8"/>
  <c r="G109" i="21" s="1"/>
  <c r="L20" i="19"/>
  <c r="I83" i="21"/>
  <c r="Q18" i="8"/>
  <c r="G81" i="21" s="1"/>
  <c r="I84" i="21"/>
  <c r="L14" i="19"/>
  <c r="L13" i="19"/>
  <c r="I28" i="21"/>
  <c r="I27" i="21"/>
  <c r="Q10" i="8"/>
  <c r="G25" i="21" s="1"/>
  <c r="L12" i="19" l="1"/>
  <c r="L46" i="19"/>
  <c r="L40" i="19"/>
  <c r="L10" i="19" l="1"/>
  <c r="L25" i="19"/>
  <c r="L26" i="19"/>
  <c r="L39" i="19"/>
  <c r="L42" i="19"/>
  <c r="L54" i="19"/>
  <c r="L51" i="19"/>
  <c r="L41" i="19"/>
  <c r="L45" i="19"/>
  <c r="L47" i="19"/>
  <c r="L49" i="19"/>
  <c r="L50" i="19"/>
  <c r="L55" i="19"/>
  <c r="L36" i="19"/>
  <c r="L34" i="19"/>
  <c r="L30" i="19"/>
  <c r="L27" i="19"/>
  <c r="L23" i="19"/>
  <c r="L22" i="19"/>
  <c r="L21" i="19"/>
  <c r="L17" i="19"/>
  <c r="L9" i="19"/>
  <c r="Q44" i="8"/>
  <c r="R44" i="8"/>
  <c r="G264" i="21" s="1"/>
  <c r="I264" i="21"/>
  <c r="R9" i="8"/>
  <c r="P12" i="21" s="1"/>
  <c r="J8" i="19" s="1"/>
  <c r="K8" i="19" s="1"/>
  <c r="Q9" i="8"/>
  <c r="P11" i="21" s="1"/>
  <c r="R45" i="8"/>
  <c r="S45" i="8" s="1"/>
  <c r="T44" i="20" s="1"/>
  <c r="J44" i="12" s="1"/>
  <c r="R264" i="21"/>
  <c r="R265" i="21" s="1"/>
  <c r="R10" i="8"/>
  <c r="T10" i="8" s="1"/>
  <c r="R46" i="8"/>
  <c r="G278" i="21" s="1"/>
  <c r="R11" i="8"/>
  <c r="T11" i="8" s="1"/>
  <c r="I10" i="12" s="1"/>
  <c r="R47" i="8"/>
  <c r="S47" i="8" s="1"/>
  <c r="T46" i="20" s="1"/>
  <c r="J46" i="12" s="1"/>
  <c r="R12" i="8"/>
  <c r="S12" i="8" s="1"/>
  <c r="T11" i="20" s="1"/>
  <c r="J11" i="12" s="1"/>
  <c r="R48" i="8"/>
  <c r="S48" i="8" s="1"/>
  <c r="T47" i="20" s="1"/>
  <c r="J47" i="12" s="1"/>
  <c r="R13" i="8"/>
  <c r="P40" i="21" s="1"/>
  <c r="R49" i="8"/>
  <c r="P292" i="21" s="1"/>
  <c r="R292" i="21"/>
  <c r="R293" i="21" s="1"/>
  <c r="R14" i="8"/>
  <c r="T14" i="8" s="1"/>
  <c r="I13" i="12" s="1"/>
  <c r="R50" i="8"/>
  <c r="S50" i="8" s="1"/>
  <c r="T49" i="20" s="1"/>
  <c r="J49" i="12" s="1"/>
  <c r="R15" i="8"/>
  <c r="T15" i="8" s="1"/>
  <c r="R51" i="8"/>
  <c r="P306" i="21" s="1"/>
  <c r="R16" i="8"/>
  <c r="T16" i="8" s="1"/>
  <c r="R52" i="8"/>
  <c r="T52" i="8" s="1"/>
  <c r="I51" i="12" s="1"/>
  <c r="R17" i="8"/>
  <c r="P68" i="21" s="1"/>
  <c r="Q17" i="8"/>
  <c r="R53" i="8"/>
  <c r="S53" i="8" s="1"/>
  <c r="T52" i="20" s="1"/>
  <c r="J52" i="12" s="1"/>
  <c r="R320" i="21"/>
  <c r="R321" i="21" s="1"/>
  <c r="R18" i="8"/>
  <c r="G82" i="21" s="1"/>
  <c r="Q54" i="8"/>
  <c r="G333" i="21" s="1"/>
  <c r="R54" i="8"/>
  <c r="G334" i="21" s="1"/>
  <c r="R19" i="8"/>
  <c r="S19" i="8" s="1"/>
  <c r="T18" i="20" s="1"/>
  <c r="J18" i="12" s="1"/>
  <c r="R55" i="8"/>
  <c r="P334" i="21" s="1"/>
  <c r="R334" i="21"/>
  <c r="R336" i="21" s="1"/>
  <c r="R20" i="8"/>
  <c r="G96" i="21" s="1"/>
  <c r="Q20" i="8"/>
  <c r="R56" i="8"/>
  <c r="G348" i="21" s="1"/>
  <c r="N55" i="19" s="1"/>
  <c r="U55" i="20" s="1"/>
  <c r="R21" i="8"/>
  <c r="T21" i="8" s="1"/>
  <c r="Q57" i="8"/>
  <c r="R57" i="8"/>
  <c r="P348" i="21" s="1"/>
  <c r="R348" i="21"/>
  <c r="R22" i="8"/>
  <c r="G110" i="21" s="1"/>
  <c r="R23" i="8"/>
  <c r="S23" i="8" s="1"/>
  <c r="T22" i="20" s="1"/>
  <c r="J22" i="12" s="1"/>
  <c r="R24" i="8"/>
  <c r="T24" i="8" s="1"/>
  <c r="I23" i="12" s="1"/>
  <c r="R25" i="8"/>
  <c r="S25" i="8" s="1"/>
  <c r="T24" i="20" s="1"/>
  <c r="J24" i="12" s="1"/>
  <c r="R26" i="8"/>
  <c r="T26" i="8" s="1"/>
  <c r="I25" i="12" s="1"/>
  <c r="R27" i="8"/>
  <c r="P138" i="21" s="1"/>
  <c r="R28" i="8"/>
  <c r="S28" i="8" s="1"/>
  <c r="T27" i="20" s="1"/>
  <c r="J27" i="12" s="1"/>
  <c r="R29" i="8"/>
  <c r="S29" i="8" s="1"/>
  <c r="T28" i="20" s="1"/>
  <c r="J28" i="12" s="1"/>
  <c r="Q30" i="8"/>
  <c r="R30" i="8"/>
  <c r="G166" i="21" s="1"/>
  <c r="R31" i="8"/>
  <c r="T31" i="8" s="1"/>
  <c r="I30" i="12" s="1"/>
  <c r="R32" i="8"/>
  <c r="G180" i="21" s="1"/>
  <c r="R33" i="8"/>
  <c r="S33" i="8" s="1"/>
  <c r="R34" i="8"/>
  <c r="T34" i="8" s="1"/>
  <c r="I33" i="12" s="1"/>
  <c r="R35" i="8"/>
  <c r="T35" i="8" s="1"/>
  <c r="AC34" i="20" s="1"/>
  <c r="Q36" i="8"/>
  <c r="R36" i="8"/>
  <c r="G208" i="21" s="1"/>
  <c r="N35" i="19" s="1"/>
  <c r="U35" i="20" s="1"/>
  <c r="R37" i="8"/>
  <c r="S37" i="8" s="1"/>
  <c r="P209" i="21" s="1"/>
  <c r="R38" i="8"/>
  <c r="S38" i="8" s="1"/>
  <c r="T37" i="20" s="1"/>
  <c r="J37" i="12" s="1"/>
  <c r="R39" i="8"/>
  <c r="T39" i="8" s="1"/>
  <c r="I38" i="12" s="1"/>
  <c r="R40" i="8"/>
  <c r="S40" i="8" s="1"/>
  <c r="T39" i="20" s="1"/>
  <c r="J39" i="12" s="1"/>
  <c r="R41" i="8"/>
  <c r="S41" i="8" s="1"/>
  <c r="T40" i="20" s="1"/>
  <c r="J40" i="12" s="1"/>
  <c r="R42" i="8"/>
  <c r="G250" i="21" s="1"/>
  <c r="R43" i="8"/>
  <c r="T43" i="8" s="1"/>
  <c r="I42" i="12" s="1"/>
  <c r="R12" i="21"/>
  <c r="R26" i="21"/>
  <c r="R40" i="21"/>
  <c r="R42" i="21" s="1"/>
  <c r="I54" i="21"/>
  <c r="I55" i="21" s="1"/>
  <c r="I68" i="21"/>
  <c r="I69" i="21" s="1"/>
  <c r="R82" i="21"/>
  <c r="R84" i="21" s="1"/>
  <c r="I96" i="21"/>
  <c r="I110" i="21"/>
  <c r="I112" i="21" s="1"/>
  <c r="R110" i="21"/>
  <c r="R112" i="21" s="1"/>
  <c r="R124" i="21"/>
  <c r="R126" i="21" s="1"/>
  <c r="I138" i="21"/>
  <c r="I140" i="21" s="1"/>
  <c r="R152" i="21"/>
  <c r="R154" i="21" s="1"/>
  <c r="I166" i="21"/>
  <c r="R166" i="21"/>
  <c r="R167" i="21" s="1"/>
  <c r="R180" i="21"/>
  <c r="R181" i="21" s="1"/>
  <c r="I194" i="21"/>
  <c r="I195" i="21" s="1"/>
  <c r="R208" i="21"/>
  <c r="R209" i="21" s="1"/>
  <c r="I222" i="21"/>
  <c r="I223" i="21" s="1"/>
  <c r="R222" i="21"/>
  <c r="R223" i="21" s="1"/>
  <c r="R236" i="21"/>
  <c r="R237" i="21" s="1"/>
  <c r="R250" i="21"/>
  <c r="R252" i="21" s="1"/>
  <c r="I333" i="21"/>
  <c r="I335" i="21" s="1"/>
  <c r="R67" i="21"/>
  <c r="R70" i="21" s="1"/>
  <c r="I207" i="21"/>
  <c r="I210" i="21" s="1"/>
  <c r="R347" i="21"/>
  <c r="I95" i="21"/>
  <c r="I263" i="21"/>
  <c r="R11" i="21"/>
  <c r="I165" i="21"/>
  <c r="L18" i="19"/>
  <c r="L37" i="19"/>
  <c r="N29" i="19" l="1"/>
  <c r="U29" i="20" s="1"/>
  <c r="T47" i="8"/>
  <c r="I46" i="12" s="1"/>
  <c r="M46" i="12" s="1"/>
  <c r="R182" i="21"/>
  <c r="I97" i="21"/>
  <c r="G40" i="21"/>
  <c r="N11" i="19" s="1"/>
  <c r="Q11" i="19" s="1"/>
  <c r="AF11" i="20" s="1"/>
  <c r="T23" i="8"/>
  <c r="I22" i="12" s="1"/>
  <c r="M22" i="12" s="1"/>
  <c r="P110" i="21"/>
  <c r="P22" i="19" s="1"/>
  <c r="AA22" i="20" s="1"/>
  <c r="I111" i="21"/>
  <c r="R153" i="21"/>
  <c r="P222" i="21"/>
  <c r="J38" i="19" s="1"/>
  <c r="K38" i="19" s="1"/>
  <c r="R349" i="21"/>
  <c r="T48" i="8"/>
  <c r="I47" i="12" s="1"/>
  <c r="M47" i="12" s="1"/>
  <c r="I56" i="21"/>
  <c r="G236" i="21"/>
  <c r="J39" i="19" s="1"/>
  <c r="K39" i="19" s="1"/>
  <c r="T56" i="8"/>
  <c r="I55" i="12" s="1"/>
  <c r="S56" i="8"/>
  <c r="T55" i="20" s="1"/>
  <c r="J55" i="12" s="1"/>
  <c r="R322" i="21"/>
  <c r="T50" i="8"/>
  <c r="I49" i="12" s="1"/>
  <c r="M49" i="12" s="1"/>
  <c r="G306" i="21"/>
  <c r="N49" i="19" s="1"/>
  <c r="U49" i="20" s="1"/>
  <c r="T41" i="8"/>
  <c r="I40" i="12" s="1"/>
  <c r="M40" i="12" s="1"/>
  <c r="P236" i="21"/>
  <c r="J40" i="19" s="1"/>
  <c r="K40" i="19" s="1"/>
  <c r="R238" i="21"/>
  <c r="S39" i="8"/>
  <c r="T38" i="20" s="1"/>
  <c r="J38" i="12" s="1"/>
  <c r="M38" i="12" s="1"/>
  <c r="I224" i="21"/>
  <c r="O35" i="19"/>
  <c r="R35" i="19" s="1"/>
  <c r="AG35" i="20" s="1"/>
  <c r="P194" i="21"/>
  <c r="S35" i="8"/>
  <c r="T34" i="20" s="1"/>
  <c r="J34" i="12" s="1"/>
  <c r="I196" i="21"/>
  <c r="R168" i="21"/>
  <c r="I167" i="21"/>
  <c r="P152" i="21"/>
  <c r="O28" i="19" s="1"/>
  <c r="Z28" i="20" s="1"/>
  <c r="G152" i="21"/>
  <c r="T28" i="8"/>
  <c r="I27" i="12" s="1"/>
  <c r="M27" i="12" s="1"/>
  <c r="P26" i="19"/>
  <c r="AA26" i="20" s="1"/>
  <c r="N26" i="19"/>
  <c r="U26" i="20" s="1"/>
  <c r="O26" i="19"/>
  <c r="Z26" i="20" s="1"/>
  <c r="J26" i="19"/>
  <c r="K26" i="19" s="1"/>
  <c r="S27" i="8"/>
  <c r="T26" i="20" s="1"/>
  <c r="J26" i="12" s="1"/>
  <c r="T27" i="8"/>
  <c r="I26" i="12" s="1"/>
  <c r="S26" i="8"/>
  <c r="T25" i="20" s="1"/>
  <c r="J25" i="12" s="1"/>
  <c r="M25" i="12" s="1"/>
  <c r="I139" i="21"/>
  <c r="R125" i="21"/>
  <c r="P82" i="21"/>
  <c r="N18" i="19" s="1"/>
  <c r="U18" i="20" s="1"/>
  <c r="G54" i="21"/>
  <c r="N13" i="19" s="1"/>
  <c r="U13" i="20" s="1"/>
  <c r="S14" i="8"/>
  <c r="T13" i="20" s="1"/>
  <c r="J13" i="12" s="1"/>
  <c r="S13" i="8"/>
  <c r="T12" i="20" s="1"/>
  <c r="J12" i="12" s="1"/>
  <c r="T12" i="8"/>
  <c r="I11" i="12" s="1"/>
  <c r="P26" i="21"/>
  <c r="N10" i="19" s="1"/>
  <c r="U10" i="20" s="1"/>
  <c r="S11" i="8"/>
  <c r="T10" i="20" s="1"/>
  <c r="J10" i="12" s="1"/>
  <c r="G26" i="21"/>
  <c r="N9" i="19" s="1"/>
  <c r="U9" i="20" s="1"/>
  <c r="R13" i="21"/>
  <c r="P55" i="19"/>
  <c r="AA55" i="20" s="1"/>
  <c r="J55" i="19"/>
  <c r="K55" i="19" s="1"/>
  <c r="O55" i="19"/>
  <c r="R55" i="19" s="1"/>
  <c r="AG55" i="20" s="1"/>
  <c r="N54" i="19"/>
  <c r="U54" i="20" s="1"/>
  <c r="J54" i="19"/>
  <c r="K54" i="19" s="1"/>
  <c r="S55" i="8"/>
  <c r="T54" i="20" s="1"/>
  <c r="J54" i="12" s="1"/>
  <c r="T55" i="8"/>
  <c r="AC54" i="20" s="1"/>
  <c r="G320" i="21"/>
  <c r="S52" i="8"/>
  <c r="T51" i="20" s="1"/>
  <c r="J51" i="12" s="1"/>
  <c r="M51" i="12" s="1"/>
  <c r="N50" i="19"/>
  <c r="U50" i="20" s="1"/>
  <c r="P50" i="19"/>
  <c r="AA50" i="20" s="1"/>
  <c r="O50" i="19"/>
  <c r="Z50" i="20" s="1"/>
  <c r="J50" i="19"/>
  <c r="K50" i="19" s="1"/>
  <c r="T51" i="8"/>
  <c r="I50" i="12" s="1"/>
  <c r="S51" i="8"/>
  <c r="T50" i="20" s="1"/>
  <c r="J50" i="12" s="1"/>
  <c r="T49" i="8"/>
  <c r="I48" i="12" s="1"/>
  <c r="R294" i="21"/>
  <c r="S49" i="8"/>
  <c r="T48" i="20" s="1"/>
  <c r="J48" i="12" s="1"/>
  <c r="G292" i="21"/>
  <c r="N45" i="19"/>
  <c r="U45" i="20" s="1"/>
  <c r="O45" i="19"/>
  <c r="Z45" i="20" s="1"/>
  <c r="J45" i="19"/>
  <c r="K45" i="19" s="1"/>
  <c r="P45" i="19"/>
  <c r="AA45" i="20" s="1"/>
  <c r="S46" i="8"/>
  <c r="T45" i="20" s="1"/>
  <c r="J45" i="12" s="1"/>
  <c r="T46" i="8"/>
  <c r="AC45" i="20" s="1"/>
  <c r="P264" i="21"/>
  <c r="J44" i="19" s="1"/>
  <c r="K44" i="19" s="1"/>
  <c r="R266" i="21"/>
  <c r="T45" i="8"/>
  <c r="I44" i="12" s="1"/>
  <c r="M44" i="12" s="1"/>
  <c r="I266" i="21"/>
  <c r="R251" i="21"/>
  <c r="S43" i="8"/>
  <c r="T42" i="20" s="1"/>
  <c r="J42" i="12" s="1"/>
  <c r="M42" i="12" s="1"/>
  <c r="P250" i="21"/>
  <c r="O42" i="19" s="1"/>
  <c r="N41" i="19"/>
  <c r="U41" i="20" s="1"/>
  <c r="P41" i="19"/>
  <c r="AA41" i="20" s="1"/>
  <c r="J41" i="19"/>
  <c r="K41" i="19" s="1"/>
  <c r="O41" i="19"/>
  <c r="Z41" i="20" s="1"/>
  <c r="S42" i="8"/>
  <c r="T41" i="20" s="1"/>
  <c r="J41" i="12" s="1"/>
  <c r="T42" i="8"/>
  <c r="I41" i="12" s="1"/>
  <c r="R224" i="21"/>
  <c r="G222" i="21"/>
  <c r="J37" i="19" s="1"/>
  <c r="K37" i="19" s="1"/>
  <c r="T38" i="8"/>
  <c r="AC37" i="20" s="1"/>
  <c r="P35" i="19"/>
  <c r="AA35" i="20" s="1"/>
  <c r="S36" i="8"/>
  <c r="T35" i="20" s="1"/>
  <c r="J35" i="12" s="1"/>
  <c r="J35" i="19"/>
  <c r="K35" i="19" s="1"/>
  <c r="G194" i="21"/>
  <c r="S34" i="8"/>
  <c r="T33" i="20" s="1"/>
  <c r="J33" i="12" s="1"/>
  <c r="M33" i="12" s="1"/>
  <c r="T32" i="8"/>
  <c r="I31" i="12" s="1"/>
  <c r="S31" i="8"/>
  <c r="T30" i="20" s="1"/>
  <c r="J30" i="12" s="1"/>
  <c r="M30" i="12" s="1"/>
  <c r="P166" i="21"/>
  <c r="P29" i="19"/>
  <c r="AA29" i="20" s="1"/>
  <c r="O29" i="19"/>
  <c r="R29" i="19" s="1"/>
  <c r="AG29" i="20" s="1"/>
  <c r="J29" i="19"/>
  <c r="K29" i="19" s="1"/>
  <c r="G138" i="21"/>
  <c r="R111" i="21"/>
  <c r="O21" i="19"/>
  <c r="Z21" i="20" s="1"/>
  <c r="J21" i="19"/>
  <c r="K21" i="19" s="1"/>
  <c r="N21" i="19"/>
  <c r="U21" i="20" s="1"/>
  <c r="P21" i="19"/>
  <c r="AA21" i="20" s="1"/>
  <c r="T22" i="8"/>
  <c r="I21" i="12" s="1"/>
  <c r="S22" i="8"/>
  <c r="T21" i="20" s="1"/>
  <c r="J21" i="12" s="1"/>
  <c r="O19" i="19"/>
  <c r="Z19" i="20" s="1"/>
  <c r="P19" i="19"/>
  <c r="AA19" i="20" s="1"/>
  <c r="N19" i="19"/>
  <c r="Q19" i="19" s="1"/>
  <c r="AF19" i="20" s="1"/>
  <c r="J19" i="19"/>
  <c r="K19" i="19" s="1"/>
  <c r="T20" i="8"/>
  <c r="I19" i="12" s="1"/>
  <c r="R83" i="21"/>
  <c r="N17" i="19"/>
  <c r="U17" i="20" s="1"/>
  <c r="O17" i="19"/>
  <c r="Z17" i="20" s="1"/>
  <c r="P17" i="19"/>
  <c r="AA17" i="20" s="1"/>
  <c r="J17" i="19"/>
  <c r="K17" i="19" s="1"/>
  <c r="T18" i="8"/>
  <c r="I17" i="12" s="1"/>
  <c r="S18" i="8"/>
  <c r="T17" i="20" s="1"/>
  <c r="J17" i="12" s="1"/>
  <c r="P16" i="19"/>
  <c r="AA16" i="20" s="1"/>
  <c r="J16" i="19"/>
  <c r="K16" i="19" s="1"/>
  <c r="O16" i="19"/>
  <c r="Z16" i="20" s="1"/>
  <c r="N16" i="19"/>
  <c r="U16" i="20" s="1"/>
  <c r="I14" i="12"/>
  <c r="P56" i="21"/>
  <c r="AC14" i="20"/>
  <c r="S15" i="8"/>
  <c r="P55" i="21" s="1"/>
  <c r="P54" i="21"/>
  <c r="N12" i="19"/>
  <c r="U12" i="20" s="1"/>
  <c r="J12" i="19"/>
  <c r="K12" i="19" s="1"/>
  <c r="T13" i="8"/>
  <c r="I12" i="12" s="1"/>
  <c r="O12" i="19"/>
  <c r="Z12" i="20" s="1"/>
  <c r="R27" i="21"/>
  <c r="R28" i="21"/>
  <c r="S10" i="8"/>
  <c r="T9" i="20" s="1"/>
  <c r="J9" i="12" s="1"/>
  <c r="I20" i="12"/>
  <c r="P98" i="21"/>
  <c r="I9" i="12"/>
  <c r="G28" i="21"/>
  <c r="P56" i="19"/>
  <c r="AA56" i="20" s="1"/>
  <c r="O56" i="19"/>
  <c r="Z56" i="20" s="1"/>
  <c r="N56" i="19"/>
  <c r="U56" i="20" s="1"/>
  <c r="J56" i="19"/>
  <c r="K56" i="19" s="1"/>
  <c r="I15" i="12"/>
  <c r="G70" i="21"/>
  <c r="AC15" i="20"/>
  <c r="J43" i="19"/>
  <c r="K43" i="19" s="1"/>
  <c r="P43" i="19"/>
  <c r="AA43" i="20" s="1"/>
  <c r="N43" i="19"/>
  <c r="O43" i="19"/>
  <c r="R43" i="19" s="1"/>
  <c r="AG43" i="20" s="1"/>
  <c r="P53" i="19"/>
  <c r="AA53" i="20" s="1"/>
  <c r="N53" i="19"/>
  <c r="U53" i="20" s="1"/>
  <c r="O53" i="19"/>
  <c r="Z53" i="20" s="1"/>
  <c r="J53" i="19"/>
  <c r="K53" i="19" s="1"/>
  <c r="N31" i="19"/>
  <c r="U31" i="20" s="1"/>
  <c r="P31" i="19"/>
  <c r="AA31" i="20" s="1"/>
  <c r="O31" i="19"/>
  <c r="R31" i="19" s="1"/>
  <c r="AG31" i="20" s="1"/>
  <c r="J31" i="19"/>
  <c r="K31" i="19" s="1"/>
  <c r="T32" i="20"/>
  <c r="J32" i="12" s="1"/>
  <c r="P181" i="21"/>
  <c r="J48" i="19"/>
  <c r="K48" i="19" s="1"/>
  <c r="N48" i="19"/>
  <c r="O48" i="19"/>
  <c r="Z48" i="20" s="1"/>
  <c r="P48" i="19"/>
  <c r="AA48" i="20" s="1"/>
  <c r="T40" i="8"/>
  <c r="G238" i="21" s="1"/>
  <c r="G68" i="21"/>
  <c r="S32" i="8"/>
  <c r="T31" i="20" s="1"/>
  <c r="J31" i="12" s="1"/>
  <c r="S24" i="8"/>
  <c r="T23" i="20" s="1"/>
  <c r="J23" i="12" s="1"/>
  <c r="M23" i="12" s="1"/>
  <c r="S16" i="8"/>
  <c r="T15" i="20" s="1"/>
  <c r="J15" i="12" s="1"/>
  <c r="T17" i="8"/>
  <c r="I16" i="12" s="1"/>
  <c r="S44" i="8"/>
  <c r="T43" i="20" s="1"/>
  <c r="J43" i="12" s="1"/>
  <c r="O49" i="19"/>
  <c r="Z49" i="20" s="1"/>
  <c r="T29" i="8"/>
  <c r="I28" i="12" s="1"/>
  <c r="M28" i="12" s="1"/>
  <c r="P124" i="21"/>
  <c r="R210" i="21"/>
  <c r="P208" i="21"/>
  <c r="P278" i="21"/>
  <c r="I70" i="21"/>
  <c r="P54" i="19"/>
  <c r="AA54" i="20" s="1"/>
  <c r="T37" i="8"/>
  <c r="I36" i="12" s="1"/>
  <c r="G124" i="21"/>
  <c r="P96" i="21"/>
  <c r="T19" i="8"/>
  <c r="I18" i="12" s="1"/>
  <c r="R58" i="8"/>
  <c r="R335" i="21"/>
  <c r="O54" i="19"/>
  <c r="R54" i="19" s="1"/>
  <c r="AG54" i="20" s="1"/>
  <c r="T53" i="8"/>
  <c r="I52" i="12" s="1"/>
  <c r="M52" i="12" s="1"/>
  <c r="P180" i="21"/>
  <c r="P12" i="19"/>
  <c r="AA12" i="20" s="1"/>
  <c r="T25" i="8"/>
  <c r="I24" i="12" s="1"/>
  <c r="M24" i="12" s="1"/>
  <c r="S30" i="8"/>
  <c r="T29" i="20" s="1"/>
  <c r="J29" i="12" s="1"/>
  <c r="S21" i="8"/>
  <c r="T20" i="20" s="1"/>
  <c r="J20" i="12" s="1"/>
  <c r="S57" i="8"/>
  <c r="T56" i="20" s="1"/>
  <c r="J56" i="12" s="1"/>
  <c r="P320" i="21"/>
  <c r="R41" i="21"/>
  <c r="T33" i="8"/>
  <c r="I32" i="12" s="1"/>
  <c r="P28" i="21"/>
  <c r="AC9" i="20"/>
  <c r="P279" i="21"/>
  <c r="P237" i="21"/>
  <c r="P280" i="21"/>
  <c r="AC10" i="20"/>
  <c r="G293" i="21"/>
  <c r="P168" i="21"/>
  <c r="G263" i="21"/>
  <c r="AC30" i="20"/>
  <c r="AC20" i="20"/>
  <c r="T54" i="8"/>
  <c r="AC53" i="20" s="1"/>
  <c r="Q55" i="19"/>
  <c r="AF55" i="20" s="1"/>
  <c r="T36" i="20"/>
  <c r="J36" i="12" s="1"/>
  <c r="AC38" i="20"/>
  <c r="P67" i="21"/>
  <c r="AC33" i="20"/>
  <c r="T36" i="8"/>
  <c r="I35" i="12" s="1"/>
  <c r="G207" i="21"/>
  <c r="I209" i="21"/>
  <c r="G307" i="21"/>
  <c r="G223" i="21"/>
  <c r="R69" i="21"/>
  <c r="P252" i="21"/>
  <c r="G165" i="21"/>
  <c r="AC42" i="20"/>
  <c r="Q35" i="19"/>
  <c r="AF35" i="20" s="1"/>
  <c r="AC25" i="20"/>
  <c r="G140" i="21"/>
  <c r="P125" i="21"/>
  <c r="T30" i="8"/>
  <c r="I29" i="12" s="1"/>
  <c r="P153" i="21"/>
  <c r="G196" i="21"/>
  <c r="G95" i="21"/>
  <c r="P196" i="21"/>
  <c r="P83" i="21"/>
  <c r="G41" i="21"/>
  <c r="I98" i="21"/>
  <c r="AC13" i="20"/>
  <c r="G237" i="21"/>
  <c r="I336" i="21"/>
  <c r="T57" i="8"/>
  <c r="T44" i="8"/>
  <c r="I43" i="12" s="1"/>
  <c r="AC46" i="20"/>
  <c r="P347" i="21"/>
  <c r="G56" i="21"/>
  <c r="I265" i="21"/>
  <c r="U47" i="8"/>
  <c r="P224" i="21"/>
  <c r="P111" i="21"/>
  <c r="P321" i="21"/>
  <c r="R350" i="21"/>
  <c r="P265" i="21"/>
  <c r="AC23" i="20"/>
  <c r="I34" i="12"/>
  <c r="S20" i="8"/>
  <c r="Q58" i="8"/>
  <c r="G153" i="21"/>
  <c r="I168" i="21"/>
  <c r="G126" i="21"/>
  <c r="S17" i="8"/>
  <c r="T16" i="20" s="1"/>
  <c r="J16" i="12" s="1"/>
  <c r="S54" i="8"/>
  <c r="AC51" i="20"/>
  <c r="G322" i="21"/>
  <c r="T9" i="8"/>
  <c r="P8" i="19"/>
  <c r="AA8" i="20" s="1"/>
  <c r="S9" i="8"/>
  <c r="N8" i="19"/>
  <c r="U8" i="20" s="1"/>
  <c r="R14" i="21"/>
  <c r="O8" i="19"/>
  <c r="Q26" i="19" l="1"/>
  <c r="AF26" i="20" s="1"/>
  <c r="M34" i="12"/>
  <c r="U35" i="8"/>
  <c r="P195" i="21"/>
  <c r="Q49" i="19"/>
  <c r="AF49" i="20" s="1"/>
  <c r="Z35" i="20"/>
  <c r="G279" i="21"/>
  <c r="J18" i="19"/>
  <c r="K18" i="19" s="1"/>
  <c r="U31" i="8"/>
  <c r="P238" i="21"/>
  <c r="Q29" i="19"/>
  <c r="AF29" i="20" s="1"/>
  <c r="U23" i="8"/>
  <c r="P39" i="19"/>
  <c r="AA39" i="20" s="1"/>
  <c r="N44" i="19"/>
  <c r="U44" i="20" s="1"/>
  <c r="O39" i="19"/>
  <c r="R39" i="19" s="1"/>
  <c r="AG39" i="20" s="1"/>
  <c r="U22" i="8"/>
  <c r="AC21" i="20"/>
  <c r="AH21" i="20" s="1"/>
  <c r="O22" i="19"/>
  <c r="R22" i="19" s="1"/>
  <c r="AG22" i="20" s="1"/>
  <c r="G112" i="21"/>
  <c r="N22" i="19"/>
  <c r="J22" i="19"/>
  <c r="K22" i="19" s="1"/>
  <c r="G111" i="21"/>
  <c r="AC22" i="20"/>
  <c r="Q41" i="19"/>
  <c r="AF41" i="20" s="1"/>
  <c r="R12" i="19"/>
  <c r="AG12" i="20" s="1"/>
  <c r="P112" i="21"/>
  <c r="R50" i="19"/>
  <c r="AG50" i="20" s="1"/>
  <c r="Q21" i="19"/>
  <c r="AF21" i="20" s="1"/>
  <c r="P139" i="21"/>
  <c r="U29" i="8"/>
  <c r="P41" i="21"/>
  <c r="N39" i="19"/>
  <c r="U39" i="20" s="1"/>
  <c r="U56" i="8"/>
  <c r="AC55" i="20"/>
  <c r="G350" i="21"/>
  <c r="G349" i="21"/>
  <c r="M50" i="12"/>
  <c r="P49" i="19"/>
  <c r="AA49" i="20" s="1"/>
  <c r="R48" i="19"/>
  <c r="AG48" i="20" s="1"/>
  <c r="P293" i="21"/>
  <c r="P266" i="21"/>
  <c r="M41" i="12"/>
  <c r="O40" i="19"/>
  <c r="Z40" i="20" s="1"/>
  <c r="P38" i="19"/>
  <c r="AA38" i="20" s="1"/>
  <c r="O38" i="19"/>
  <c r="Z38" i="20" s="1"/>
  <c r="N38" i="19"/>
  <c r="U38" i="20" s="1"/>
  <c r="M29" i="12"/>
  <c r="P28" i="19"/>
  <c r="AA28" i="20" s="1"/>
  <c r="R28" i="19"/>
  <c r="AG28" i="20" s="1"/>
  <c r="N28" i="19"/>
  <c r="U28" i="20" s="1"/>
  <c r="J28" i="19"/>
  <c r="K28" i="19" s="1"/>
  <c r="P140" i="21"/>
  <c r="AC26" i="20"/>
  <c r="AH26" i="20" s="1"/>
  <c r="G139" i="21"/>
  <c r="U24" i="8"/>
  <c r="P18" i="19"/>
  <c r="AA18" i="20" s="1"/>
  <c r="O13" i="19"/>
  <c r="Z13" i="20" s="1"/>
  <c r="AH13" i="20" s="1"/>
  <c r="U12" i="8"/>
  <c r="AC11" i="20"/>
  <c r="G42" i="21"/>
  <c r="P9" i="19"/>
  <c r="AA9" i="20" s="1"/>
  <c r="M13" i="12"/>
  <c r="AC12" i="20"/>
  <c r="AH12" i="20" s="1"/>
  <c r="U11" i="20"/>
  <c r="P11" i="19"/>
  <c r="AA11" i="20" s="1"/>
  <c r="J11" i="19"/>
  <c r="K11" i="19" s="1"/>
  <c r="O11" i="19"/>
  <c r="Z11" i="20" s="1"/>
  <c r="M26" i="12"/>
  <c r="R26" i="19"/>
  <c r="AG26" i="20" s="1"/>
  <c r="U26" i="8"/>
  <c r="AC24" i="20"/>
  <c r="P126" i="21"/>
  <c r="U25" i="8"/>
  <c r="O18" i="19"/>
  <c r="Z18" i="20" s="1"/>
  <c r="G84" i="21"/>
  <c r="AC17" i="20"/>
  <c r="AH17" i="20" s="1"/>
  <c r="M32" i="12"/>
  <c r="U32" i="8"/>
  <c r="AC31" i="20"/>
  <c r="G182" i="21"/>
  <c r="G181" i="21"/>
  <c r="N37" i="19"/>
  <c r="U37" i="20" s="1"/>
  <c r="O37" i="19"/>
  <c r="Z37" i="20" s="1"/>
  <c r="R41" i="19"/>
  <c r="AG41" i="20" s="1"/>
  <c r="U41" i="8"/>
  <c r="AC40" i="20"/>
  <c r="U45" i="8"/>
  <c r="P349" i="21"/>
  <c r="Z55" i="20"/>
  <c r="U50" i="8"/>
  <c r="G308" i="21"/>
  <c r="AC49" i="20"/>
  <c r="AH49" i="20" s="1"/>
  <c r="M48" i="12"/>
  <c r="AC47" i="20"/>
  <c r="U48" i="8"/>
  <c r="G294" i="21"/>
  <c r="R16" i="19"/>
  <c r="AG16" i="20" s="1"/>
  <c r="U55" i="8"/>
  <c r="M35" i="12"/>
  <c r="P27" i="21"/>
  <c r="G265" i="21"/>
  <c r="P335" i="21"/>
  <c r="M43" i="12"/>
  <c r="G209" i="21"/>
  <c r="M55" i="12"/>
  <c r="U28" i="8"/>
  <c r="U11" i="8"/>
  <c r="M36" i="12"/>
  <c r="M31" i="12"/>
  <c r="G154" i="21"/>
  <c r="AC27" i="20"/>
  <c r="U10" i="8"/>
  <c r="Q9" i="19"/>
  <c r="AF9" i="20" s="1"/>
  <c r="O9" i="19"/>
  <c r="J9" i="19"/>
  <c r="K9" i="19" s="1"/>
  <c r="G27" i="21"/>
  <c r="Q54" i="19"/>
  <c r="AF54" i="20" s="1"/>
  <c r="Z54" i="20"/>
  <c r="AH54" i="20" s="1"/>
  <c r="U51" i="8"/>
  <c r="Q50" i="19"/>
  <c r="AF50" i="20" s="1"/>
  <c r="J49" i="19"/>
  <c r="K49" i="19" s="1"/>
  <c r="R45" i="19"/>
  <c r="AG45" i="20" s="1"/>
  <c r="Z42" i="20"/>
  <c r="R42" i="19"/>
  <c r="AG42" i="20" s="1"/>
  <c r="P42" i="19"/>
  <c r="AA42" i="20" s="1"/>
  <c r="N40" i="19"/>
  <c r="P40" i="19"/>
  <c r="AA40" i="20" s="1"/>
  <c r="P223" i="21"/>
  <c r="U39" i="8"/>
  <c r="G224" i="21"/>
  <c r="I37" i="12"/>
  <c r="M37" i="12" s="1"/>
  <c r="P37" i="19"/>
  <c r="AA37" i="20" s="1"/>
  <c r="U38" i="8"/>
  <c r="J34" i="19"/>
  <c r="K34" i="19" s="1"/>
  <c r="N34" i="19"/>
  <c r="O34" i="19"/>
  <c r="P34" i="19"/>
  <c r="AA34" i="20" s="1"/>
  <c r="AC28" i="20"/>
  <c r="N27" i="19"/>
  <c r="O27" i="19"/>
  <c r="P27" i="19"/>
  <c r="AA27" i="20" s="1"/>
  <c r="J27" i="19"/>
  <c r="K27" i="19" s="1"/>
  <c r="U27" i="8"/>
  <c r="AC19" i="20"/>
  <c r="G69" i="21"/>
  <c r="P13" i="19"/>
  <c r="AA13" i="20" s="1"/>
  <c r="Q13" i="19"/>
  <c r="AF13" i="20" s="1"/>
  <c r="G55" i="21"/>
  <c r="U14" i="8"/>
  <c r="J13" i="19"/>
  <c r="K13" i="19" s="1"/>
  <c r="P42" i="21"/>
  <c r="U13" i="8"/>
  <c r="J10" i="19"/>
  <c r="K10" i="19" s="1"/>
  <c r="P10" i="19"/>
  <c r="AA10" i="20" s="1"/>
  <c r="O10" i="19"/>
  <c r="U49" i="8"/>
  <c r="P294" i="21"/>
  <c r="AC48" i="20"/>
  <c r="Q45" i="19"/>
  <c r="AF45" i="20" s="1"/>
  <c r="Z43" i="20"/>
  <c r="U43" i="8"/>
  <c r="G195" i="21"/>
  <c r="U34" i="8"/>
  <c r="G167" i="21"/>
  <c r="P154" i="21"/>
  <c r="U20" i="8"/>
  <c r="P84" i="21"/>
  <c r="U18" i="8"/>
  <c r="U52" i="8"/>
  <c r="G321" i="21"/>
  <c r="P308" i="21"/>
  <c r="AC50" i="20"/>
  <c r="AH50" i="20" s="1"/>
  <c r="P307" i="21"/>
  <c r="R49" i="19"/>
  <c r="AG49" i="20" s="1"/>
  <c r="AH45" i="20"/>
  <c r="M9" i="12"/>
  <c r="I45" i="12"/>
  <c r="M45" i="12" s="1"/>
  <c r="AC44" i="20"/>
  <c r="P251" i="21"/>
  <c r="G251" i="21"/>
  <c r="P182" i="21"/>
  <c r="P97" i="21"/>
  <c r="M20" i="12"/>
  <c r="G98" i="21"/>
  <c r="Q18" i="19"/>
  <c r="AF18" i="20" s="1"/>
  <c r="Q17" i="19"/>
  <c r="AF17" i="20" s="1"/>
  <c r="R17" i="19"/>
  <c r="AG17" i="20" s="1"/>
  <c r="G83" i="21"/>
  <c r="P70" i="21"/>
  <c r="U16" i="8"/>
  <c r="Q12" i="19"/>
  <c r="AF12" i="20" s="1"/>
  <c r="Q10" i="19"/>
  <c r="AF10" i="20" s="1"/>
  <c r="U57" i="8"/>
  <c r="Q56" i="19"/>
  <c r="AF56" i="20" s="1"/>
  <c r="I54" i="12"/>
  <c r="M54" i="12" s="1"/>
  <c r="P336" i="21"/>
  <c r="Q53" i="19"/>
  <c r="AF53" i="20" s="1"/>
  <c r="R53" i="19"/>
  <c r="AG53" i="20" s="1"/>
  <c r="AC52" i="20"/>
  <c r="P322" i="21"/>
  <c r="U53" i="8"/>
  <c r="N51" i="19"/>
  <c r="O51" i="19"/>
  <c r="P51" i="19"/>
  <c r="AA51" i="20" s="1"/>
  <c r="J51" i="19"/>
  <c r="K51" i="19" s="1"/>
  <c r="N47" i="19"/>
  <c r="O47" i="19"/>
  <c r="J47" i="19"/>
  <c r="K47" i="19" s="1"/>
  <c r="P47" i="19"/>
  <c r="AA47" i="20" s="1"/>
  <c r="G280" i="21"/>
  <c r="U46" i="8"/>
  <c r="O44" i="19"/>
  <c r="P44" i="19"/>
  <c r="AA44" i="20" s="1"/>
  <c r="N42" i="19"/>
  <c r="J42" i="19"/>
  <c r="K42" i="19" s="1"/>
  <c r="U42" i="8"/>
  <c r="G252" i="21"/>
  <c r="AC41" i="20"/>
  <c r="AH41" i="20" s="1"/>
  <c r="AC39" i="20"/>
  <c r="AC36" i="20"/>
  <c r="U37" i="8"/>
  <c r="P210" i="21"/>
  <c r="P33" i="19"/>
  <c r="AA33" i="20" s="1"/>
  <c r="O33" i="19"/>
  <c r="N33" i="19"/>
  <c r="J33" i="19"/>
  <c r="K33" i="19" s="1"/>
  <c r="AC32" i="20"/>
  <c r="U33" i="8"/>
  <c r="Q31" i="19"/>
  <c r="AF31" i="20" s="1"/>
  <c r="O30" i="19"/>
  <c r="J30" i="19"/>
  <c r="K30" i="19" s="1"/>
  <c r="N30" i="19"/>
  <c r="P30" i="19"/>
  <c r="AA30" i="20" s="1"/>
  <c r="P167" i="21"/>
  <c r="Z29" i="20"/>
  <c r="J25" i="19"/>
  <c r="K25" i="19" s="1"/>
  <c r="O25" i="19"/>
  <c r="P25" i="19"/>
  <c r="AA25" i="20" s="1"/>
  <c r="N25" i="19"/>
  <c r="R21" i="19"/>
  <c r="AG21" i="20" s="1"/>
  <c r="U21" i="8"/>
  <c r="R19" i="19"/>
  <c r="AG19" i="20" s="1"/>
  <c r="U19" i="20"/>
  <c r="U19" i="8"/>
  <c r="M18" i="12"/>
  <c r="AC18" i="20"/>
  <c r="Q16" i="19"/>
  <c r="AF16" i="20" s="1"/>
  <c r="AC16" i="20"/>
  <c r="AH16" i="20" s="1"/>
  <c r="T14" i="20"/>
  <c r="J14" i="12" s="1"/>
  <c r="M14" i="12" s="1"/>
  <c r="U15" i="8"/>
  <c r="J14" i="19"/>
  <c r="K14" i="19" s="1"/>
  <c r="N14" i="19"/>
  <c r="O14" i="19"/>
  <c r="P14" i="19"/>
  <c r="AA14" i="20" s="1"/>
  <c r="I39" i="12"/>
  <c r="M39" i="12" s="1"/>
  <c r="U40" i="8"/>
  <c r="P24" i="19"/>
  <c r="AA24" i="20" s="1"/>
  <c r="N24" i="19"/>
  <c r="J24" i="19"/>
  <c r="K24" i="19" s="1"/>
  <c r="O24" i="19"/>
  <c r="O52" i="19"/>
  <c r="P52" i="19"/>
  <c r="AA52" i="20" s="1"/>
  <c r="J52" i="19"/>
  <c r="K52" i="19" s="1"/>
  <c r="N52" i="19"/>
  <c r="N15" i="19"/>
  <c r="J15" i="19"/>
  <c r="K15" i="19" s="1"/>
  <c r="P15" i="19"/>
  <c r="AA15" i="20" s="1"/>
  <c r="O15" i="19"/>
  <c r="O20" i="19"/>
  <c r="P20" i="19"/>
  <c r="AA20" i="20" s="1"/>
  <c r="N20" i="19"/>
  <c r="J20" i="19"/>
  <c r="K20" i="19" s="1"/>
  <c r="O46" i="19"/>
  <c r="J46" i="19"/>
  <c r="K46" i="19" s="1"/>
  <c r="P46" i="19"/>
  <c r="AA46" i="20" s="1"/>
  <c r="N46" i="19"/>
  <c r="U48" i="20"/>
  <c r="M12" i="12" s="1"/>
  <c r="Q48" i="19"/>
  <c r="AF48" i="20" s="1"/>
  <c r="P32" i="19"/>
  <c r="AA32" i="20" s="1"/>
  <c r="N32" i="19"/>
  <c r="O32" i="19"/>
  <c r="J32" i="19"/>
  <c r="K32" i="19" s="1"/>
  <c r="J23" i="19"/>
  <c r="K23" i="19" s="1"/>
  <c r="P23" i="19"/>
  <c r="AA23" i="20" s="1"/>
  <c r="O23" i="19"/>
  <c r="N23" i="19"/>
  <c r="O36" i="19"/>
  <c r="P36" i="19"/>
  <c r="AA36" i="20" s="1"/>
  <c r="J36" i="19"/>
  <c r="K36" i="19" s="1"/>
  <c r="N36" i="19"/>
  <c r="R56" i="19"/>
  <c r="AG56" i="20" s="1"/>
  <c r="Z31" i="20"/>
  <c r="U43" i="20"/>
  <c r="Q43" i="19"/>
  <c r="AF43" i="20" s="1"/>
  <c r="G125" i="21"/>
  <c r="AC35" i="20"/>
  <c r="G210" i="21"/>
  <c r="U36" i="8"/>
  <c r="I53" i="12"/>
  <c r="U30" i="8"/>
  <c r="G336" i="21"/>
  <c r="G266" i="21"/>
  <c r="T58" i="8"/>
  <c r="K37" i="1" s="1"/>
  <c r="K42" i="1" s="1"/>
  <c r="AC43" i="20"/>
  <c r="U44" i="8"/>
  <c r="AC29" i="20"/>
  <c r="G168" i="21"/>
  <c r="U17" i="8"/>
  <c r="P69" i="21"/>
  <c r="AC56" i="20"/>
  <c r="AH56" i="20" s="1"/>
  <c r="P350" i="21"/>
  <c r="I56" i="12"/>
  <c r="M56" i="12" s="1"/>
  <c r="T19" i="20"/>
  <c r="J19" i="12" s="1"/>
  <c r="M19" i="12" s="1"/>
  <c r="G97" i="21"/>
  <c r="T53" i="20"/>
  <c r="J53" i="12" s="1"/>
  <c r="U54" i="8"/>
  <c r="G335" i="21"/>
  <c r="I8" i="12"/>
  <c r="P14" i="21"/>
  <c r="AC8" i="20"/>
  <c r="Q8" i="19"/>
  <c r="AF8" i="20" s="1"/>
  <c r="P13" i="21"/>
  <c r="T8" i="20"/>
  <c r="J8" i="12" s="1"/>
  <c r="U9" i="8"/>
  <c r="R8" i="19"/>
  <c r="AG8" i="20" s="1"/>
  <c r="Z8" i="20"/>
  <c r="AH35" i="20" l="1"/>
  <c r="Q44" i="19"/>
  <c r="AF44" i="20" s="1"/>
  <c r="Z39" i="20"/>
  <c r="AH39" i="20" s="1"/>
  <c r="AH38" i="20"/>
  <c r="AH11" i="20"/>
  <c r="AH28" i="20"/>
  <c r="Z22" i="20"/>
  <c r="AH31" i="20"/>
  <c r="R40" i="19"/>
  <c r="AG40" i="20" s="1"/>
  <c r="R38" i="19"/>
  <c r="AG38" i="20" s="1"/>
  <c r="U22" i="20"/>
  <c r="Q22" i="19"/>
  <c r="AF22" i="20" s="1"/>
  <c r="AH55" i="20"/>
  <c r="Q38" i="19"/>
  <c r="AF38" i="20" s="1"/>
  <c r="R18" i="19"/>
  <c r="AG18" i="20" s="1"/>
  <c r="Q28" i="19"/>
  <c r="AF28" i="20" s="1"/>
  <c r="Q37" i="19"/>
  <c r="AF37" i="20" s="1"/>
  <c r="AH18" i="20"/>
  <c r="R13" i="19"/>
  <c r="AG13" i="20" s="1"/>
  <c r="R37" i="19"/>
  <c r="AG37" i="20" s="1"/>
  <c r="AH37" i="20"/>
  <c r="Q39" i="19"/>
  <c r="AF39" i="20" s="1"/>
  <c r="R11" i="19"/>
  <c r="AG11" i="20" s="1"/>
  <c r="M53" i="12"/>
  <c r="M8" i="12"/>
  <c r="Z9" i="20"/>
  <c r="AH9" i="20" s="1"/>
  <c r="R9" i="19"/>
  <c r="AG9" i="20" s="1"/>
  <c r="U40" i="20"/>
  <c r="AH40" i="20" s="1"/>
  <c r="Q40" i="19"/>
  <c r="AF40" i="20" s="1"/>
  <c r="Z34" i="20"/>
  <c r="R34" i="19"/>
  <c r="AG34" i="20" s="1"/>
  <c r="U34" i="20"/>
  <c r="Q34" i="19"/>
  <c r="AF34" i="20" s="1"/>
  <c r="R27" i="19"/>
  <c r="AG27" i="20" s="1"/>
  <c r="Z27" i="20"/>
  <c r="U27" i="20"/>
  <c r="Q27" i="19"/>
  <c r="AF27" i="20" s="1"/>
  <c r="AH19" i="20"/>
  <c r="Z10" i="20"/>
  <c r="AH10" i="20" s="1"/>
  <c r="R10" i="19"/>
  <c r="AG10" i="20" s="1"/>
  <c r="AH43" i="20"/>
  <c r="R51" i="19"/>
  <c r="AG51" i="20" s="1"/>
  <c r="Z51" i="20"/>
  <c r="U51" i="20"/>
  <c r="Q51" i="19"/>
  <c r="AF51" i="20" s="1"/>
  <c r="AH48" i="20"/>
  <c r="R47" i="19"/>
  <c r="AG47" i="20" s="1"/>
  <c r="Z47" i="20"/>
  <c r="U47" i="20"/>
  <c r="Q47" i="19"/>
  <c r="AF47" i="20" s="1"/>
  <c r="Z44" i="20"/>
  <c r="AH44" i="20" s="1"/>
  <c r="R44" i="19"/>
  <c r="AG44" i="20" s="1"/>
  <c r="U42" i="20"/>
  <c r="AH42" i="20" s="1"/>
  <c r="Q42" i="19"/>
  <c r="AF42" i="20" s="1"/>
  <c r="U33" i="20"/>
  <c r="Q33" i="19"/>
  <c r="AF33" i="20" s="1"/>
  <c r="R33" i="19"/>
  <c r="AG33" i="20" s="1"/>
  <c r="Z33" i="20"/>
  <c r="U30" i="20"/>
  <c r="Q30" i="19"/>
  <c r="AF30" i="20" s="1"/>
  <c r="Z30" i="20"/>
  <c r="R30" i="19"/>
  <c r="AG30" i="20" s="1"/>
  <c r="AH29" i="20"/>
  <c r="U25" i="20"/>
  <c r="Q25" i="19"/>
  <c r="AF25" i="20" s="1"/>
  <c r="Z25" i="20"/>
  <c r="R25" i="19"/>
  <c r="AG25" i="20" s="1"/>
  <c r="Z14" i="20"/>
  <c r="R14" i="19"/>
  <c r="AG14" i="20" s="1"/>
  <c r="AA57" i="20"/>
  <c r="U14" i="20"/>
  <c r="Q14" i="19"/>
  <c r="AF14" i="20" s="1"/>
  <c r="Z32" i="20"/>
  <c r="R32" i="19"/>
  <c r="AG32" i="20" s="1"/>
  <c r="U32" i="20"/>
  <c r="Q32" i="19"/>
  <c r="AF32" i="20" s="1"/>
  <c r="Z52" i="20"/>
  <c r="R52" i="19"/>
  <c r="AG52" i="20" s="1"/>
  <c r="Z36" i="20"/>
  <c r="R36" i="19"/>
  <c r="AG36" i="20" s="1"/>
  <c r="Z46" i="20"/>
  <c r="R46" i="19"/>
  <c r="AG46" i="20" s="1"/>
  <c r="Z15" i="20"/>
  <c r="R15" i="19"/>
  <c r="AG15" i="20" s="1"/>
  <c r="U23" i="20"/>
  <c r="Q23" i="19"/>
  <c r="AF23" i="20" s="1"/>
  <c r="Z23" i="20"/>
  <c r="R23" i="19"/>
  <c r="AG23" i="20" s="1"/>
  <c r="U20" i="20"/>
  <c r="Q20" i="19"/>
  <c r="AF20" i="20" s="1"/>
  <c r="Z24" i="20"/>
  <c r="R24" i="19"/>
  <c r="AG24" i="20" s="1"/>
  <c r="U15" i="20"/>
  <c r="Q15" i="19"/>
  <c r="AF15" i="20" s="1"/>
  <c r="Z20" i="20"/>
  <c r="R20" i="19"/>
  <c r="AG20" i="20" s="1"/>
  <c r="U52" i="20"/>
  <c r="Q52" i="19"/>
  <c r="AF52" i="20" s="1"/>
  <c r="U24" i="20"/>
  <c r="AH24" i="20" s="1"/>
  <c r="Q24" i="19"/>
  <c r="AF24" i="20" s="1"/>
  <c r="U36" i="20"/>
  <c r="Q36" i="19"/>
  <c r="AF36" i="20" s="1"/>
  <c r="Q46" i="19"/>
  <c r="AF46" i="20" s="1"/>
  <c r="U46" i="20"/>
  <c r="AC57" i="20"/>
  <c r="AH53" i="20"/>
  <c r="M17" i="12"/>
  <c r="I57" i="12"/>
  <c r="AH8" i="20"/>
  <c r="AH22" i="20" l="1"/>
  <c r="AH27" i="20"/>
  <c r="AH34" i="20"/>
  <c r="AH25" i="20"/>
  <c r="AH36" i="20"/>
  <c r="AH20" i="20"/>
  <c r="AH14" i="20"/>
  <c r="AH51" i="20"/>
  <c r="M15" i="12"/>
  <c r="M11" i="12"/>
  <c r="AH47" i="20"/>
  <c r="AH33" i="20"/>
  <c r="AH32" i="20"/>
  <c r="AH30" i="20"/>
  <c r="AG57" i="20"/>
  <c r="AF57" i="20"/>
  <c r="Z57" i="20"/>
  <c r="Y33" i="1" s="1"/>
  <c r="AH15" i="20"/>
  <c r="U57" i="20"/>
  <c r="Y32" i="1" s="1"/>
  <c r="AH23" i="20"/>
  <c r="M16" i="12"/>
  <c r="AH52" i="20"/>
  <c r="M10" i="12"/>
  <c r="AH46" i="20"/>
  <c r="T7" i="20"/>
  <c r="AH7" i="20" s="1"/>
  <c r="S58" i="8"/>
  <c r="G13" i="21"/>
  <c r="T57" i="20" l="1"/>
  <c r="Y26" i="1" s="1"/>
  <c r="Y42" i="1" s="1"/>
  <c r="S18" i="1" s="1"/>
  <c r="J7" i="12"/>
  <c r="M7" i="12" s="1"/>
  <c r="AH57" i="20"/>
  <c r="M21" i="12" l="1"/>
  <c r="M57" i="12" s="1"/>
  <c r="J57" i="12"/>
  <c r="U5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 A' Perez</author>
  </authors>
  <commentList>
    <comment ref="S6" authorId="0" shapeId="0" xr:uid="{4E61E360-126C-4631-97FF-5AB9BF678263}">
      <text>
        <r>
          <rPr>
            <b/>
            <sz val="9"/>
            <color indexed="81"/>
            <rFont val="Tahoma"/>
            <family val="2"/>
          </rPr>
          <t>Marco A' Perez:</t>
        </r>
        <r>
          <rPr>
            <sz val="9"/>
            <color indexed="81"/>
            <rFont val="Tahoma"/>
            <family val="2"/>
          </rPr>
          <t xml:space="preserve">
A Criterio del Contribyente: Se calculará la Retencíón, ó Favor de colocar "0" manualmente, sí Prefiere no Retener cuando el trabajador perciba el salario mínimo general correspondiente a su área geográfica: Frontera  Norte $419.88  Resto del País $278.80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Morales</author>
  </authors>
  <commentList>
    <comment ref="K6" authorId="0" shapeId="0" xr:uid="{631B233C-7FB8-411A-8851-EEBD7967036E}">
      <text>
        <r>
          <rPr>
            <b/>
            <sz val="9"/>
            <color indexed="81"/>
            <rFont val="Tahoma"/>
            <family val="2"/>
          </rPr>
          <t xml:space="preserve">
% SOBRE SBC 
ART. 27 LSS
</t>
        </r>
      </text>
    </comment>
    <comment ref="M6" authorId="0" shapeId="0" xr:uid="{0B83631A-9CB1-4224-B83E-6A06151CC05B}">
      <text>
        <r>
          <rPr>
            <b/>
            <sz val="9"/>
            <color indexed="81"/>
            <rFont val="Tahoma"/>
            <family val="2"/>
          </rPr>
          <t xml:space="preserve">
% SOBRE SBC 
ART. 27 LSS
</t>
        </r>
      </text>
    </comment>
    <comment ref="V6" authorId="0" shapeId="0" xr:uid="{089A8DC5-1E2E-48A6-B59E-B26D58C8A3FC}">
      <text>
        <r>
          <rPr>
            <b/>
            <sz val="9"/>
            <color indexed="81"/>
            <rFont val="Tahoma"/>
            <family val="2"/>
          </rPr>
          <t xml:space="preserve">
% SOBRE SMG 
UMA 2020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4" authorId="0" shapeId="0" xr:uid="{80E03846-7799-4461-A675-D8A1A2A0C1DD}">
      <text>
        <r>
          <rPr>
            <b/>
            <sz val="9"/>
            <color indexed="81"/>
            <rFont val="Tahoma"/>
            <family val="2"/>
          </rPr>
          <t>Marco Pérez: Exento 30 días el valor UMA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Morales</author>
  </authors>
  <commentList>
    <comment ref="B8" authorId="0" shapeId="0" xr:uid="{CE6362A2-C9FC-4415-91F8-0F53CC46EB30}">
      <text>
        <r>
          <rPr>
            <b/>
            <sz val="9"/>
            <color indexed="81"/>
            <rFont val="Tahoma"/>
            <family val="2"/>
          </rPr>
          <t xml:space="preserve">Colocar las empresas con las que va a trabajar, ejemplo fila 9 empresa a, fila 10 empresa abc, fila 11 empresa z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<sst xmlns="http://schemas.openxmlformats.org/spreadsheetml/2006/main" count="2559" uniqueCount="358">
  <si>
    <t>Empresa:</t>
  </si>
  <si>
    <t xml:space="preserve">Domicilio: </t>
  </si>
  <si>
    <t>R.F.C.</t>
  </si>
  <si>
    <t xml:space="preserve">Director General </t>
  </si>
  <si>
    <t xml:space="preserve">Registro Patronal: </t>
  </si>
  <si>
    <t xml:space="preserve">Periodo de Nómina: </t>
  </si>
  <si>
    <t xml:space="preserve">No. Días del Periodo </t>
  </si>
  <si>
    <t xml:space="preserve">Fecha del Pago: </t>
  </si>
  <si>
    <t xml:space="preserve">Método de Pago </t>
  </si>
  <si>
    <t>Lugar de Nómina</t>
  </si>
  <si>
    <t>1 Efectivo</t>
  </si>
  <si>
    <t>2 Cheque nominativo</t>
  </si>
  <si>
    <t>3 Transferencia electrónica de fondos</t>
  </si>
  <si>
    <t xml:space="preserve">99 Por Definir </t>
  </si>
  <si>
    <t xml:space="preserve">Forma de Pago </t>
  </si>
  <si>
    <t>Empresas</t>
  </si>
  <si>
    <t>Resumen  de  Nómina</t>
  </si>
  <si>
    <t>Líquido a Pagar en el Periodo</t>
  </si>
  <si>
    <t>PERCEPCIONES</t>
  </si>
  <si>
    <t>DEDUCCIONES</t>
  </si>
  <si>
    <t>Concepto</t>
  </si>
  <si>
    <t>Importe</t>
  </si>
  <si>
    <t>Salarios</t>
  </si>
  <si>
    <t>Impuesto Sobre la Renta</t>
  </si>
  <si>
    <t>Premios por Puntualidad</t>
  </si>
  <si>
    <t>Amortización Créditos Infonavit</t>
  </si>
  <si>
    <t>Amortización Créditos Fonacot</t>
  </si>
  <si>
    <t>Horas Extras</t>
  </si>
  <si>
    <t>Amortización Préstamos Pers.</t>
  </si>
  <si>
    <t>Otras</t>
  </si>
  <si>
    <t>Total Percepciones</t>
  </si>
  <si>
    <t>Total Deducciones</t>
  </si>
  <si>
    <t>Nómina realizada de acuerdo con las disposiciones legales y aplicables que rigen la relación laboral; revisada y autorizada para su pago por el Director General de:</t>
  </si>
  <si>
    <t>Director   General</t>
  </si>
  <si>
    <t>Despensa</t>
  </si>
  <si>
    <t>001</t>
  </si>
  <si>
    <t>Aguinaldo</t>
  </si>
  <si>
    <t>002</t>
  </si>
  <si>
    <t>PTU</t>
  </si>
  <si>
    <t>003</t>
  </si>
  <si>
    <t>010</t>
  </si>
  <si>
    <t>019</t>
  </si>
  <si>
    <t xml:space="preserve">Prima Dominical </t>
  </si>
  <si>
    <t>020</t>
  </si>
  <si>
    <t xml:space="preserve">Prima Vacacional </t>
  </si>
  <si>
    <t>021</t>
  </si>
  <si>
    <t>029</t>
  </si>
  <si>
    <t>Viaticos</t>
  </si>
  <si>
    <t>050</t>
  </si>
  <si>
    <t>038</t>
  </si>
  <si>
    <t xml:space="preserve">Otros Ingresos </t>
  </si>
  <si>
    <t xml:space="preserve">Subsidio para el Empleo </t>
  </si>
  <si>
    <t>Cuota Obrero IMSS</t>
  </si>
  <si>
    <t>NSS</t>
  </si>
  <si>
    <t>%</t>
  </si>
  <si>
    <t>Límite inferior</t>
  </si>
  <si>
    <t>Límite superior</t>
  </si>
  <si>
    <t>$</t>
  </si>
  <si>
    <t>En adelante</t>
  </si>
  <si>
    <t>SBC</t>
  </si>
  <si>
    <t>INFONAVIT</t>
  </si>
  <si>
    <t>FONACOT</t>
  </si>
  <si>
    <t>ISR</t>
  </si>
  <si>
    <t>IMSS</t>
  </si>
  <si>
    <t xml:space="preserve">DETERMINACIÓN DEL IMPUESTO SOBRE LA RENTA ART. 96 LISR </t>
  </si>
  <si>
    <t>TRABAJADOR</t>
  </si>
  <si>
    <t>No. 
TRABAJADOR</t>
  </si>
  <si>
    <t>No. 
DIAS</t>
  </si>
  <si>
    <t>CUOTA 
DIARIA</t>
  </si>
  <si>
    <t>PERIODO 
GRAVADO</t>
  </si>
  <si>
    <t>LIMITE
INFERIOR</t>
  </si>
  <si>
    <t>EXCEDENTE</t>
  </si>
  <si>
    <t>% SOBRE
EXCEDENTE</t>
  </si>
  <si>
    <t>IMPUESTO
MARGINAL</t>
  </si>
  <si>
    <t>CUOTA
FIJA</t>
  </si>
  <si>
    <t>ISR
DETERMINADO</t>
  </si>
  <si>
    <t>SUBSIDIO 
CAUSADO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</si>
  <si>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</si>
  <si>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</si>
  <si>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</si>
  <si>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</si>
  <si>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</si>
  <si>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</si>
  <si>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</si>
  <si>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</si>
  <si>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</si>
  <si>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</si>
  <si>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</si>
  <si>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</si>
  <si>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</si>
  <si>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</si>
  <si>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</si>
  <si>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</si>
  <si>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</si>
  <si>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</si>
  <si>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</si>
  <si>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</si>
  <si>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</si>
  <si>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</si>
  <si>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</si>
  <si>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</si>
  <si>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</si>
  <si>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</si>
  <si>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</si>
  <si>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</si>
  <si>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</si>
  <si>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</si>
  <si>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</si>
  <si>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</si>
  <si>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</si>
  <si>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</si>
  <si>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</si>
  <si>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</si>
  <si>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1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</si>
  <si>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</si>
  <si>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</si>
  <si>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</si>
  <si>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</si>
  <si>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</si>
  <si>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</si>
  <si>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</si>
  <si>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</si>
  <si>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</si>
  <si>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</si>
  <si>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</si>
  <si>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</si>
  <si>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</si>
  <si>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 xml:space="preserve">Cuota Fija </t>
  </si>
  <si>
    <t>% S/Excedente</t>
  </si>
  <si>
    <t>Tarifa</t>
  </si>
  <si>
    <t>Tabla</t>
  </si>
  <si>
    <t xml:space="preserve">Cantidad de 
Subsidio </t>
  </si>
  <si>
    <t>Hasta Ingresos 
de</t>
  </si>
  <si>
    <t>Para Ingresos 
de</t>
  </si>
  <si>
    <t>ISR DEL 
PERIODO</t>
  </si>
  <si>
    <t>SUBSIDIO 
DEL PERIODO</t>
  </si>
  <si>
    <t>LIQUIDO
GRAVADO</t>
  </si>
  <si>
    <t>TARIFA</t>
  </si>
  <si>
    <t>TRABAJADOR 1</t>
  </si>
  <si>
    <t>TRABAJADOR 2</t>
  </si>
  <si>
    <t>TRABAJADOR 3</t>
  </si>
  <si>
    <t>TRABAJADOR 4</t>
  </si>
  <si>
    <t>TRABAJADOR 5</t>
  </si>
  <si>
    <t>TRABAJADOR 6</t>
  </si>
  <si>
    <t>TRABAJADOR 7</t>
  </si>
  <si>
    <t>TRABAJADOR 8</t>
  </si>
  <si>
    <t>TRABAJADOR 9</t>
  </si>
  <si>
    <t>TRABAJADOR 10</t>
  </si>
  <si>
    <t>TRABAJADOR 11</t>
  </si>
  <si>
    <t>TRABAJADOR 12</t>
  </si>
  <si>
    <t>TRABAJADOR 13</t>
  </si>
  <si>
    <t>TRABAJADOR 14</t>
  </si>
  <si>
    <t>TRABAJADOR 15</t>
  </si>
  <si>
    <t>TRABAJADOR 16</t>
  </si>
  <si>
    <t>TRABAJADOR 17</t>
  </si>
  <si>
    <t>TRABAJADOR 18</t>
  </si>
  <si>
    <t>TRABAJADOR 19</t>
  </si>
  <si>
    <t>TRABAJADOR 20</t>
  </si>
  <si>
    <t>TRABAJADOR 21</t>
  </si>
  <si>
    <t>TRABAJADOR 22</t>
  </si>
  <si>
    <t>TRABAJADOR 23</t>
  </si>
  <si>
    <t>TRABAJADOR 24</t>
  </si>
  <si>
    <t>TRABAJADOR 25</t>
  </si>
  <si>
    <t>TRABAJADOR 26</t>
  </si>
  <si>
    <t>TRABAJADOR 27</t>
  </si>
  <si>
    <t>TRABAJADOR 28</t>
  </si>
  <si>
    <t>TRABAJADOR 29</t>
  </si>
  <si>
    <t>TRABAJADOR 30</t>
  </si>
  <si>
    <t>TRABAJADOR 31</t>
  </si>
  <si>
    <t>TRABAJADOR 32</t>
  </si>
  <si>
    <t>TRABAJADOR 33</t>
  </si>
  <si>
    <t>TRABAJADOR 34</t>
  </si>
  <si>
    <t>TRABAJADOR 35</t>
  </si>
  <si>
    <t>TRABAJADOR 36</t>
  </si>
  <si>
    <t>TRABAJADOR 37</t>
  </si>
  <si>
    <t>TRABAJADOR 38</t>
  </si>
  <si>
    <t>TRABAJADOR 39</t>
  </si>
  <si>
    <t>TRABAJADOR 40</t>
  </si>
  <si>
    <t>TRABAJADOR 41</t>
  </si>
  <si>
    <t>TRABAJADOR 42</t>
  </si>
  <si>
    <t>TRABAJADOR 43</t>
  </si>
  <si>
    <t>TRABAJADOR 44</t>
  </si>
  <si>
    <t>TRABAJADOR 45</t>
  </si>
  <si>
    <t>TRABAJADOR 46</t>
  </si>
  <si>
    <t>TRABAJADOR 47</t>
  </si>
  <si>
    <t>TRABAJADOR 48</t>
  </si>
  <si>
    <t>TRABAJADOR 49</t>
  </si>
  <si>
    <t>TRABAJADOR 50</t>
  </si>
  <si>
    <t>OTRAS PRESTACIONES DERIVADAS DEL SALARIO ART 84 LFT</t>
  </si>
  <si>
    <t>UMA</t>
  </si>
  <si>
    <t>PUNTUALIDAD</t>
  </si>
  <si>
    <t>ASISTENCIA</t>
  </si>
  <si>
    <t>HORAS EXTRAS</t>
  </si>
  <si>
    <t>GRAVADAS</t>
  </si>
  <si>
    <t>EXENTAS</t>
  </si>
  <si>
    <t>PRIMA VACACIONAL</t>
  </si>
  <si>
    <t>GRAVADO</t>
  </si>
  <si>
    <t>EXENTO</t>
  </si>
  <si>
    <t>PRIMA DOMINICAL</t>
  </si>
  <si>
    <t>DESPENSA</t>
  </si>
  <si>
    <t>OTROS INGRESOS</t>
  </si>
  <si>
    <t>GRAVADOS</t>
  </si>
  <si>
    <t>EXENTOS</t>
  </si>
  <si>
    <t>TOTAL GRAVADO</t>
  </si>
  <si>
    <t xml:space="preserve">TOTAL EXENTO </t>
  </si>
  <si>
    <t xml:space="preserve">TOTAL </t>
  </si>
  <si>
    <t>OTRAS RETENCIONES AL TRABAJADOR</t>
  </si>
  <si>
    <t>RETENCIONES</t>
  </si>
  <si>
    <t>PENSIÓN ALIMENTICIA</t>
  </si>
  <si>
    <t>PRESTAMOS</t>
  </si>
  <si>
    <t>OTRAS</t>
  </si>
  <si>
    <t>DIAS</t>
  </si>
  <si>
    <t>DIARIO</t>
  </si>
  <si>
    <t>PERIODO</t>
  </si>
  <si>
    <t>OTROS</t>
  </si>
  <si>
    <t xml:space="preserve">SUBSIDIO PARA 
EL EMPLEO </t>
  </si>
  <si>
    <t>LIQUIDO</t>
  </si>
  <si>
    <t>FIRMA DE 
RECIBIDO</t>
  </si>
  <si>
    <t>SALARIO</t>
  </si>
  <si>
    <t xml:space="preserve">RFC: </t>
  </si>
  <si>
    <t>SALARIO DIARIO</t>
  </si>
  <si>
    <t>DIAS COTIZADOS</t>
  </si>
  <si>
    <t>PERIODO INT.</t>
  </si>
  <si>
    <t>FACTOR DE INT.</t>
  </si>
  <si>
    <t>SALARIO BASE DE COTIZACIÓN</t>
  </si>
  <si>
    <t>IMPORTE</t>
  </si>
  <si>
    <t>CÁLCULO RTENCIÓN OBRERO IMSS</t>
  </si>
  <si>
    <t>PREST EN DINERO</t>
  </si>
  <si>
    <t>PENS. Y BENEFICIADOS</t>
  </si>
  <si>
    <t>INVALIDEZ Y VIDA</t>
  </si>
  <si>
    <t>CESANTIA Y VEJEZ</t>
  </si>
  <si>
    <t>EXCEDENTE S/3SMG</t>
  </si>
  <si>
    <t>RETENCIÓN 
TOTAL</t>
  </si>
  <si>
    <t>LISTA DE TRABAJADORES</t>
  </si>
  <si>
    <t>SALARIO
DIARIO</t>
  </si>
  <si>
    <t>PERIODO
BASE COT.</t>
  </si>
  <si>
    <t>AGUINALDO</t>
  </si>
  <si>
    <t>3 UMA´S</t>
  </si>
  <si>
    <t>CONCENTRADO DE NÓMINA</t>
  </si>
  <si>
    <t>023</t>
  </si>
  <si>
    <t>026</t>
  </si>
  <si>
    <t>049</t>
  </si>
  <si>
    <t>Premios de Asistencia</t>
  </si>
  <si>
    <t>OTRAS RETENCIONES</t>
  </si>
  <si>
    <t>CONCENTRADO</t>
  </si>
  <si>
    <t>Datos del cálculo de la Nómina</t>
  </si>
  <si>
    <t>BASE 
GRAVADA</t>
  </si>
  <si>
    <t>ISR ANTES DE 
SUBSIDIO</t>
  </si>
  <si>
    <t>ISR DEL MES</t>
  </si>
  <si>
    <t>SUBSIDIO 
ENTREGADO</t>
  </si>
  <si>
    <t>Normal</t>
  </si>
  <si>
    <t>Ajustada</t>
  </si>
  <si>
    <t>Tipo de Nómina:</t>
  </si>
  <si>
    <t>Despensa:</t>
  </si>
  <si>
    <t>Puntualidad:</t>
  </si>
  <si>
    <t>Asistencia:</t>
  </si>
  <si>
    <t>DATOS NOMINA</t>
  </si>
  <si>
    <t>Asistencia/Puntualidad</t>
  </si>
  <si>
    <t>No</t>
  </si>
  <si>
    <t>Si</t>
  </si>
  <si>
    <t xml:space="preserve">BASE GRAVADA
MENSUAL </t>
  </si>
  <si>
    <t>001-SALARIO</t>
  </si>
  <si>
    <t>002 AGUINALDO</t>
  </si>
  <si>
    <t>003 PTU</t>
  </si>
  <si>
    <t>010 PUNTUALIDAD</t>
  </si>
  <si>
    <t>019 HORAS EXTRAS</t>
  </si>
  <si>
    <t xml:space="preserve">020 PRIMA DOMINICAL </t>
  </si>
  <si>
    <t>021 PRIMA VACACIONAL</t>
  </si>
  <si>
    <t>029 DESPENSA</t>
  </si>
  <si>
    <t>038 OTROS PAGOS</t>
  </si>
  <si>
    <t>049 ASISTENCIA</t>
  </si>
  <si>
    <t>050 VIATICOS</t>
  </si>
  <si>
    <t>001 SEGURIDAD SOCIAL</t>
  </si>
  <si>
    <t>002 ISR</t>
  </si>
  <si>
    <t>009</t>
  </si>
  <si>
    <t>009 INFONAVIT</t>
  </si>
  <si>
    <t>021 IMSS</t>
  </si>
  <si>
    <t>004 OTROS</t>
  </si>
  <si>
    <t>011 INFONACOT</t>
  </si>
  <si>
    <t>071 Ajuste en Subsidio para el empleo (efectivamente entregado al trabajador)</t>
  </si>
  <si>
    <t>107 AJUSTE AL SUBSIDIO CAUSADO</t>
  </si>
  <si>
    <t>004 PRESTAMOS</t>
  </si>
  <si>
    <t>DATOS PARA AJUSTE</t>
  </si>
  <si>
    <t>Hasta Ingresos de</t>
  </si>
  <si>
    <t>SUBSIDIO CAUSADO MENSUAL</t>
  </si>
  <si>
    <t xml:space="preserve">SUBSIDIO A ENTREGAR </t>
  </si>
  <si>
    <t>002 Subsidio para el empleo (efectivamente entregado al trabajador)</t>
  </si>
  <si>
    <t xml:space="preserve">003 Viáticos (entregados al trabajador). </t>
  </si>
  <si>
    <t xml:space="preserve">004 Aplicación de saldo a favor por compensación anual. </t>
  </si>
  <si>
    <t xml:space="preserve">007 ISR ajustado por subsidio. </t>
  </si>
  <si>
    <t xml:space="preserve">008 Subsidio efectivamente entregado que no correspondía </t>
  </si>
  <si>
    <t>OTROS PAGOS</t>
  </si>
  <si>
    <t xml:space="preserve">002 ISR AJUSTE SUBSIDIO </t>
  </si>
  <si>
    <t>Cuota fija</t>
  </si>
  <si>
    <t>MENSUAL</t>
  </si>
  <si>
    <t>LIMITE INFERIOR</t>
  </si>
  <si>
    <t>EXCEDENTE S/L</t>
  </si>
  <si>
    <t>IMPUESTO MARGINAL</t>
  </si>
  <si>
    <t>ISR A RETENER</t>
  </si>
  <si>
    <t>SUBSIDIO A ENTREGAR</t>
  </si>
  <si>
    <t>COMPARACIÓN MENSUAL</t>
  </si>
  <si>
    <t>1RA QUINCENA</t>
  </si>
  <si>
    <t>2DA QUINCENA</t>
  </si>
  <si>
    <t>BASE GRAVDA</t>
  </si>
  <si>
    <t>% APLICABLE S/EXCEDENTE</t>
  </si>
  <si>
    <t xml:space="preserve">CUOTA FIJA </t>
  </si>
  <si>
    <t xml:space="preserve">ISR DETERMINADO </t>
  </si>
  <si>
    <t>SUBSIDIO CAUSADO</t>
  </si>
  <si>
    <t>071</t>
  </si>
  <si>
    <t>ISR por ajuste</t>
  </si>
  <si>
    <t>Ajuste al Subsidio entregado</t>
  </si>
  <si>
    <t>SMG</t>
  </si>
  <si>
    <t>DATOS Y RESUMEN</t>
  </si>
  <si>
    <t>OTRAS PRESTACIONES</t>
  </si>
  <si>
    <t>AJUSTE AL SUBSIDIO</t>
  </si>
  <si>
    <t>CUOTAS IMSS</t>
  </si>
  <si>
    <t xml:space="preserve">NOMINA FISCAL </t>
  </si>
  <si>
    <t>Tabla del subsidio para el empleo aplicable 
a la tarifa del numeral 5 del rubro B.</t>
  </si>
  <si>
    <t>Por ciento para aplicarse sobre 
el excedente del límite inferior</t>
  </si>
  <si>
    <t xml:space="preserve">Para Ingresos de </t>
  </si>
  <si>
    <t xml:space="preserve">Cantidad de subsidio para el empleo mensual </t>
  </si>
  <si>
    <t xml:space="preserve"> </t>
  </si>
  <si>
    <t>No. HORAS</t>
  </si>
  <si>
    <t>DOBLES</t>
  </si>
  <si>
    <t>TRIPLES</t>
  </si>
  <si>
    <t>INGRESO</t>
  </si>
  <si>
    <t>TOTAL</t>
  </si>
  <si>
    <t xml:space="preserve">SUBSIDIO SEGÚN PERIODO DE PAGO </t>
  </si>
  <si>
    <t>SUBSIDIO CAUSADO APLICAR EN EL ÚLTIMO PAGO</t>
  </si>
  <si>
    <t>CLAVES DE AJUSTE</t>
  </si>
  <si>
    <t>DATOS EXTRAS</t>
  </si>
  <si>
    <t>ABC</t>
  </si>
  <si>
    <t>A</t>
  </si>
  <si>
    <t>Z</t>
  </si>
  <si>
    <t>NÓMINA 2023</t>
  </si>
  <si>
    <t>TARIFAS 2023</t>
  </si>
  <si>
    <t>JUAN PABLO CAMINOS</t>
  </si>
  <si>
    <t>ART. 96 LISR. NO SE EFECTUARA RETENCIÓN CUANDO SE PERCIBE UN SALARIO MINIMO GENERAL</t>
  </si>
  <si>
    <t>no se entrega subsidio y como conclusión no se retiene ISR.</t>
  </si>
  <si>
    <t>Sí se realiza el cálculo de ISR y si hay un impuesto a cargo, el subsidio se acredita contra este impuesto y al ser un impuesto mayor,</t>
  </si>
  <si>
    <t>Favor de observar nota en ISR DEL PERIODO</t>
  </si>
  <si>
    <t>HECTOR ULISES GARCIA</t>
  </si>
  <si>
    <t>MARISOL VILLA</t>
  </si>
  <si>
    <t>MARCO PEREZ</t>
  </si>
  <si>
    <t>NOMINA</t>
  </si>
  <si>
    <t>INTEGRAL</t>
  </si>
  <si>
    <t>AUTOMATIZADA</t>
  </si>
  <si>
    <t xml:space="preserve">A CRITERIO DEL CONTRIBUYENTE: (La Hoja Calculará la Retención, Poner manualmente "0" Sí Prefiere No Retener) </t>
  </si>
  <si>
    <t>ALEJANDRO VENEGAS</t>
  </si>
  <si>
    <t>MARTHA ZAVALA</t>
  </si>
  <si>
    <t>CRISTINA MACIAS</t>
  </si>
  <si>
    <t>ANTONIO OCAMPOS</t>
  </si>
  <si>
    <t>NÓMINA 2025</t>
  </si>
  <si>
    <t>Tarifa aplicable durante 2025 para el cálculo 
de los pagos provisionales mensuales.</t>
  </si>
  <si>
    <t>TARIFA APLICABLE A ISR PERSONALIZADA 2025 ART 96 LISR</t>
  </si>
  <si>
    <t>TABLA APLICABLE A SUBSIDIO PARA EL EMPLEO 2025</t>
  </si>
  <si>
    <t>TARIFAS 2025</t>
  </si>
  <si>
    <t>CÁLCULO DEL IMPUESTO SOBRE LA RENTA ART 96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</si>
</sst>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* #,##0.00_-;\-* #,##0.00_-;_-* &quot;-&quot;??_-;_-@"/>
    <numFmt numFmtId="166" formatCode="0.000%"/>
    <numFmt numFmtId="167" formatCode="\ 0;\-0;;@"/>
    <numFmt numFmtId="168" formatCode="0;\-0;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 Narrow"/>
      <family val="2"/>
    </font>
    <font>
      <b/>
      <sz val="10"/>
      <color rgb="FFFFFFFF"/>
      <name val="Arial Narrow"/>
      <family val="2"/>
    </font>
    <font>
      <b/>
      <sz val="12"/>
      <color theme="8" tint="-0.499984740745262"/>
      <name val="Arial Narrow"/>
      <family val="2"/>
    </font>
    <font>
      <sz val="10"/>
      <color theme="1"/>
      <name val="Arial Narrow"/>
      <family val="2"/>
    </font>
    <font>
      <b/>
      <sz val="9"/>
      <color rgb="FFFFFFFF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10"/>
      <color theme="8" tint="-0.499984740745262"/>
      <name val="Arial Narrow"/>
      <family val="2"/>
    </font>
    <font>
      <sz val="10"/>
      <color theme="8" tint="-0.499984740745262"/>
      <name val="Arial Narrow"/>
      <family val="2"/>
    </font>
    <font>
      <b/>
      <sz val="16"/>
      <color rgb="FFFFFFFF"/>
      <name val="Arial Narrow"/>
      <family val="2"/>
    </font>
    <font>
      <b/>
      <sz val="14"/>
      <color theme="8" tint="-0.499984740745262"/>
      <name val="Arial Narrow"/>
      <family val="2"/>
    </font>
    <font>
      <b/>
      <sz val="8"/>
      <color rgb="FFFFFFFF"/>
      <name val="Arial Narrow"/>
      <family val="2"/>
    </font>
    <font>
      <b/>
      <sz val="20"/>
      <color theme="8" tint="-0.499984740745262"/>
      <name val="Arial Narrow"/>
      <family val="2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 Narrow"/>
      <family val="2"/>
    </font>
    <font>
      <b/>
      <sz val="18"/>
      <color rgb="FFFFFFFF"/>
      <name val="Arial Narrow"/>
      <family val="2"/>
    </font>
    <font>
      <b/>
      <sz val="9"/>
      <color theme="3" tint="-0.499984740745262"/>
      <name val="Arial Narrow"/>
      <family val="2"/>
    </font>
    <font>
      <b/>
      <sz val="12"/>
      <color rgb="FFFFFFFF"/>
      <name val="Arial Narrow"/>
      <family val="2"/>
    </font>
    <font>
      <sz val="12"/>
      <name val="Arial"/>
      <family val="2"/>
    </font>
    <font>
      <sz val="9"/>
      <color rgb="FF002060"/>
      <name val="Arial Narrow"/>
      <family val="2"/>
    </font>
    <font>
      <sz val="12"/>
      <color rgb="FF000000"/>
      <name val="Arial Narrow"/>
      <family val="2"/>
    </font>
    <font>
      <sz val="10"/>
      <color rgb="FF000000"/>
      <name val="Arial Narrow"/>
      <family val="2"/>
    </font>
    <font>
      <i/>
      <sz val="11"/>
      <color theme="1"/>
      <name val="Arial Narrow"/>
      <family val="2"/>
    </font>
    <font>
      <i/>
      <sz val="10"/>
      <color theme="1"/>
      <name val="Arial Narrow"/>
      <family val="2"/>
    </font>
    <font>
      <sz val="7"/>
      <color rgb="FFFFFFFF"/>
      <name val="Arial Narrow"/>
      <family val="2"/>
    </font>
    <font>
      <i/>
      <sz val="12"/>
      <color theme="1"/>
      <name val="Arial Narrow"/>
      <family val="2"/>
    </font>
    <font>
      <sz val="8"/>
      <color rgb="FFFFFFFF"/>
      <name val="Arial Narrow"/>
      <family val="2"/>
    </font>
    <font>
      <sz val="12"/>
      <color rgb="FFFF0000"/>
      <name val="Arial Narrow"/>
      <family val="2"/>
    </font>
    <font>
      <b/>
      <sz val="9"/>
      <color rgb="FF002060"/>
      <name val="Arial Narrow"/>
      <family val="2"/>
    </font>
    <font>
      <b/>
      <sz val="9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05867"/>
        <bgColor rgb="FF205867"/>
      </patternFill>
    </fill>
    <fill>
      <patternFill patternType="solid">
        <fgColor rgb="FFDBE5F1"/>
        <bgColor rgb="FFDBE5F1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rgb="FF205867"/>
      </patternFill>
    </fill>
    <fill>
      <patternFill patternType="solid">
        <fgColor theme="4" tint="0.39997558519241921"/>
        <bgColor rgb="FFDBE5F1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 style="double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rgb="FFA5A5A5"/>
      </right>
      <top style="thin">
        <color rgb="FFA5A5A5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thin">
        <color rgb="FFA5A5A5"/>
      </bottom>
      <diagonal/>
    </border>
    <border>
      <left/>
      <right style="thin">
        <color rgb="FFA5A5A5"/>
      </right>
      <top style="medium">
        <color theme="0" tint="-0.249977111117893"/>
      </top>
      <bottom style="thin">
        <color rgb="FFA5A5A5"/>
      </bottom>
      <diagonal/>
    </border>
    <border>
      <left style="thin">
        <color rgb="FFA5A5A5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A5A5A5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rgb="FFA5A5A5"/>
      </left>
      <right style="thin">
        <color rgb="FFA5A5A5"/>
      </right>
      <top/>
      <bottom style="medium">
        <color theme="0" tint="-0.249977111117893"/>
      </bottom>
      <diagonal/>
    </border>
    <border>
      <left style="thin">
        <color rgb="FFA5A5A5"/>
      </left>
      <right style="thin">
        <color rgb="FFA5A5A5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rgb="FFA5A5A5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rgb="FFA5A5A5"/>
      </right>
      <top style="medium">
        <color theme="0" tint="-0.249977111117893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theme="0" tint="-0.249977111117893"/>
      </top>
      <bottom style="thin">
        <color rgb="FFA5A5A5"/>
      </bottom>
      <diagonal/>
    </border>
    <border>
      <left style="thin">
        <color rgb="FFA5A5A5"/>
      </left>
      <right style="medium">
        <color theme="0" tint="-0.249977111117893"/>
      </right>
      <top style="medium">
        <color theme="0" tint="-0.249977111117893"/>
      </top>
      <bottom style="thin">
        <color rgb="FFA5A5A5"/>
      </bottom>
      <diagonal/>
    </border>
    <border>
      <left style="medium">
        <color theme="0" tint="-0.249977111117893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theme="0" tint="-0.249977111117893"/>
      </right>
      <top style="thin">
        <color rgb="FFA5A5A5"/>
      </top>
      <bottom style="thin">
        <color rgb="FFA5A5A5"/>
      </bottom>
      <diagonal/>
    </border>
    <border>
      <left style="medium">
        <color theme="0" tint="-0.249977111117893"/>
      </left>
      <right style="thin">
        <color rgb="FFA5A5A5"/>
      </right>
      <top style="thin">
        <color rgb="FFA5A5A5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rgb="FFA5A5A5"/>
      </bottom>
      <diagonal/>
    </border>
    <border>
      <left style="medium">
        <color theme="0" tint="-0.249977111117893"/>
      </left>
      <right/>
      <top style="thin">
        <color rgb="FFA5A5A5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rgb="FFA5A5A5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rgb="FFA5A5A5"/>
      </right>
      <top/>
      <bottom style="thin">
        <color rgb="FFA5A5A5"/>
      </bottom>
      <diagonal/>
    </border>
    <border>
      <left style="medium">
        <color theme="0" tint="-0.249977111117893"/>
      </left>
      <right style="thin">
        <color rgb="FFA5A5A5"/>
      </right>
      <top/>
      <bottom/>
      <diagonal/>
    </border>
    <border>
      <left style="medium">
        <color theme="0" tint="-0.249977111117893"/>
      </left>
      <right style="thin">
        <color rgb="FFA5A5A5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A5A5A5"/>
      </left>
      <right style="thin">
        <color rgb="FFA5A5A5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A5A5A5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A5A5A5"/>
      </left>
      <right style="thin">
        <color rgb="FFA5A5A5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A5A5A5"/>
      </bottom>
      <diagonal/>
    </border>
    <border>
      <left/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indexed="64"/>
      </right>
      <top style="thin">
        <color rgb="FFA5A5A5"/>
      </top>
      <bottom/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medium">
        <color indexed="64"/>
      </bottom>
      <diagonal/>
    </border>
    <border>
      <left/>
      <right style="medium">
        <color indexed="64"/>
      </right>
      <top style="thin">
        <color rgb="FFA5A5A5"/>
      </top>
      <bottom style="medium">
        <color indexed="64"/>
      </bottom>
      <diagonal/>
    </border>
    <border>
      <left style="thin">
        <color theme="2" tint="-0.499984740745262"/>
      </left>
      <right/>
      <top/>
      <bottom style="thin">
        <color rgb="FFA5A5A5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rgb="FFA5A5A5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A5A5A5"/>
      </top>
      <bottom/>
      <diagonal/>
    </border>
    <border>
      <left/>
      <right style="medium">
        <color indexed="64"/>
      </right>
      <top style="thin">
        <color rgb="FFA5A5A5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9" fontId="32" fillId="5" borderId="83" applyBorder="0">
      <alignment horizontal="center"/>
      <protection hidden="1"/>
    </xf>
    <xf numFmtId="49" fontId="32" fillId="5" borderId="83" applyBorder="0">
      <alignment horizontal="center"/>
      <protection hidden="1"/>
    </xf>
  </cellStyleXfs>
  <cellXfs count="44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8" xfId="0" applyFont="1" applyBorder="1"/>
    <xf numFmtId="0" fontId="6" fillId="0" borderId="9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10" xfId="0" applyFont="1" applyBorder="1" applyProtection="1">
      <protection hidden="1"/>
    </xf>
    <xf numFmtId="0" fontId="6" fillId="0" borderId="12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6" fillId="0" borderId="13" xfId="0" applyFont="1" applyBorder="1" applyProtection="1">
      <protection hidden="1"/>
    </xf>
    <xf numFmtId="2" fontId="6" fillId="0" borderId="0" xfId="0" quotePrefix="1" applyNumberFormat="1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2" fontId="6" fillId="0" borderId="0" xfId="0" quotePrefix="1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center"/>
      <protection hidden="1"/>
    </xf>
    <xf numFmtId="49" fontId="6" fillId="0" borderId="0" xfId="0" applyNumberFormat="1" applyFont="1" applyAlignment="1" applyProtection="1">
      <alignment horizontal="right"/>
      <protection hidden="1"/>
    </xf>
    <xf numFmtId="49" fontId="6" fillId="0" borderId="13" xfId="0" applyNumberFormat="1" applyFont="1" applyBorder="1" applyProtection="1">
      <protection hidden="1"/>
    </xf>
    <xf numFmtId="49" fontId="6" fillId="0" borderId="14" xfId="0" applyNumberFormat="1" applyFont="1" applyBorder="1" applyProtection="1">
      <protection hidden="1"/>
    </xf>
    <xf numFmtId="0" fontId="11" fillId="0" borderId="0" xfId="0" applyFont="1"/>
    <xf numFmtId="49" fontId="16" fillId="5" borderId="17" xfId="0" applyNumberFormat="1" applyFont="1" applyFill="1" applyBorder="1" applyAlignment="1">
      <alignment horizontal="center" vertical="center"/>
    </xf>
    <xf numFmtId="44" fontId="17" fillId="6" borderId="17" xfId="2" applyFont="1" applyFill="1" applyBorder="1"/>
    <xf numFmtId="0" fontId="16" fillId="5" borderId="17" xfId="0" applyFont="1" applyFill="1" applyBorder="1" applyAlignment="1">
      <alignment horizontal="center" vertical="center"/>
    </xf>
    <xf numFmtId="49" fontId="16" fillId="5" borderId="19" xfId="0" applyNumberFormat="1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49" fontId="17" fillId="5" borderId="18" xfId="0" applyNumberFormat="1" applyFont="1" applyFill="1" applyBorder="1"/>
    <xf numFmtId="0" fontId="17" fillId="5" borderId="18" xfId="0" applyFont="1" applyFill="1" applyBorder="1" applyAlignment="1">
      <alignment horizontal="center" vertical="center"/>
    </xf>
    <xf numFmtId="49" fontId="17" fillId="5" borderId="18" xfId="0" applyNumberFormat="1" applyFont="1" applyFill="1" applyBorder="1" applyAlignment="1">
      <alignment horizontal="center" vertical="center"/>
    </xf>
    <xf numFmtId="44" fontId="0" fillId="0" borderId="0" xfId="2" applyFont="1"/>
    <xf numFmtId="44" fontId="17" fillId="5" borderId="18" xfId="2" applyFont="1" applyFill="1" applyBorder="1"/>
    <xf numFmtId="0" fontId="17" fillId="5" borderId="18" xfId="0" applyFont="1" applyFill="1" applyBorder="1"/>
    <xf numFmtId="167" fontId="17" fillId="5" borderId="17" xfId="0" applyNumberFormat="1" applyFont="1" applyFill="1" applyBorder="1" applyProtection="1">
      <protection hidden="1"/>
    </xf>
    <xf numFmtId="2" fontId="0" fillId="0" borderId="0" xfId="0" applyNumberFormat="1"/>
    <xf numFmtId="49" fontId="16" fillId="5" borderId="18" xfId="0" applyNumberFormat="1" applyFont="1" applyFill="1" applyBorder="1"/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49" fontId="1" fillId="0" borderId="0" xfId="0" applyNumberFormat="1" applyFont="1" applyAlignment="1">
      <alignment horizontal="right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49" fontId="13" fillId="0" borderId="0" xfId="0" applyNumberFormat="1" applyFont="1" applyProtection="1">
      <protection hidden="1"/>
    </xf>
    <xf numFmtId="49" fontId="2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44" fontId="2" fillId="0" borderId="0" xfId="2" applyFont="1" applyProtection="1">
      <protection hidden="1"/>
    </xf>
    <xf numFmtId="44" fontId="15" fillId="4" borderId="17" xfId="2" applyFont="1" applyFill="1" applyBorder="1" applyAlignment="1" applyProtection="1">
      <alignment horizontal="center" vertical="center"/>
      <protection hidden="1"/>
    </xf>
    <xf numFmtId="49" fontId="16" fillId="5" borderId="17" xfId="0" applyNumberFormat="1" applyFont="1" applyFill="1" applyBorder="1" applyAlignment="1" applyProtection="1">
      <alignment horizontal="center" vertical="center"/>
      <protection hidden="1"/>
    </xf>
    <xf numFmtId="49" fontId="16" fillId="5" borderId="19" xfId="0" applyNumberFormat="1" applyFont="1" applyFill="1" applyBorder="1" applyAlignment="1" applyProtection="1">
      <alignment horizontal="center" vertical="center"/>
      <protection hidden="1"/>
    </xf>
    <xf numFmtId="49" fontId="17" fillId="5" borderId="18" xfId="0" applyNumberFormat="1" applyFont="1" applyFill="1" applyBorder="1" applyAlignment="1" applyProtection="1">
      <alignment horizontal="center" vertical="center"/>
      <protection hidden="1"/>
    </xf>
    <xf numFmtId="44" fontId="17" fillId="6" borderId="17" xfId="2" applyFont="1" applyFill="1" applyBorder="1" applyProtection="1">
      <protection hidden="1"/>
    </xf>
    <xf numFmtId="44" fontId="17" fillId="6" borderId="19" xfId="2" applyFont="1" applyFill="1" applyBorder="1" applyProtection="1">
      <protection hidden="1"/>
    </xf>
    <xf numFmtId="10" fontId="17" fillId="6" borderId="17" xfId="3" applyNumberFormat="1" applyFont="1" applyFill="1" applyBorder="1" applyProtection="1">
      <protection hidden="1"/>
    </xf>
    <xf numFmtId="10" fontId="17" fillId="6" borderId="19" xfId="3" applyNumberFormat="1" applyFont="1" applyFill="1" applyBorder="1" applyProtection="1">
      <protection hidden="1"/>
    </xf>
    <xf numFmtId="44" fontId="16" fillId="5" borderId="18" xfId="2" applyFont="1" applyFill="1" applyBorder="1" applyProtection="1">
      <protection hidden="1"/>
    </xf>
    <xf numFmtId="44" fontId="16" fillId="5" borderId="19" xfId="2" applyFont="1" applyFill="1" applyBorder="1" applyProtection="1">
      <protection hidden="1"/>
    </xf>
    <xf numFmtId="44" fontId="16" fillId="5" borderId="17" xfId="2" applyFont="1" applyFill="1" applyBorder="1" applyProtection="1">
      <protection hidden="1"/>
    </xf>
    <xf numFmtId="44" fontId="0" fillId="0" borderId="0" xfId="2" applyFont="1" applyProtection="1">
      <protection hidden="1"/>
    </xf>
    <xf numFmtId="49" fontId="17" fillId="5" borderId="18" xfId="0" applyNumberFormat="1" applyFont="1" applyFill="1" applyBorder="1" applyProtection="1">
      <protection hidden="1"/>
    </xf>
    <xf numFmtId="0" fontId="16" fillId="5" borderId="17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0" borderId="72" xfId="0" applyFont="1" applyBorder="1"/>
    <xf numFmtId="0" fontId="11" fillId="0" borderId="71" xfId="0" applyFont="1" applyBorder="1" applyAlignment="1">
      <alignment horizontal="center" vertical="center"/>
    </xf>
    <xf numFmtId="44" fontId="17" fillId="9" borderId="17" xfId="2" applyFont="1" applyFill="1" applyBorder="1"/>
    <xf numFmtId="165" fontId="30" fillId="4" borderId="26" xfId="0" applyNumberFormat="1" applyFont="1" applyFill="1" applyBorder="1" applyAlignment="1" applyProtection="1">
      <alignment vertical="center"/>
      <protection hidden="1"/>
    </xf>
    <xf numFmtId="165" fontId="30" fillId="4" borderId="26" xfId="0" applyNumberFormat="1" applyFont="1" applyFill="1" applyBorder="1" applyAlignment="1" applyProtection="1">
      <alignment horizontal="right" vertical="center"/>
      <protection hidden="1"/>
    </xf>
    <xf numFmtId="165" fontId="30" fillId="4" borderId="73" xfId="0" applyNumberFormat="1" applyFont="1" applyFill="1" applyBorder="1" applyAlignment="1" applyProtection="1">
      <alignment vertical="center"/>
      <protection hidden="1"/>
    </xf>
    <xf numFmtId="165" fontId="30" fillId="4" borderId="74" xfId="0" applyNumberFormat="1" applyFont="1" applyFill="1" applyBorder="1" applyAlignment="1" applyProtection="1">
      <alignment vertical="center"/>
      <protection hidden="1"/>
    </xf>
    <xf numFmtId="44" fontId="15" fillId="4" borderId="75" xfId="2" applyFont="1" applyFill="1" applyBorder="1" applyAlignment="1" applyProtection="1">
      <alignment vertical="center" wrapText="1"/>
      <protection hidden="1"/>
    </xf>
    <xf numFmtId="44" fontId="15" fillId="4" borderId="76" xfId="2" applyFont="1" applyFill="1" applyBorder="1" applyAlignment="1" applyProtection="1">
      <alignment vertical="center" wrapText="1"/>
      <protection hidden="1"/>
    </xf>
    <xf numFmtId="165" fontId="15" fillId="4" borderId="20" xfId="0" applyNumberFormat="1" applyFont="1" applyFill="1" applyBorder="1" applyAlignment="1" applyProtection="1">
      <alignment vertical="center"/>
      <protection hidden="1"/>
    </xf>
    <xf numFmtId="2" fontId="17" fillId="5" borderId="18" xfId="0" applyNumberFormat="1" applyFont="1" applyFill="1" applyBorder="1"/>
    <xf numFmtId="43" fontId="6" fillId="0" borderId="9" xfId="1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49" fontId="17" fillId="0" borderId="0" xfId="0" applyNumberFormat="1" applyFont="1" applyProtection="1">
      <protection hidden="1"/>
    </xf>
    <xf numFmtId="0" fontId="29" fillId="0" borderId="0" xfId="0" applyFont="1"/>
    <xf numFmtId="44" fontId="29" fillId="0" borderId="0" xfId="2" applyFont="1"/>
    <xf numFmtId="0" fontId="16" fillId="5" borderId="18" xfId="0" applyFont="1" applyFill="1" applyBorder="1"/>
    <xf numFmtId="44" fontId="15" fillId="4" borderId="20" xfId="2" applyFont="1" applyFill="1" applyBorder="1" applyAlignment="1" applyProtection="1">
      <alignment vertical="center"/>
      <protection hidden="1"/>
    </xf>
    <xf numFmtId="165" fontId="15" fillId="4" borderId="20" xfId="0" applyNumberFormat="1" applyFont="1" applyFill="1" applyBorder="1" applyAlignment="1" applyProtection="1">
      <alignment horizontal="center" vertical="center"/>
      <protection hidden="1"/>
    </xf>
    <xf numFmtId="44" fontId="15" fillId="4" borderId="20" xfId="2" applyFont="1" applyFill="1" applyBorder="1" applyAlignment="1" applyProtection="1">
      <alignment vertical="center" wrapText="1"/>
      <protection hidden="1"/>
    </xf>
    <xf numFmtId="0" fontId="16" fillId="5" borderId="17" xfId="0" applyFont="1" applyFill="1" applyBorder="1" applyProtection="1">
      <protection locked="0"/>
    </xf>
    <xf numFmtId="44" fontId="16" fillId="6" borderId="17" xfId="2" applyFont="1" applyFill="1" applyBorder="1" applyProtection="1">
      <protection locked="0"/>
    </xf>
    <xf numFmtId="44" fontId="16" fillId="5" borderId="17" xfId="2" applyFont="1" applyFill="1" applyBorder="1" applyProtection="1">
      <protection locked="0"/>
    </xf>
    <xf numFmtId="0" fontId="2" fillId="0" borderId="0" xfId="0" applyFont="1" applyProtection="1">
      <protection hidden="1"/>
    </xf>
    <xf numFmtId="10" fontId="2" fillId="0" borderId="0" xfId="3" applyNumberFormat="1" applyFont="1" applyProtection="1">
      <protection hidden="1"/>
    </xf>
    <xf numFmtId="0" fontId="16" fillId="5" borderId="17" xfId="0" applyFont="1" applyFill="1" applyBorder="1" applyAlignment="1" applyProtection="1">
      <alignment horizontal="center" vertical="center"/>
      <protection hidden="1"/>
    </xf>
    <xf numFmtId="0" fontId="17" fillId="5" borderId="18" xfId="0" applyFont="1" applyFill="1" applyBorder="1" applyAlignment="1" applyProtection="1">
      <alignment horizontal="center" vertical="center"/>
      <protection hidden="1"/>
    </xf>
    <xf numFmtId="167" fontId="16" fillId="5" borderId="17" xfId="0" applyNumberFormat="1" applyFont="1" applyFill="1" applyBorder="1" applyProtection="1">
      <protection hidden="1"/>
    </xf>
    <xf numFmtId="44" fontId="16" fillId="5" borderId="17" xfId="0" applyNumberFormat="1" applyFont="1" applyFill="1" applyBorder="1" applyProtection="1">
      <protection hidden="1"/>
    </xf>
    <xf numFmtId="44" fontId="17" fillId="5" borderId="17" xfId="2" applyFont="1" applyFill="1" applyBorder="1" applyProtection="1">
      <protection hidden="1"/>
    </xf>
    <xf numFmtId="44" fontId="16" fillId="5" borderId="19" xfId="0" applyNumberFormat="1" applyFont="1" applyFill="1" applyBorder="1" applyProtection="1">
      <protection hidden="1"/>
    </xf>
    <xf numFmtId="0" fontId="17" fillId="5" borderId="18" xfId="0" applyFont="1" applyFill="1" applyBorder="1" applyProtection="1">
      <protection hidden="1"/>
    </xf>
    <xf numFmtId="44" fontId="17" fillId="5" borderId="18" xfId="2" applyFont="1" applyFill="1" applyBorder="1" applyProtection="1">
      <protection hidden="1"/>
    </xf>
    <xf numFmtId="44" fontId="16" fillId="5" borderId="70" xfId="0" applyNumberFormat="1" applyFont="1" applyFill="1" applyBorder="1" applyProtection="1">
      <protection hidden="1"/>
    </xf>
    <xf numFmtId="9" fontId="16" fillId="5" borderId="17" xfId="0" applyNumberFormat="1" applyFont="1" applyFill="1" applyBorder="1" applyProtection="1">
      <protection locked="0"/>
    </xf>
    <xf numFmtId="44" fontId="17" fillId="6" borderId="17" xfId="2" applyFont="1" applyFill="1" applyBorder="1" applyProtection="1">
      <protection locked="0"/>
    </xf>
    <xf numFmtId="0" fontId="16" fillId="5" borderId="19" xfId="0" applyFont="1" applyFill="1" applyBorder="1" applyAlignment="1" applyProtection="1">
      <alignment horizontal="center" vertical="center"/>
      <protection hidden="1"/>
    </xf>
    <xf numFmtId="168" fontId="16" fillId="5" borderId="17" xfId="0" applyNumberFormat="1" applyFont="1" applyFill="1" applyBorder="1" applyProtection="1">
      <protection hidden="1"/>
    </xf>
    <xf numFmtId="44" fontId="16" fillId="5" borderId="19" xfId="2" applyFont="1" applyFill="1" applyBorder="1" applyProtection="1">
      <protection locked="0"/>
    </xf>
    <xf numFmtId="49" fontId="16" fillId="5" borderId="18" xfId="0" applyNumberFormat="1" applyFont="1" applyFill="1" applyBorder="1" applyProtection="1">
      <protection hidden="1"/>
    </xf>
    <xf numFmtId="44" fontId="15" fillId="4" borderId="19" xfId="2" applyFont="1" applyFill="1" applyBorder="1" applyAlignment="1" applyProtection="1">
      <alignment horizontal="center" vertical="center" wrapText="1"/>
      <protection hidden="1"/>
    </xf>
    <xf numFmtId="165" fontId="15" fillId="4" borderId="19" xfId="0" applyNumberFormat="1" applyFont="1" applyFill="1" applyBorder="1" applyAlignment="1" applyProtection="1">
      <alignment horizontal="center" vertical="center"/>
      <protection hidden="1"/>
    </xf>
    <xf numFmtId="0" fontId="1" fillId="10" borderId="0" xfId="0" applyFont="1" applyFill="1" applyProtection="1">
      <protection locked="0"/>
    </xf>
    <xf numFmtId="0" fontId="1" fillId="10" borderId="5" xfId="0" applyFont="1" applyFill="1" applyBorder="1" applyProtection="1">
      <protection locked="0"/>
    </xf>
    <xf numFmtId="49" fontId="1" fillId="10" borderId="0" xfId="0" applyNumberFormat="1" applyFont="1" applyFill="1" applyProtection="1">
      <protection locked="0"/>
    </xf>
    <xf numFmtId="0" fontId="1" fillId="10" borderId="4" xfId="0" applyFont="1" applyFill="1" applyBorder="1" applyProtection="1">
      <protection locked="0"/>
    </xf>
    <xf numFmtId="0" fontId="7" fillId="10" borderId="11" xfId="0" applyFont="1" applyFill="1" applyBorder="1" applyProtection="1">
      <protection hidden="1"/>
    </xf>
    <xf numFmtId="0" fontId="6" fillId="10" borderId="11" xfId="0" applyFont="1" applyFill="1" applyBorder="1" applyProtection="1">
      <protection hidden="1"/>
    </xf>
    <xf numFmtId="4" fontId="6" fillId="10" borderId="11" xfId="0" applyNumberFormat="1" applyFont="1" applyFill="1" applyBorder="1" applyProtection="1">
      <protection hidden="1"/>
    </xf>
    <xf numFmtId="0" fontId="6" fillId="10" borderId="0" xfId="0" applyFont="1" applyFill="1" applyProtection="1">
      <protection hidden="1"/>
    </xf>
    <xf numFmtId="0" fontId="7" fillId="10" borderId="0" xfId="0" applyFont="1" applyFill="1" applyProtection="1">
      <protection hidden="1"/>
    </xf>
    <xf numFmtId="0" fontId="6" fillId="10" borderId="0" xfId="0" quotePrefix="1" applyFont="1" applyFill="1" applyAlignment="1" applyProtection="1">
      <alignment horizontal="center"/>
      <protection hidden="1"/>
    </xf>
    <xf numFmtId="0" fontId="6" fillId="10" borderId="13" xfId="0" applyFont="1" applyFill="1" applyBorder="1" applyProtection="1">
      <protection hidden="1"/>
    </xf>
    <xf numFmtId="0" fontId="1" fillId="0" borderId="95" xfId="0" applyFont="1" applyBorder="1"/>
    <xf numFmtId="0" fontId="1" fillId="0" borderId="97" xfId="0" applyFont="1" applyBorder="1"/>
    <xf numFmtId="0" fontId="1" fillId="0" borderId="98" xfId="0" applyFont="1" applyBorder="1"/>
    <xf numFmtId="0" fontId="1" fillId="0" borderId="99" xfId="0" applyFont="1" applyBorder="1"/>
    <xf numFmtId="0" fontId="11" fillId="0" borderId="100" xfId="0" applyFont="1" applyBorder="1" applyAlignment="1">
      <alignment horizontal="center" vertical="center"/>
    </xf>
    <xf numFmtId="0" fontId="39" fillId="0" borderId="0" xfId="0" applyFont="1"/>
    <xf numFmtId="0" fontId="16" fillId="5" borderId="17" xfId="0" applyFont="1" applyFill="1" applyBorder="1" applyProtection="1">
      <protection hidden="1"/>
    </xf>
    <xf numFmtId="44" fontId="17" fillId="9" borderId="17" xfId="2" applyFont="1" applyFill="1" applyBorder="1" applyProtection="1">
      <protection hidden="1"/>
    </xf>
    <xf numFmtId="49" fontId="17" fillId="5" borderId="17" xfId="0" applyNumberFormat="1" applyFont="1" applyFill="1" applyBorder="1" applyProtection="1">
      <protection hidden="1"/>
    </xf>
    <xf numFmtId="49" fontId="17" fillId="5" borderId="19" xfId="0" applyNumberFormat="1" applyFont="1" applyFill="1" applyBorder="1" applyProtection="1">
      <protection hidden="1"/>
    </xf>
    <xf numFmtId="0" fontId="16" fillId="5" borderId="77" xfId="0" applyFont="1" applyFill="1" applyBorder="1" applyProtection="1">
      <protection hidden="1"/>
    </xf>
    <xf numFmtId="0" fontId="16" fillId="5" borderId="78" xfId="0" applyFont="1" applyFill="1" applyBorder="1" applyProtection="1">
      <protection hidden="1"/>
    </xf>
    <xf numFmtId="0" fontId="16" fillId="5" borderId="79" xfId="0" applyFont="1" applyFill="1" applyBorder="1" applyProtection="1">
      <protection hidden="1"/>
    </xf>
    <xf numFmtId="0" fontId="16" fillId="5" borderId="80" xfId="0" applyFont="1" applyFill="1" applyBorder="1" applyProtection="1">
      <protection hidden="1"/>
    </xf>
    <xf numFmtId="44" fontId="17" fillId="6" borderId="80" xfId="2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9" fontId="2" fillId="0" borderId="0" xfId="3" applyFont="1" applyProtection="1">
      <protection hidden="1"/>
    </xf>
    <xf numFmtId="9" fontId="16" fillId="5" borderId="77" xfId="3" applyFont="1" applyFill="1" applyBorder="1" applyProtection="1">
      <protection hidden="1"/>
    </xf>
    <xf numFmtId="9" fontId="16" fillId="5" borderId="17" xfId="3" applyFont="1" applyFill="1" applyBorder="1" applyProtection="1">
      <protection hidden="1"/>
    </xf>
    <xf numFmtId="9" fontId="17" fillId="6" borderId="17" xfId="3" applyFont="1" applyFill="1" applyBorder="1" applyProtection="1">
      <protection hidden="1"/>
    </xf>
    <xf numFmtId="9" fontId="16" fillId="5" borderId="78" xfId="3" applyFont="1" applyFill="1" applyBorder="1" applyProtection="1">
      <protection hidden="1"/>
    </xf>
    <xf numFmtId="0" fontId="41" fillId="0" borderId="0" xfId="0" applyFont="1"/>
    <xf numFmtId="165" fontId="15" fillId="4" borderId="19" xfId="0" applyNumberFormat="1" applyFont="1" applyFill="1" applyBorder="1" applyAlignment="1" applyProtection="1">
      <alignment vertical="center"/>
      <protection hidden="1"/>
    </xf>
    <xf numFmtId="2" fontId="0" fillId="0" borderId="0" xfId="0" applyNumberFormat="1" applyProtection="1">
      <protection hidden="1"/>
    </xf>
    <xf numFmtId="44" fontId="22" fillId="0" borderId="0" xfId="2" applyFont="1" applyProtection="1">
      <protection hidden="1"/>
    </xf>
    <xf numFmtId="44" fontId="23" fillId="4" borderId="46" xfId="2" applyFont="1" applyFill="1" applyBorder="1" applyAlignment="1" applyProtection="1">
      <alignment vertical="center"/>
      <protection hidden="1"/>
    </xf>
    <xf numFmtId="0" fontId="0" fillId="0" borderId="33" xfId="0" applyBorder="1" applyProtection="1">
      <protection hidden="1"/>
    </xf>
    <xf numFmtId="0" fontId="25" fillId="0" borderId="0" xfId="0" applyFont="1" applyProtection="1">
      <protection hidden="1"/>
    </xf>
    <xf numFmtId="44" fontId="23" fillId="4" borderId="61" xfId="2" applyFont="1" applyFill="1" applyBorder="1" applyAlignment="1" applyProtection="1">
      <alignment horizontal="center" vertical="center"/>
      <protection hidden="1"/>
    </xf>
    <xf numFmtId="2" fontId="23" fillId="4" borderId="44" xfId="0" applyNumberFormat="1" applyFont="1" applyFill="1" applyBorder="1" applyAlignment="1" applyProtection="1">
      <alignment horizontal="center" vertical="center"/>
      <protection hidden="1"/>
    </xf>
    <xf numFmtId="44" fontId="23" fillId="4" borderId="44" xfId="2" applyFont="1" applyFill="1" applyBorder="1" applyAlignment="1" applyProtection="1">
      <alignment horizontal="center" vertical="center"/>
      <protection hidden="1"/>
    </xf>
    <xf numFmtId="0" fontId="23" fillId="4" borderId="42" xfId="0" applyFont="1" applyFill="1" applyBorder="1" applyAlignment="1" applyProtection="1">
      <alignment horizontal="center" vertical="center"/>
      <protection hidden="1"/>
    </xf>
    <xf numFmtId="44" fontId="23" fillId="4" borderId="43" xfId="2" applyFont="1" applyFill="1" applyBorder="1" applyAlignment="1" applyProtection="1">
      <alignment horizontal="center" vertical="center"/>
      <protection hidden="1"/>
    </xf>
    <xf numFmtId="44" fontId="23" fillId="4" borderId="56" xfId="2" applyFont="1" applyFill="1" applyBorder="1" applyAlignment="1" applyProtection="1">
      <alignment horizontal="center" vertical="center"/>
      <protection hidden="1"/>
    </xf>
    <xf numFmtId="165" fontId="23" fillId="4" borderId="64" xfId="0" applyNumberFormat="1" applyFont="1" applyFill="1" applyBorder="1" applyAlignment="1" applyProtection="1">
      <alignment vertical="center"/>
      <protection hidden="1"/>
    </xf>
    <xf numFmtId="44" fontId="23" fillId="4" borderId="45" xfId="2" applyFont="1" applyFill="1" applyBorder="1" applyAlignment="1" applyProtection="1">
      <alignment vertical="center"/>
      <protection hidden="1"/>
    </xf>
    <xf numFmtId="165" fontId="23" fillId="4" borderId="46" xfId="0" applyNumberFormat="1" applyFont="1" applyFill="1" applyBorder="1" applyAlignment="1" applyProtection="1">
      <alignment vertical="center"/>
      <protection hidden="1"/>
    </xf>
    <xf numFmtId="49" fontId="26" fillId="5" borderId="48" xfId="0" applyNumberFormat="1" applyFont="1" applyFill="1" applyBorder="1" applyAlignment="1" applyProtection="1">
      <alignment horizontal="center" vertical="center"/>
      <protection hidden="1"/>
    </xf>
    <xf numFmtId="167" fontId="26" fillId="5" borderId="51" xfId="0" applyNumberFormat="1" applyFont="1" applyFill="1" applyBorder="1" applyAlignment="1" applyProtection="1">
      <alignment horizontal="center" vertical="center"/>
      <protection hidden="1"/>
    </xf>
    <xf numFmtId="44" fontId="26" fillId="5" borderId="48" xfId="2" applyFont="1" applyFill="1" applyBorder="1" applyProtection="1">
      <protection hidden="1"/>
    </xf>
    <xf numFmtId="2" fontId="26" fillId="5" borderId="49" xfId="0" applyNumberFormat="1" applyFont="1" applyFill="1" applyBorder="1" applyProtection="1">
      <protection hidden="1"/>
    </xf>
    <xf numFmtId="44" fontId="26" fillId="5" borderId="49" xfId="2" applyFont="1" applyFill="1" applyBorder="1" applyProtection="1">
      <protection hidden="1"/>
    </xf>
    <xf numFmtId="49" fontId="26" fillId="5" borderId="51" xfId="0" applyNumberFormat="1" applyFont="1" applyFill="1" applyBorder="1" applyAlignment="1" applyProtection="1">
      <alignment horizontal="center" vertical="center"/>
      <protection hidden="1"/>
    </xf>
    <xf numFmtId="44" fontId="27" fillId="5" borderId="51" xfId="2" applyFont="1" applyFill="1" applyBorder="1" applyProtection="1">
      <protection hidden="1"/>
    </xf>
    <xf numFmtId="2" fontId="27" fillId="5" borderId="17" xfId="0" applyNumberFormat="1" applyFont="1" applyFill="1" applyBorder="1" applyProtection="1">
      <protection hidden="1"/>
    </xf>
    <xf numFmtId="44" fontId="27" fillId="5" borderId="17" xfId="2" applyFont="1" applyFill="1" applyBorder="1" applyProtection="1">
      <protection hidden="1"/>
    </xf>
    <xf numFmtId="49" fontId="26" fillId="5" borderId="53" xfId="0" applyNumberFormat="1" applyFont="1" applyFill="1" applyBorder="1" applyAlignment="1" applyProtection="1">
      <alignment horizontal="center" vertical="center"/>
      <protection hidden="1"/>
    </xf>
    <xf numFmtId="49" fontId="27" fillId="5" borderId="67" xfId="0" applyNumberFormat="1" applyFont="1" applyFill="1" applyBorder="1" applyAlignment="1" applyProtection="1">
      <alignment horizontal="center" vertical="center"/>
      <protection hidden="1"/>
    </xf>
    <xf numFmtId="0" fontId="27" fillId="5" borderId="68" xfId="0" applyFont="1" applyFill="1" applyBorder="1" applyProtection="1">
      <protection hidden="1"/>
    </xf>
    <xf numFmtId="0" fontId="27" fillId="5" borderId="69" xfId="0" applyFont="1" applyFill="1" applyBorder="1" applyProtection="1">
      <protection hidden="1"/>
    </xf>
    <xf numFmtId="44" fontId="27" fillId="5" borderId="67" xfId="2" applyFont="1" applyFill="1" applyBorder="1" applyProtection="1">
      <protection hidden="1"/>
    </xf>
    <xf numFmtId="2" fontId="27" fillId="5" borderId="68" xfId="0" applyNumberFormat="1" applyFont="1" applyFill="1" applyBorder="1" applyProtection="1">
      <protection hidden="1"/>
    </xf>
    <xf numFmtId="44" fontId="27" fillId="5" borderId="68" xfId="2" applyFont="1" applyFill="1" applyBorder="1" applyProtection="1">
      <protection hidden="1"/>
    </xf>
    <xf numFmtId="44" fontId="27" fillId="5" borderId="69" xfId="2" applyFont="1" applyFill="1" applyBorder="1" applyProtection="1">
      <protection hidden="1"/>
    </xf>
    <xf numFmtId="49" fontId="27" fillId="5" borderId="67" xfId="0" applyNumberFormat="1" applyFont="1" applyFill="1" applyBorder="1" applyProtection="1">
      <protection hidden="1"/>
    </xf>
    <xf numFmtId="49" fontId="27" fillId="5" borderId="68" xfId="0" applyNumberFormat="1" applyFont="1" applyFill="1" applyBorder="1" applyProtection="1">
      <protection hidden="1"/>
    </xf>
    <xf numFmtId="44" fontId="25" fillId="0" borderId="0" xfId="2" applyFont="1" applyProtection="1">
      <protection hidden="1"/>
    </xf>
    <xf numFmtId="2" fontId="25" fillId="0" borderId="0" xfId="0" applyNumberFormat="1" applyFont="1" applyProtection="1">
      <protection hidden="1"/>
    </xf>
    <xf numFmtId="0" fontId="27" fillId="6" borderId="49" xfId="2" applyNumberFormat="1" applyFont="1" applyFill="1" applyBorder="1" applyProtection="1">
      <protection locked="0"/>
    </xf>
    <xf numFmtId="0" fontId="27" fillId="6" borderId="17" xfId="2" applyNumberFormat="1" applyFont="1" applyFill="1" applyBorder="1" applyProtection="1">
      <protection locked="0"/>
    </xf>
    <xf numFmtId="166" fontId="27" fillId="6" borderId="48" xfId="2" applyNumberFormat="1" applyFont="1" applyFill="1" applyBorder="1" applyProtection="1">
      <protection locked="0"/>
    </xf>
    <xf numFmtId="44" fontId="26" fillId="5" borderId="49" xfId="2" applyFont="1" applyFill="1" applyBorder="1" applyProtection="1">
      <protection locked="0"/>
    </xf>
    <xf numFmtId="166" fontId="27" fillId="6" borderId="49" xfId="2" applyNumberFormat="1" applyFont="1" applyFill="1" applyBorder="1" applyProtection="1">
      <protection locked="0"/>
    </xf>
    <xf numFmtId="10" fontId="27" fillId="6" borderId="49" xfId="2" applyNumberFormat="1" applyFont="1" applyFill="1" applyBorder="1" applyProtection="1">
      <protection locked="0"/>
    </xf>
    <xf numFmtId="44" fontId="26" fillId="5" borderId="50" xfId="2" applyFont="1" applyFill="1" applyBorder="1" applyProtection="1">
      <protection locked="0"/>
    </xf>
    <xf numFmtId="166" fontId="27" fillId="6" borderId="65" xfId="2" applyNumberFormat="1" applyFont="1" applyFill="1" applyBorder="1" applyProtection="1">
      <protection locked="0"/>
    </xf>
    <xf numFmtId="166" fontId="27" fillId="6" borderId="20" xfId="2" applyNumberFormat="1" applyFont="1" applyFill="1" applyBorder="1" applyProtection="1">
      <protection locked="0"/>
    </xf>
    <xf numFmtId="44" fontId="27" fillId="5" borderId="17" xfId="2" applyFont="1" applyFill="1" applyBorder="1" applyProtection="1">
      <protection locked="0"/>
    </xf>
    <xf numFmtId="10" fontId="27" fillId="6" borderId="20" xfId="2" applyNumberFormat="1" applyFont="1" applyFill="1" applyBorder="1" applyProtection="1">
      <protection locked="0"/>
    </xf>
    <xf numFmtId="44" fontId="27" fillId="5" borderId="52" xfId="2" applyFont="1" applyFill="1" applyBorder="1" applyProtection="1">
      <protection locked="0"/>
    </xf>
    <xf numFmtId="166" fontId="27" fillId="6" borderId="66" xfId="2" applyNumberFormat="1" applyFont="1" applyFill="1" applyBorder="1" applyProtection="1">
      <protection locked="0"/>
    </xf>
    <xf numFmtId="166" fontId="27" fillId="6" borderId="28" xfId="2" applyNumberFormat="1" applyFont="1" applyFill="1" applyBorder="1" applyProtection="1">
      <protection locked="0"/>
    </xf>
    <xf numFmtId="10" fontId="27" fillId="6" borderId="28" xfId="2" applyNumberFormat="1" applyFont="1" applyFill="1" applyBorder="1" applyProtection="1">
      <protection locked="0"/>
    </xf>
    <xf numFmtId="44" fontId="27" fillId="6" borderId="49" xfId="2" applyFont="1" applyFill="1" applyBorder="1" applyProtection="1">
      <protection locked="0"/>
    </xf>
    <xf numFmtId="0" fontId="16" fillId="5" borderId="18" xfId="0" applyFont="1" applyFill="1" applyBorder="1" applyProtection="1">
      <protection hidden="1"/>
    </xf>
    <xf numFmtId="0" fontId="39" fillId="0" borderId="0" xfId="0" applyFont="1" applyProtection="1">
      <protection hidden="1"/>
    </xf>
    <xf numFmtId="44" fontId="27" fillId="6" borderId="17" xfId="2" applyFont="1" applyFill="1" applyBorder="1" applyProtection="1">
      <protection locked="0"/>
    </xf>
    <xf numFmtId="44" fontId="16" fillId="5" borderId="18" xfId="2" applyFont="1" applyFill="1" applyBorder="1" applyProtection="1">
      <protection locked="0"/>
    </xf>
    <xf numFmtId="0" fontId="24" fillId="0" borderId="0" xfId="0" applyFont="1" applyProtection="1">
      <protection hidden="1"/>
    </xf>
    <xf numFmtId="2" fontId="15" fillId="4" borderId="19" xfId="0" applyNumberFormat="1" applyFont="1" applyFill="1" applyBorder="1" applyAlignment="1" applyProtection="1">
      <alignment vertical="center"/>
      <protection hidden="1"/>
    </xf>
    <xf numFmtId="2" fontId="15" fillId="4" borderId="19" xfId="0" applyNumberFormat="1" applyFont="1" applyFill="1" applyBorder="1" applyAlignment="1" applyProtection="1">
      <alignment horizontal="center" vertical="center"/>
      <protection hidden="1"/>
    </xf>
    <xf numFmtId="49" fontId="16" fillId="5" borderId="18" xfId="0" applyNumberFormat="1" applyFont="1" applyFill="1" applyBorder="1" applyAlignment="1" applyProtection="1">
      <alignment horizontal="center" vertical="center"/>
      <protection hidden="1"/>
    </xf>
    <xf numFmtId="2" fontId="16" fillId="5" borderId="17" xfId="0" applyNumberFormat="1" applyFont="1" applyFill="1" applyBorder="1" applyProtection="1">
      <protection locked="0"/>
    </xf>
    <xf numFmtId="44" fontId="16" fillId="5" borderId="17" xfId="0" applyNumberFormat="1" applyFont="1" applyFill="1" applyBorder="1" applyProtection="1">
      <protection locked="0"/>
    </xf>
    <xf numFmtId="2" fontId="16" fillId="5" borderId="18" xfId="0" applyNumberFormat="1" applyFont="1" applyFill="1" applyBorder="1" applyProtection="1">
      <protection locked="0"/>
    </xf>
    <xf numFmtId="49" fontId="16" fillId="5" borderId="18" xfId="0" applyNumberFormat="1" applyFont="1" applyFill="1" applyBorder="1" applyProtection="1">
      <protection locked="0"/>
    </xf>
    <xf numFmtId="0" fontId="19" fillId="0" borderId="1" xfId="0" applyFont="1" applyBorder="1" applyProtection="1">
      <protection hidden="1"/>
    </xf>
    <xf numFmtId="0" fontId="19" fillId="0" borderId="2" xfId="0" applyFont="1" applyBorder="1" applyProtection="1">
      <protection hidden="1"/>
    </xf>
    <xf numFmtId="0" fontId="20" fillId="0" borderId="2" xfId="0" applyFont="1" applyBorder="1" applyProtection="1">
      <protection hidden="1"/>
    </xf>
    <xf numFmtId="10" fontId="20" fillId="0" borderId="2" xfId="3" applyNumberFormat="1" applyFont="1" applyBorder="1" applyProtection="1">
      <protection hidden="1"/>
    </xf>
    <xf numFmtId="0" fontId="19" fillId="0" borderId="3" xfId="0" applyFont="1" applyBorder="1" applyProtection="1">
      <protection hidden="1"/>
    </xf>
    <xf numFmtId="0" fontId="19" fillId="0" borderId="4" xfId="0" applyFont="1" applyBorder="1" applyProtection="1">
      <protection hidden="1"/>
    </xf>
    <xf numFmtId="0" fontId="19" fillId="0" borderId="0" xfId="0" applyFont="1" applyProtection="1">
      <protection hidden="1"/>
    </xf>
    <xf numFmtId="10" fontId="19" fillId="0" borderId="0" xfId="3" applyNumberFormat="1" applyFont="1" applyBorder="1" applyProtection="1">
      <protection hidden="1"/>
    </xf>
    <xf numFmtId="2" fontId="14" fillId="3" borderId="5" xfId="0" applyNumberFormat="1" applyFont="1" applyFill="1" applyBorder="1" applyProtection="1">
      <protection hidden="1"/>
    </xf>
    <xf numFmtId="0" fontId="14" fillId="0" borderId="4" xfId="0" applyFont="1" applyBorder="1" applyProtection="1">
      <protection hidden="1"/>
    </xf>
    <xf numFmtId="0" fontId="14" fillId="0" borderId="5" xfId="0" applyFont="1" applyBorder="1" applyProtection="1">
      <protection hidden="1"/>
    </xf>
    <xf numFmtId="10" fontId="14" fillId="0" borderId="0" xfId="3" applyNumberFormat="1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4" fillId="0" borderId="6" xfId="0" applyFont="1" applyBorder="1" applyProtection="1">
      <protection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37" fillId="0" borderId="94" xfId="0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36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10" fontId="2" fillId="0" borderId="0" xfId="3" applyNumberFormat="1" applyFont="1" applyAlignment="1" applyProtection="1">
      <alignment horizontal="right" vertical="center" wrapText="1"/>
      <protection hidden="1"/>
    </xf>
    <xf numFmtId="4" fontId="2" fillId="0" borderId="0" xfId="0" applyNumberFormat="1" applyFont="1" applyAlignment="1" applyProtection="1">
      <alignment horizontal="right" vertical="center" wrapText="1"/>
      <protection hidden="1"/>
    </xf>
    <xf numFmtId="4" fontId="2" fillId="0" borderId="11" xfId="0" applyNumberFormat="1" applyFont="1" applyBorder="1" applyAlignment="1" applyProtection="1">
      <alignment horizontal="right" vertical="center" wrapText="1"/>
      <protection hidden="1"/>
    </xf>
    <xf numFmtId="0" fontId="2" fillId="0" borderId="11" xfId="0" applyFont="1" applyBorder="1" applyAlignment="1" applyProtection="1">
      <alignment horizontal="right" vertical="center" wrapText="1"/>
      <protection hidden="1"/>
    </xf>
    <xf numFmtId="10" fontId="2" fillId="0" borderId="11" xfId="3" applyNumberFormat="1" applyFont="1" applyBorder="1" applyAlignment="1" applyProtection="1">
      <alignment horizontal="right" vertical="center" wrapText="1"/>
      <protection hidden="1"/>
    </xf>
    <xf numFmtId="10" fontId="14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38" fillId="0" borderId="0" xfId="0" applyFont="1" applyProtection="1">
      <protection hidden="1"/>
    </xf>
    <xf numFmtId="0" fontId="1" fillId="7" borderId="1" xfId="0" applyFont="1" applyFill="1" applyBorder="1" applyProtection="1">
      <protection hidden="1"/>
    </xf>
    <xf numFmtId="0" fontId="1" fillId="7" borderId="2" xfId="0" applyFont="1" applyFill="1" applyBorder="1" applyProtection="1">
      <protection hidden="1"/>
    </xf>
    <xf numFmtId="0" fontId="1" fillId="7" borderId="3" xfId="0" applyFont="1" applyFill="1" applyBorder="1" applyProtection="1">
      <protection hidden="1"/>
    </xf>
    <xf numFmtId="0" fontId="2" fillId="0" borderId="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167" fontId="22" fillId="0" borderId="0" xfId="0" applyNumberFormat="1" applyFont="1" applyProtection="1">
      <protection hidden="1"/>
    </xf>
    <xf numFmtId="167" fontId="16" fillId="5" borderId="17" xfId="0" applyNumberFormat="1" applyFont="1" applyFill="1" applyBorder="1"/>
    <xf numFmtId="0" fontId="28" fillId="0" borderId="0" xfId="4"/>
    <xf numFmtId="0" fontId="28" fillId="0" borderId="0" xfId="4" applyProtection="1">
      <protection hidden="1"/>
    </xf>
    <xf numFmtId="44" fontId="43" fillId="0" borderId="0" xfId="2" applyFont="1" applyProtection="1">
      <protection hidden="1"/>
    </xf>
    <xf numFmtId="44" fontId="45" fillId="11" borderId="20" xfId="2" applyFont="1" applyFill="1" applyBorder="1" applyAlignment="1" applyProtection="1">
      <alignment vertical="center"/>
      <protection hidden="1"/>
    </xf>
    <xf numFmtId="44" fontId="0" fillId="0" borderId="4" xfId="2" applyFont="1" applyBorder="1"/>
    <xf numFmtId="44" fontId="0" fillId="0" borderId="0" xfId="2" applyFont="1" applyBorder="1"/>
    <xf numFmtId="44" fontId="0" fillId="0" borderId="5" xfId="2" applyFont="1" applyBorder="1"/>
    <xf numFmtId="44" fontId="0" fillId="0" borderId="6" xfId="2" applyFont="1" applyBorder="1"/>
    <xf numFmtId="44" fontId="0" fillId="0" borderId="7" xfId="2" applyFont="1" applyBorder="1"/>
    <xf numFmtId="44" fontId="0" fillId="0" borderId="8" xfId="2" applyFont="1" applyBorder="1"/>
    <xf numFmtId="0" fontId="14" fillId="0" borderId="13" xfId="0" applyFont="1" applyBorder="1" applyProtection="1">
      <protection hidden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96" xfId="0" applyFont="1" applyBorder="1" applyAlignment="1" applyProtection="1">
      <alignment horizontal="center" vertical="center"/>
      <protection locked="0"/>
    </xf>
    <xf numFmtId="0" fontId="1" fillId="0" borderId="98" xfId="0" applyFont="1" applyBorder="1" applyAlignment="1" applyProtection="1">
      <alignment horizontal="center" vertical="center"/>
      <protection locked="0"/>
    </xf>
    <xf numFmtId="0" fontId="1" fillId="0" borderId="101" xfId="0" applyFont="1" applyBorder="1" applyAlignment="1" applyProtection="1">
      <alignment horizontal="center" vertical="center"/>
      <protection locked="0"/>
    </xf>
    <xf numFmtId="0" fontId="1" fillId="0" borderId="9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0" xfId="0" applyFont="1" applyFill="1" applyAlignment="1" applyProtection="1">
      <alignment horizontal="left"/>
      <protection locked="0"/>
    </xf>
    <xf numFmtId="0" fontId="1" fillId="10" borderId="0" xfId="0" applyFont="1" applyFill="1" applyAlignment="1" applyProtection="1">
      <alignment horizontal="left" vertical="center"/>
      <protection locked="0"/>
    </xf>
    <xf numFmtId="0" fontId="1" fillId="10" borderId="1" xfId="0" applyFont="1" applyFill="1" applyBorder="1" applyAlignment="1" applyProtection="1">
      <alignment horizontal="left"/>
      <protection locked="0"/>
    </xf>
    <xf numFmtId="0" fontId="1" fillId="10" borderId="2" xfId="0" applyFont="1" applyFill="1" applyBorder="1" applyAlignment="1" applyProtection="1">
      <alignment horizontal="left"/>
      <protection locked="0"/>
    </xf>
    <xf numFmtId="0" fontId="1" fillId="10" borderId="3" xfId="0" applyFont="1" applyFill="1" applyBorder="1" applyAlignment="1" applyProtection="1">
      <alignment horizontal="left"/>
      <protection locked="0"/>
    </xf>
    <xf numFmtId="0" fontId="1" fillId="10" borderId="5" xfId="0" applyFont="1" applyFill="1" applyBorder="1" applyAlignment="1" applyProtection="1">
      <alignment horizontal="left" vertical="center"/>
      <protection locked="0"/>
    </xf>
    <xf numFmtId="0" fontId="1" fillId="10" borderId="7" xfId="0" applyFont="1" applyFill="1" applyBorder="1" applyAlignment="1" applyProtection="1">
      <alignment horizontal="left" vertical="center"/>
      <protection locked="0"/>
    </xf>
    <xf numFmtId="0" fontId="1" fillId="10" borderId="8" xfId="0" applyFont="1" applyFill="1" applyBorder="1" applyAlignment="1" applyProtection="1">
      <alignment horizontal="left" vertical="center"/>
      <protection locked="0"/>
    </xf>
    <xf numFmtId="0" fontId="7" fillId="10" borderId="0" xfId="0" applyFont="1" applyFill="1" applyAlignment="1" applyProtection="1">
      <alignment horizontal="center"/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0" fontId="4" fillId="10" borderId="16" xfId="0" applyFont="1" applyFill="1" applyBorder="1" applyAlignment="1" applyProtection="1">
      <alignment horizontal="center" vertical="center"/>
      <protection hidden="1"/>
    </xf>
    <xf numFmtId="167" fontId="5" fillId="10" borderId="15" xfId="0" applyNumberFormat="1" applyFont="1" applyFill="1" applyBorder="1" applyAlignment="1" applyProtection="1">
      <alignment horizontal="center" vertical="center"/>
      <protection hidden="1"/>
    </xf>
    <xf numFmtId="164" fontId="8" fillId="10" borderId="16" xfId="2" applyNumberFormat="1" applyFont="1" applyFill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43" fontId="6" fillId="0" borderId="0" xfId="1" applyFont="1" applyAlignment="1" applyProtection="1">
      <alignment horizontal="center" vertical="center"/>
      <protection hidden="1"/>
    </xf>
    <xf numFmtId="43" fontId="6" fillId="0" borderId="0" xfId="1" quotePrefix="1" applyFont="1" applyAlignment="1" applyProtection="1">
      <alignment vertical="center"/>
      <protection hidden="1"/>
    </xf>
    <xf numFmtId="4" fontId="6" fillId="0" borderId="0" xfId="0" applyNumberFormat="1" applyFont="1" applyProtection="1">
      <protection hidden="1"/>
    </xf>
    <xf numFmtId="43" fontId="6" fillId="0" borderId="0" xfId="1" applyFont="1" applyAlignment="1" applyProtection="1">
      <alignment vertical="center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4" fontId="6" fillId="0" borderId="0" xfId="0" quotePrefix="1" applyNumberFormat="1" applyFont="1" applyProtection="1">
      <protection hidden="1"/>
    </xf>
    <xf numFmtId="4" fontId="7" fillId="10" borderId="0" xfId="0" quotePrefix="1" applyNumberFormat="1" applyFont="1" applyFill="1" applyProtection="1">
      <protection hidden="1"/>
    </xf>
    <xf numFmtId="0" fontId="7" fillId="10" borderId="15" xfId="0" applyFont="1" applyFill="1" applyBorder="1" applyAlignment="1" applyProtection="1">
      <alignment horizontal="center"/>
      <protection hidden="1"/>
    </xf>
    <xf numFmtId="167" fontId="7" fillId="10" borderId="0" xfId="0" applyNumberFormat="1" applyFont="1" applyFill="1" applyAlignment="1" applyProtection="1">
      <alignment horizontal="center" vertical="center" wrapText="1"/>
      <protection hidden="1"/>
    </xf>
    <xf numFmtId="167" fontId="7" fillId="10" borderId="10" xfId="0" applyNumberFormat="1" applyFont="1" applyFill="1" applyBorder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left" vertical="justify" wrapText="1"/>
      <protection hidden="1"/>
    </xf>
    <xf numFmtId="2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33" fillId="4" borderId="1" xfId="0" applyFont="1" applyFill="1" applyBorder="1" applyAlignment="1" applyProtection="1">
      <alignment horizontal="center" vertical="center" wrapText="1"/>
      <protection hidden="1"/>
    </xf>
    <xf numFmtId="0" fontId="34" fillId="0" borderId="3" xfId="0" applyFont="1" applyBorder="1" applyProtection="1">
      <protection hidden="1"/>
    </xf>
    <xf numFmtId="0" fontId="34" fillId="0" borderId="81" xfId="0" applyFont="1" applyBorder="1" applyProtection="1">
      <protection hidden="1"/>
    </xf>
    <xf numFmtId="0" fontId="34" fillId="0" borderId="82" xfId="0" applyFont="1" applyBorder="1" applyProtection="1">
      <protection hidden="1"/>
    </xf>
    <xf numFmtId="49" fontId="35" fillId="5" borderId="83" xfId="4" applyNumberFormat="1" applyFont="1" applyFill="1" applyBorder="1" applyAlignment="1" applyProtection="1">
      <alignment horizontal="center"/>
      <protection hidden="1"/>
    </xf>
    <xf numFmtId="49" fontId="35" fillId="5" borderId="84" xfId="4" applyNumberFormat="1" applyFont="1" applyFill="1" applyBorder="1" applyAlignment="1" applyProtection="1">
      <alignment horizontal="center"/>
      <protection hidden="1"/>
    </xf>
    <xf numFmtId="0" fontId="35" fillId="5" borderId="83" xfId="4" applyFont="1" applyFill="1" applyBorder="1" applyAlignment="1" applyProtection="1">
      <alignment horizontal="center"/>
      <protection hidden="1"/>
    </xf>
    <xf numFmtId="0" fontId="35" fillId="5" borderId="84" xfId="4" applyFont="1" applyFill="1" applyBorder="1" applyAlignment="1" applyProtection="1">
      <alignment horizontal="center"/>
      <protection hidden="1"/>
    </xf>
    <xf numFmtId="49" fontId="35" fillId="5" borderId="108" xfId="4" applyNumberFormat="1" applyFont="1" applyFill="1" applyBorder="1" applyAlignment="1" applyProtection="1">
      <alignment horizontal="center"/>
      <protection hidden="1"/>
    </xf>
    <xf numFmtId="49" fontId="35" fillId="5" borderId="109" xfId="4" applyNumberFormat="1" applyFont="1" applyFill="1" applyBorder="1" applyAlignment="1" applyProtection="1">
      <alignment horizontal="center"/>
      <protection hidden="1"/>
    </xf>
    <xf numFmtId="49" fontId="44" fillId="12" borderId="1" xfId="4" applyNumberFormat="1" applyFont="1" applyFill="1" applyBorder="1" applyAlignment="1" applyProtection="1">
      <alignment horizontal="center"/>
      <protection hidden="1"/>
    </xf>
    <xf numFmtId="49" fontId="44" fillId="12" borderId="3" xfId="4" applyNumberFormat="1" applyFont="1" applyFill="1" applyBorder="1" applyAlignment="1" applyProtection="1">
      <alignment horizontal="center"/>
      <protection hidden="1"/>
    </xf>
    <xf numFmtId="0" fontId="44" fillId="12" borderId="4" xfId="4" applyFont="1" applyFill="1" applyBorder="1" applyAlignment="1" applyProtection="1">
      <alignment horizontal="center"/>
      <protection hidden="1"/>
    </xf>
    <xf numFmtId="0" fontId="44" fillId="12" borderId="5" xfId="4" applyFont="1" applyFill="1" applyBorder="1" applyAlignment="1" applyProtection="1">
      <alignment horizontal="center"/>
      <protection hidden="1"/>
    </xf>
    <xf numFmtId="0" fontId="44" fillId="12" borderId="6" xfId="4" applyFont="1" applyFill="1" applyBorder="1" applyAlignment="1" applyProtection="1">
      <alignment horizontal="center"/>
      <protection hidden="1"/>
    </xf>
    <xf numFmtId="0" fontId="44" fillId="12" borderId="8" xfId="4" applyFont="1" applyFill="1" applyBorder="1" applyAlignment="1" applyProtection="1">
      <alignment horizontal="center"/>
      <protection hidden="1"/>
    </xf>
    <xf numFmtId="49" fontId="35" fillId="5" borderId="73" xfId="4" applyNumberFormat="1" applyFont="1" applyFill="1" applyBorder="1" applyAlignment="1" applyProtection="1">
      <alignment horizontal="center"/>
      <protection hidden="1"/>
    </xf>
    <xf numFmtId="49" fontId="35" fillId="5" borderId="74" xfId="4" applyNumberFormat="1" applyFont="1" applyFill="1" applyBorder="1" applyAlignment="1" applyProtection="1">
      <alignment horizontal="center"/>
      <protection hidden="1"/>
    </xf>
    <xf numFmtId="0" fontId="35" fillId="5" borderId="85" xfId="4" applyFont="1" applyFill="1" applyBorder="1" applyAlignment="1" applyProtection="1">
      <alignment horizontal="center"/>
      <protection hidden="1"/>
    </xf>
    <xf numFmtId="0" fontId="35" fillId="5" borderId="86" xfId="4" applyFont="1" applyFill="1" applyBorder="1" applyAlignment="1" applyProtection="1">
      <alignment horizontal="center"/>
      <protection hidden="1"/>
    </xf>
    <xf numFmtId="0" fontId="28" fillId="5" borderId="83" xfId="4" applyFill="1" applyBorder="1" applyAlignment="1" applyProtection="1">
      <alignment horizontal="center"/>
      <protection hidden="1"/>
    </xf>
    <xf numFmtId="0" fontId="28" fillId="5" borderId="84" xfId="4" applyFill="1" applyBorder="1" applyAlignment="1" applyProtection="1">
      <alignment horizontal="center"/>
      <protection hidden="1"/>
    </xf>
    <xf numFmtId="44" fontId="15" fillId="4" borderId="19" xfId="2" applyFont="1" applyFill="1" applyBorder="1" applyAlignment="1" applyProtection="1">
      <alignment horizontal="center" vertical="center" wrapText="1"/>
      <protection hidden="1"/>
    </xf>
    <xf numFmtId="44" fontId="15" fillId="4" borderId="20" xfId="2" applyFont="1" applyFill="1" applyBorder="1" applyAlignment="1" applyProtection="1">
      <alignment horizontal="center" vertical="center"/>
      <protection hidden="1"/>
    </xf>
    <xf numFmtId="165" fontId="15" fillId="4" borderId="19" xfId="0" applyNumberFormat="1" applyFont="1" applyFill="1" applyBorder="1" applyAlignment="1" applyProtection="1">
      <alignment horizontal="center" vertical="center"/>
      <protection hidden="1"/>
    </xf>
    <xf numFmtId="165" fontId="15" fillId="4" borderId="20" xfId="0" applyNumberFormat="1" applyFont="1" applyFill="1" applyBorder="1" applyAlignment="1" applyProtection="1">
      <alignment horizontal="center" vertical="center"/>
      <protection hidden="1"/>
    </xf>
    <xf numFmtId="0" fontId="15" fillId="4" borderId="19" xfId="0" applyFont="1" applyFill="1" applyBorder="1" applyAlignment="1" applyProtection="1">
      <alignment horizontal="center" wrapText="1"/>
      <protection hidden="1"/>
    </xf>
    <xf numFmtId="0" fontId="15" fillId="4" borderId="20" xfId="0" applyFont="1" applyFill="1" applyBorder="1" applyAlignment="1" applyProtection="1">
      <alignment horizontal="center" wrapText="1"/>
      <protection hidden="1"/>
    </xf>
    <xf numFmtId="0" fontId="15" fillId="4" borderId="19" xfId="0" applyFont="1" applyFill="1" applyBorder="1" applyAlignment="1" applyProtection="1">
      <alignment horizontal="center" vertical="center"/>
      <protection hidden="1"/>
    </xf>
    <xf numFmtId="0" fontId="15" fillId="4" borderId="20" xfId="0" applyFont="1" applyFill="1" applyBorder="1" applyAlignment="1" applyProtection="1">
      <alignment horizontal="center" vertical="center"/>
      <protection hidden="1"/>
    </xf>
    <xf numFmtId="0" fontId="15" fillId="4" borderId="91" xfId="0" applyFont="1" applyFill="1" applyBorder="1" applyAlignment="1" applyProtection="1">
      <alignment horizontal="center" vertical="center" wrapText="1"/>
      <protection hidden="1"/>
    </xf>
    <xf numFmtId="0" fontId="15" fillId="4" borderId="90" xfId="0" applyFont="1" applyFill="1" applyBorder="1" applyAlignment="1" applyProtection="1">
      <alignment horizontal="center" vertical="center" wrapText="1"/>
      <protection hidden="1"/>
    </xf>
    <xf numFmtId="44" fontId="15" fillId="4" borderId="91" xfId="2" applyFont="1" applyFill="1" applyBorder="1" applyAlignment="1" applyProtection="1">
      <alignment horizontal="center" vertical="center" wrapText="1"/>
      <protection hidden="1"/>
    </xf>
    <xf numFmtId="44" fontId="15" fillId="4" borderId="90" xfId="2" applyFont="1" applyFill="1" applyBorder="1" applyAlignment="1" applyProtection="1">
      <alignment horizontal="center" vertical="center" wrapText="1"/>
      <protection hidden="1"/>
    </xf>
    <xf numFmtId="165" fontId="12" fillId="4" borderId="88" xfId="0" applyNumberFormat="1" applyFont="1" applyFill="1" applyBorder="1" applyAlignment="1" applyProtection="1">
      <alignment horizontal="center" vertical="center" wrapText="1"/>
      <protection hidden="1"/>
    </xf>
    <xf numFmtId="165" fontId="12" fillId="4" borderId="87" xfId="0" applyNumberFormat="1" applyFont="1" applyFill="1" applyBorder="1" applyAlignment="1" applyProtection="1">
      <alignment horizontal="center" vertical="center" wrapText="1"/>
      <protection hidden="1"/>
    </xf>
    <xf numFmtId="44" fontId="15" fillId="4" borderId="88" xfId="2" applyFont="1" applyFill="1" applyBorder="1" applyAlignment="1" applyProtection="1">
      <alignment horizontal="center" vertical="center" wrapText="1"/>
      <protection hidden="1"/>
    </xf>
    <xf numFmtId="44" fontId="15" fillId="4" borderId="87" xfId="2" applyFont="1" applyFill="1" applyBorder="1" applyAlignment="1" applyProtection="1">
      <alignment horizontal="center" vertical="center" wrapText="1"/>
      <protection hidden="1"/>
    </xf>
    <xf numFmtId="44" fontId="15" fillId="4" borderId="88" xfId="2" applyFont="1" applyFill="1" applyBorder="1" applyAlignment="1" applyProtection="1">
      <alignment horizontal="center" vertical="center"/>
      <protection hidden="1"/>
    </xf>
    <xf numFmtId="44" fontId="15" fillId="4" borderId="87" xfId="2" applyFont="1" applyFill="1" applyBorder="1" applyAlignment="1" applyProtection="1">
      <alignment horizontal="center" vertical="center"/>
      <protection hidden="1"/>
    </xf>
    <xf numFmtId="10" fontId="15" fillId="4" borderId="89" xfId="3" applyNumberFormat="1" applyFont="1" applyFill="1" applyBorder="1" applyAlignment="1" applyProtection="1">
      <alignment horizontal="center" vertical="center" wrapText="1"/>
      <protection hidden="1"/>
    </xf>
    <xf numFmtId="10" fontId="15" fillId="4" borderId="90" xfId="3" applyNumberFormat="1" applyFont="1" applyFill="1" applyBorder="1" applyAlignment="1" applyProtection="1">
      <alignment horizontal="center" vertical="center" wrapText="1"/>
      <protection hidden="1"/>
    </xf>
    <xf numFmtId="44" fontId="15" fillId="4" borderId="0" xfId="2" applyFont="1" applyFill="1" applyBorder="1" applyAlignment="1" applyProtection="1">
      <alignment horizontal="center" vertical="center" wrapText="1"/>
      <protection hidden="1"/>
    </xf>
    <xf numFmtId="44" fontId="15" fillId="4" borderId="26" xfId="2" applyFont="1" applyFill="1" applyBorder="1" applyAlignment="1" applyProtection="1">
      <alignment horizontal="center" vertical="center" wrapText="1"/>
      <protection hidden="1"/>
    </xf>
    <xf numFmtId="44" fontId="15" fillId="11" borderId="106" xfId="2" applyFont="1" applyFill="1" applyBorder="1" applyAlignment="1" applyProtection="1">
      <alignment horizontal="center" vertical="center" wrapText="1"/>
      <protection hidden="1"/>
    </xf>
    <xf numFmtId="44" fontId="15" fillId="11" borderId="107" xfId="2" applyFont="1" applyFill="1" applyBorder="1" applyAlignment="1" applyProtection="1">
      <alignment horizontal="center" vertical="center" wrapText="1"/>
      <protection hidden="1"/>
    </xf>
    <xf numFmtId="44" fontId="15" fillId="4" borderId="104" xfId="2" applyFont="1" applyFill="1" applyBorder="1" applyAlignment="1" applyProtection="1">
      <alignment horizontal="center" vertical="center" wrapText="1"/>
      <protection hidden="1"/>
    </xf>
    <xf numFmtId="44" fontId="15" fillId="4" borderId="105" xfId="2" applyFont="1" applyFill="1" applyBorder="1" applyAlignment="1" applyProtection="1">
      <alignment horizontal="center" vertical="center" wrapText="1"/>
      <protection hidden="1"/>
    </xf>
    <xf numFmtId="0" fontId="15" fillId="4" borderId="91" xfId="0" applyFont="1" applyFill="1" applyBorder="1" applyAlignment="1" applyProtection="1">
      <alignment horizontal="center" wrapText="1"/>
      <protection hidden="1"/>
    </xf>
    <xf numFmtId="0" fontId="15" fillId="4" borderId="90" xfId="0" applyFont="1" applyFill="1" applyBorder="1" applyAlignment="1" applyProtection="1">
      <alignment horizontal="center" wrapText="1"/>
      <protection hidden="1"/>
    </xf>
    <xf numFmtId="49" fontId="15" fillId="4" borderId="89" xfId="0" applyNumberFormat="1" applyFont="1" applyFill="1" applyBorder="1" applyAlignment="1" applyProtection="1">
      <alignment horizontal="center" vertical="center"/>
      <protection hidden="1"/>
    </xf>
    <xf numFmtId="49" fontId="15" fillId="4" borderId="90" xfId="0" applyNumberFormat="1" applyFont="1" applyFill="1" applyBorder="1" applyAlignment="1" applyProtection="1">
      <alignment horizontal="center" vertical="center"/>
      <protection hidden="1"/>
    </xf>
    <xf numFmtId="0" fontId="15" fillId="4" borderId="91" xfId="0" applyFont="1" applyFill="1" applyBorder="1" applyAlignment="1" applyProtection="1">
      <alignment horizontal="center" vertical="center"/>
      <protection hidden="1"/>
    </xf>
    <xf numFmtId="0" fontId="15" fillId="4" borderId="90" xfId="0" applyFont="1" applyFill="1" applyBorder="1" applyAlignment="1" applyProtection="1">
      <alignment horizontal="center" vertical="center"/>
      <protection hidden="1"/>
    </xf>
    <xf numFmtId="44" fontId="15" fillId="4" borderId="19" xfId="2" applyFont="1" applyFill="1" applyBorder="1" applyAlignment="1" applyProtection="1">
      <alignment horizontal="center" vertical="center"/>
      <protection hidden="1"/>
    </xf>
    <xf numFmtId="165" fontId="15" fillId="4" borderId="21" xfId="0" applyNumberFormat="1" applyFont="1" applyFill="1" applyBorder="1" applyAlignment="1" applyProtection="1">
      <alignment horizontal="center" vertical="center"/>
      <protection hidden="1"/>
    </xf>
    <xf numFmtId="165" fontId="15" fillId="4" borderId="22" xfId="0" applyNumberFormat="1" applyFont="1" applyFill="1" applyBorder="1" applyAlignment="1" applyProtection="1">
      <alignment horizontal="center" vertical="center"/>
      <protection hidden="1"/>
    </xf>
    <xf numFmtId="165" fontId="15" fillId="4" borderId="23" xfId="0" applyNumberFormat="1" applyFont="1" applyFill="1" applyBorder="1" applyAlignment="1" applyProtection="1">
      <alignment horizontal="center" vertical="center"/>
      <protection hidden="1"/>
    </xf>
    <xf numFmtId="165" fontId="15" fillId="4" borderId="25" xfId="0" applyNumberFormat="1" applyFont="1" applyFill="1" applyBorder="1" applyAlignment="1" applyProtection="1">
      <alignment horizontal="center" vertical="center"/>
      <protection hidden="1"/>
    </xf>
    <xf numFmtId="165" fontId="15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15" fillId="4" borderId="20" xfId="0" applyNumberFormat="1" applyFont="1" applyFill="1" applyBorder="1" applyAlignment="1" applyProtection="1">
      <alignment horizontal="center" vertical="center" wrapText="1"/>
      <protection hidden="1"/>
    </xf>
    <xf numFmtId="165" fontId="15" fillId="4" borderId="24" xfId="0" applyNumberFormat="1" applyFont="1" applyFill="1" applyBorder="1" applyAlignment="1" applyProtection="1">
      <alignment horizontal="center" vertical="center"/>
      <protection hidden="1"/>
    </xf>
    <xf numFmtId="44" fontId="15" fillId="4" borderId="21" xfId="2" applyFont="1" applyFill="1" applyBorder="1" applyAlignment="1" applyProtection="1">
      <alignment horizontal="center" vertical="center" wrapText="1"/>
      <protection hidden="1"/>
    </xf>
    <xf numFmtId="44" fontId="15" fillId="4" borderId="27" xfId="2" applyFont="1" applyFill="1" applyBorder="1" applyAlignment="1" applyProtection="1">
      <alignment horizontal="center" vertical="center" wrapText="1"/>
      <protection hidden="1"/>
    </xf>
    <xf numFmtId="44" fontId="15" fillId="4" borderId="22" xfId="2" applyFont="1" applyFill="1" applyBorder="1" applyAlignment="1" applyProtection="1">
      <alignment horizontal="center" vertical="center" wrapText="1"/>
      <protection hidden="1"/>
    </xf>
    <xf numFmtId="44" fontId="15" fillId="4" borderId="20" xfId="2" applyFont="1" applyFill="1" applyBorder="1" applyAlignment="1" applyProtection="1">
      <alignment horizontal="center" vertical="center" wrapText="1"/>
      <protection hidden="1"/>
    </xf>
    <xf numFmtId="44" fontId="15" fillId="4" borderId="23" xfId="2" applyFont="1" applyFill="1" applyBorder="1" applyAlignment="1" applyProtection="1">
      <alignment horizontal="center" vertical="center" wrapText="1"/>
      <protection hidden="1"/>
    </xf>
    <xf numFmtId="44" fontId="15" fillId="4" borderId="102" xfId="2" applyFont="1" applyFill="1" applyBorder="1" applyAlignment="1" applyProtection="1">
      <alignment horizontal="center" vertical="center" wrapText="1"/>
      <protection hidden="1"/>
    </xf>
    <xf numFmtId="44" fontId="15" fillId="4" borderId="29" xfId="2" applyFont="1" applyFill="1" applyBorder="1" applyAlignment="1" applyProtection="1">
      <alignment horizontal="center" vertical="center" wrapText="1"/>
      <protection hidden="1"/>
    </xf>
    <xf numFmtId="44" fontId="40" fillId="4" borderId="24" xfId="2" applyFont="1" applyFill="1" applyBorder="1" applyAlignment="1" applyProtection="1">
      <alignment horizontal="center" vertical="center" wrapText="1"/>
      <protection hidden="1"/>
    </xf>
    <xf numFmtId="44" fontId="40" fillId="4" borderId="0" xfId="2" applyFont="1" applyFill="1" applyBorder="1" applyAlignment="1" applyProtection="1">
      <alignment horizontal="center" vertical="center" wrapText="1"/>
      <protection hidden="1"/>
    </xf>
    <xf numFmtId="44" fontId="40" fillId="4" borderId="26" xfId="2" applyFont="1" applyFill="1" applyBorder="1" applyAlignment="1" applyProtection="1">
      <alignment horizontal="center" vertical="center" wrapText="1"/>
      <protection hidden="1"/>
    </xf>
    <xf numFmtId="44" fontId="23" fillId="4" borderId="24" xfId="2" applyFont="1" applyFill="1" applyBorder="1" applyAlignment="1" applyProtection="1">
      <alignment horizontal="center" vertical="center" wrapText="1"/>
      <protection hidden="1"/>
    </xf>
    <xf numFmtId="44" fontId="23" fillId="4" borderId="0" xfId="2" applyFont="1" applyFill="1" applyBorder="1" applyAlignment="1" applyProtection="1">
      <alignment horizontal="center" vertical="center" wrapText="1"/>
      <protection hidden="1"/>
    </xf>
    <xf numFmtId="44" fontId="23" fillId="4" borderId="26" xfId="2" applyFont="1" applyFill="1" applyBorder="1" applyAlignment="1" applyProtection="1">
      <alignment horizontal="center" vertical="center" wrapText="1"/>
      <protection hidden="1"/>
    </xf>
    <xf numFmtId="44" fontId="15" fillId="4" borderId="24" xfId="2" applyFont="1" applyFill="1" applyBorder="1" applyAlignment="1" applyProtection="1">
      <alignment horizontal="center" vertical="center" wrapText="1"/>
      <protection hidden="1"/>
    </xf>
    <xf numFmtId="44" fontId="40" fillId="4" borderId="25" xfId="2" applyFont="1" applyFill="1" applyBorder="1" applyAlignment="1" applyProtection="1">
      <alignment horizontal="center" vertical="center" wrapText="1"/>
      <protection hidden="1"/>
    </xf>
    <xf numFmtId="44" fontId="40" fillId="4" borderId="103" xfId="2" applyFont="1" applyFill="1" applyBorder="1" applyAlignment="1" applyProtection="1">
      <alignment horizontal="center" vertical="center" wrapText="1"/>
      <protection hidden="1"/>
    </xf>
    <xf numFmtId="44" fontId="40" fillId="4" borderId="30" xfId="2" applyFont="1" applyFill="1" applyBorder="1" applyAlignment="1" applyProtection="1">
      <alignment horizontal="center" vertical="center" wrapText="1"/>
      <protection hidden="1"/>
    </xf>
    <xf numFmtId="165" fontId="30" fillId="4" borderId="26" xfId="0" applyNumberFormat="1" applyFont="1" applyFill="1" applyBorder="1" applyAlignment="1" applyProtection="1">
      <alignment horizontal="left" vertical="center"/>
      <protection hidden="1"/>
    </xf>
    <xf numFmtId="165" fontId="31" fillId="4" borderId="1" xfId="0" applyNumberFormat="1" applyFont="1" applyFill="1" applyBorder="1" applyAlignment="1" applyProtection="1">
      <alignment horizontal="center" vertical="center"/>
      <protection hidden="1"/>
    </xf>
    <xf numFmtId="165" fontId="31" fillId="4" borderId="2" xfId="0" applyNumberFormat="1" applyFont="1" applyFill="1" applyBorder="1" applyAlignment="1" applyProtection="1">
      <alignment horizontal="center" vertical="center"/>
      <protection hidden="1"/>
    </xf>
    <xf numFmtId="165" fontId="31" fillId="4" borderId="3" xfId="0" applyNumberFormat="1" applyFont="1" applyFill="1" applyBorder="1" applyAlignment="1" applyProtection="1">
      <alignment horizontal="center" vertical="center"/>
      <protection hidden="1"/>
    </xf>
    <xf numFmtId="165" fontId="30" fillId="4" borderId="26" xfId="0" applyNumberFormat="1" applyFont="1" applyFill="1" applyBorder="1" applyAlignment="1" applyProtection="1">
      <alignment horizontal="center" vertical="center"/>
      <protection hidden="1"/>
    </xf>
    <xf numFmtId="44" fontId="23" fillId="4" borderId="19" xfId="2" applyFont="1" applyFill="1" applyBorder="1" applyAlignment="1" applyProtection="1">
      <alignment horizontal="center" vertical="center" wrapText="1"/>
      <protection hidden="1"/>
    </xf>
    <xf numFmtId="44" fontId="23" fillId="4" borderId="20" xfId="2" applyFont="1" applyFill="1" applyBorder="1" applyAlignment="1" applyProtection="1">
      <alignment horizontal="center" vertical="center" wrapText="1"/>
      <protection hidden="1"/>
    </xf>
    <xf numFmtId="44" fontId="15" fillId="4" borderId="29" xfId="2" applyFont="1" applyFill="1" applyBorder="1" applyAlignment="1" applyProtection="1">
      <alignment horizontal="center" vertical="center"/>
      <protection hidden="1"/>
    </xf>
    <xf numFmtId="44" fontId="15" fillId="4" borderId="26" xfId="2" applyFont="1" applyFill="1" applyBorder="1" applyAlignment="1" applyProtection="1">
      <alignment horizontal="center" vertical="center"/>
      <protection hidden="1"/>
    </xf>
    <xf numFmtId="44" fontId="15" fillId="4" borderId="30" xfId="2" applyFont="1" applyFill="1" applyBorder="1" applyAlignment="1" applyProtection="1">
      <alignment horizontal="center" vertical="center"/>
      <protection hidden="1"/>
    </xf>
    <xf numFmtId="165" fontId="15" fillId="4" borderId="29" xfId="0" applyNumberFormat="1" applyFont="1" applyFill="1" applyBorder="1" applyAlignment="1" applyProtection="1">
      <alignment horizontal="center" vertical="center"/>
      <protection hidden="1"/>
    </xf>
    <xf numFmtId="165" fontId="15" fillId="4" borderId="26" xfId="0" applyNumberFormat="1" applyFont="1" applyFill="1" applyBorder="1" applyAlignment="1" applyProtection="1">
      <alignment horizontal="center" vertical="center"/>
      <protection hidden="1"/>
    </xf>
    <xf numFmtId="165" fontId="15" fillId="4" borderId="30" xfId="0" applyNumberFormat="1" applyFont="1" applyFill="1" applyBorder="1" applyAlignment="1" applyProtection="1">
      <alignment horizontal="center" vertical="center"/>
      <protection hidden="1"/>
    </xf>
    <xf numFmtId="44" fontId="40" fillId="4" borderId="19" xfId="2" applyFont="1" applyFill="1" applyBorder="1" applyAlignment="1" applyProtection="1">
      <alignment horizontal="center" vertical="center" wrapText="1"/>
      <protection hidden="1"/>
    </xf>
    <xf numFmtId="44" fontId="40" fillId="4" borderId="20" xfId="2" applyFont="1" applyFill="1" applyBorder="1" applyAlignment="1" applyProtection="1">
      <alignment horizontal="center" vertical="center"/>
      <protection hidden="1"/>
    </xf>
    <xf numFmtId="44" fontId="23" fillId="4" borderId="20" xfId="2" applyFont="1" applyFill="1" applyBorder="1" applyAlignment="1" applyProtection="1">
      <alignment horizontal="center" vertical="center"/>
      <protection hidden="1"/>
    </xf>
    <xf numFmtId="44" fontId="42" fillId="4" borderId="19" xfId="2" applyFont="1" applyFill="1" applyBorder="1" applyAlignment="1" applyProtection="1">
      <alignment horizontal="center" vertical="center" wrapText="1"/>
      <protection hidden="1"/>
    </xf>
    <xf numFmtId="44" fontId="42" fillId="4" borderId="20" xfId="2" applyFont="1" applyFill="1" applyBorder="1" applyAlignment="1" applyProtection="1">
      <alignment horizontal="center" vertical="center" wrapText="1"/>
      <protection hidden="1"/>
    </xf>
    <xf numFmtId="44" fontId="23" fillId="4" borderId="38" xfId="2" applyFont="1" applyFill="1" applyBorder="1" applyAlignment="1" applyProtection="1">
      <alignment horizontal="center" vertical="center" wrapText="1"/>
      <protection hidden="1"/>
    </xf>
    <xf numFmtId="44" fontId="23" fillId="4" borderId="40" xfId="2" applyFont="1" applyFill="1" applyBorder="1" applyAlignment="1" applyProtection="1">
      <alignment horizontal="center" vertical="center" wrapText="1"/>
      <protection hidden="1"/>
    </xf>
    <xf numFmtId="44" fontId="23" fillId="4" borderId="47" xfId="2" applyFont="1" applyFill="1" applyBorder="1" applyAlignment="1" applyProtection="1">
      <alignment horizontal="center" vertical="center" wrapText="1"/>
      <protection hidden="1"/>
    </xf>
    <xf numFmtId="165" fontId="23" fillId="4" borderId="57" xfId="0" applyNumberFormat="1" applyFont="1" applyFill="1" applyBorder="1" applyAlignment="1" applyProtection="1">
      <alignment horizontal="center" vertical="center"/>
      <protection hidden="1"/>
    </xf>
    <xf numFmtId="165" fontId="23" fillId="4" borderId="35" xfId="0" applyNumberFormat="1" applyFont="1" applyFill="1" applyBorder="1" applyAlignment="1" applyProtection="1">
      <alignment horizontal="center" vertical="center"/>
      <protection hidden="1"/>
    </xf>
    <xf numFmtId="165" fontId="23" fillId="4" borderId="58" xfId="0" applyNumberFormat="1" applyFont="1" applyFill="1" applyBorder="1" applyAlignment="1" applyProtection="1">
      <alignment horizontal="center" vertical="center"/>
      <protection hidden="1"/>
    </xf>
    <xf numFmtId="165" fontId="23" fillId="4" borderId="59" xfId="0" applyNumberFormat="1" applyFont="1" applyFill="1" applyBorder="1" applyAlignment="1" applyProtection="1">
      <alignment horizontal="center" vertical="center"/>
      <protection hidden="1"/>
    </xf>
    <xf numFmtId="165" fontId="23" fillId="4" borderId="31" xfId="0" applyNumberFormat="1" applyFont="1" applyFill="1" applyBorder="1" applyAlignment="1" applyProtection="1">
      <alignment horizontal="center" vertical="center"/>
      <protection hidden="1"/>
    </xf>
    <xf numFmtId="165" fontId="23" fillId="4" borderId="60" xfId="0" applyNumberFormat="1" applyFont="1" applyFill="1" applyBorder="1" applyAlignment="1" applyProtection="1">
      <alignment horizontal="center" vertical="center"/>
      <protection hidden="1"/>
    </xf>
    <xf numFmtId="0" fontId="23" fillId="4" borderId="34" xfId="0" applyFont="1" applyFill="1" applyBorder="1" applyAlignment="1" applyProtection="1">
      <alignment horizontal="center" vertical="center" wrapText="1"/>
      <protection hidden="1"/>
    </xf>
    <xf numFmtId="0" fontId="23" fillId="4" borderId="39" xfId="0" applyFont="1" applyFill="1" applyBorder="1" applyAlignment="1" applyProtection="1">
      <alignment horizontal="center" vertical="center" wrapText="1"/>
      <protection hidden="1"/>
    </xf>
    <xf numFmtId="0" fontId="23" fillId="4" borderId="41" xfId="0" applyFont="1" applyFill="1" applyBorder="1" applyAlignment="1" applyProtection="1">
      <alignment horizontal="center" vertical="center" wrapText="1"/>
      <protection hidden="1"/>
    </xf>
    <xf numFmtId="0" fontId="23" fillId="4" borderId="35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0" fontId="23" fillId="4" borderId="42" xfId="0" applyFont="1" applyFill="1" applyBorder="1" applyAlignment="1" applyProtection="1">
      <alignment horizontal="center" vertical="center"/>
      <protection hidden="1"/>
    </xf>
    <xf numFmtId="0" fontId="23" fillId="4" borderId="54" xfId="0" applyFont="1" applyFill="1" applyBorder="1" applyAlignment="1" applyProtection="1">
      <alignment horizontal="center" vertical="center"/>
      <protection hidden="1"/>
    </xf>
    <xf numFmtId="0" fontId="23" fillId="4" borderId="55" xfId="0" applyFont="1" applyFill="1" applyBorder="1" applyAlignment="1" applyProtection="1">
      <alignment horizontal="center" vertical="center"/>
      <protection hidden="1"/>
    </xf>
    <xf numFmtId="0" fontId="23" fillId="4" borderId="56" xfId="0" applyFont="1" applyFill="1" applyBorder="1" applyAlignment="1" applyProtection="1">
      <alignment horizontal="center" vertical="center"/>
      <protection hidden="1"/>
    </xf>
    <xf numFmtId="165" fontId="23" fillId="4" borderId="62" xfId="0" applyNumberFormat="1" applyFont="1" applyFill="1" applyBorder="1" applyAlignment="1" applyProtection="1">
      <alignment horizontal="center" vertical="center"/>
      <protection hidden="1"/>
    </xf>
    <xf numFmtId="165" fontId="23" fillId="4" borderId="36" xfId="0" applyNumberFormat="1" applyFont="1" applyFill="1" applyBorder="1" applyAlignment="1" applyProtection="1">
      <alignment horizontal="center" vertical="center"/>
      <protection hidden="1"/>
    </xf>
    <xf numFmtId="165" fontId="23" fillId="4" borderId="37" xfId="0" applyNumberFormat="1" applyFont="1" applyFill="1" applyBorder="1" applyAlignment="1" applyProtection="1">
      <alignment horizontal="center" vertical="center"/>
      <protection hidden="1"/>
    </xf>
    <xf numFmtId="165" fontId="23" fillId="4" borderId="63" xfId="0" applyNumberFormat="1" applyFont="1" applyFill="1" applyBorder="1" applyAlignment="1" applyProtection="1">
      <alignment horizontal="center" vertical="center"/>
      <protection hidden="1"/>
    </xf>
    <xf numFmtId="165" fontId="23" fillId="4" borderId="32" xfId="0" applyNumberFormat="1" applyFont="1" applyFill="1" applyBorder="1" applyAlignment="1" applyProtection="1">
      <alignment horizontal="center" vertical="center"/>
      <protection hidden="1"/>
    </xf>
    <xf numFmtId="165" fontId="23" fillId="4" borderId="23" xfId="0" applyNumberFormat="1" applyFont="1" applyFill="1" applyBorder="1" applyAlignment="1" applyProtection="1">
      <alignment horizontal="center" vertical="center"/>
      <protection hidden="1"/>
    </xf>
    <xf numFmtId="165" fontId="23" fillId="4" borderId="25" xfId="0" applyNumberFormat="1" applyFont="1" applyFill="1" applyBorder="1" applyAlignment="1" applyProtection="1">
      <alignment horizontal="center" vertical="center"/>
      <protection hidden="1"/>
    </xf>
    <xf numFmtId="165" fontId="15" fillId="4" borderId="28" xfId="0" applyNumberFormat="1" applyFont="1" applyFill="1" applyBorder="1" applyAlignment="1" applyProtection="1">
      <alignment horizontal="center" vertical="center"/>
      <protection hidden="1"/>
    </xf>
    <xf numFmtId="165" fontId="15" fillId="4" borderId="28" xfId="0" applyNumberFormat="1" applyFont="1" applyFill="1" applyBorder="1" applyAlignment="1" applyProtection="1">
      <alignment horizontal="center" vertical="center" wrapText="1"/>
      <protection hidden="1"/>
    </xf>
    <xf numFmtId="165" fontId="21" fillId="4" borderId="29" xfId="0" applyNumberFormat="1" applyFont="1" applyFill="1" applyBorder="1" applyAlignment="1" applyProtection="1">
      <alignment horizontal="center" vertical="center"/>
      <protection hidden="1"/>
    </xf>
    <xf numFmtId="165" fontId="21" fillId="4" borderId="26" xfId="0" applyNumberFormat="1" applyFont="1" applyFill="1" applyBorder="1" applyAlignment="1" applyProtection="1">
      <alignment horizontal="center" vertical="center"/>
      <protection hidden="1"/>
    </xf>
    <xf numFmtId="165" fontId="21" fillId="4" borderId="30" xfId="0" applyNumberFormat="1" applyFont="1" applyFill="1" applyBorder="1" applyAlignment="1" applyProtection="1">
      <alignment horizontal="center" vertical="center"/>
      <protection hidden="1"/>
    </xf>
    <xf numFmtId="0" fontId="15" fillId="4" borderId="19" xfId="0" applyFont="1" applyFill="1" applyBorder="1" applyAlignment="1" applyProtection="1">
      <alignment horizontal="center" vertical="center" wrapText="1"/>
      <protection hidden="1"/>
    </xf>
    <xf numFmtId="0" fontId="15" fillId="4" borderId="20" xfId="0" applyFont="1" applyFill="1" applyBorder="1" applyAlignment="1" applyProtection="1">
      <alignment horizontal="center" vertical="center" wrapText="1"/>
      <protection hidden="1"/>
    </xf>
    <xf numFmtId="165" fontId="15" fillId="4" borderId="27" xfId="0" applyNumberFormat="1" applyFont="1" applyFill="1" applyBorder="1" applyAlignment="1" applyProtection="1">
      <alignment horizontal="center" vertical="center"/>
      <protection hidden="1"/>
    </xf>
    <xf numFmtId="165" fontId="23" fillId="4" borderId="19" xfId="0" applyNumberFormat="1" applyFont="1" applyFill="1" applyBorder="1" applyAlignment="1" applyProtection="1">
      <alignment horizontal="center" vertical="center" wrapText="1"/>
      <protection hidden="1"/>
    </xf>
    <xf numFmtId="165" fontId="23" fillId="4" borderId="28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8" borderId="2" xfId="0" applyFont="1" applyFill="1" applyBorder="1" applyAlignment="1" applyProtection="1">
      <alignment horizontal="center" vertical="center"/>
      <protection hidden="1"/>
    </xf>
    <xf numFmtId="0" fontId="11" fillId="8" borderId="3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0" fontId="1" fillId="7" borderId="2" xfId="0" applyFont="1" applyFill="1" applyBorder="1" applyAlignment="1" applyProtection="1">
      <alignment horizontal="center"/>
      <protection hidden="1"/>
    </xf>
    <xf numFmtId="0" fontId="1" fillId="7" borderId="3" xfId="0" applyFont="1" applyFill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33" fillId="4" borderId="92" xfId="0" applyFont="1" applyFill="1" applyBorder="1" applyAlignment="1" applyProtection="1">
      <alignment horizontal="center" vertical="center" wrapText="1"/>
      <protection hidden="1"/>
    </xf>
    <xf numFmtId="0" fontId="33" fillId="4" borderId="93" xfId="0" applyFont="1" applyFill="1" applyBorder="1" applyAlignment="1" applyProtection="1">
      <alignment horizontal="center" vertical="center" wrapText="1"/>
      <protection hidden="1"/>
    </xf>
  </cellXfs>
  <cellStyles count="7">
    <cellStyle name="Estilo 1" xfId="5" xr:uid="{6E3BA0D0-2D39-4666-8C19-D6EA550030AD}"/>
    <cellStyle name="Estilo 2" xfId="6" xr:uid="{6FCD6D33-7281-417C-B513-D1E7577DFDE0}"/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6365-1DDD-49E6-B2CD-ACD5AFE0C64A}">
  <sheetPr codeName="Hoja1">
    <tabColor theme="3" tint="-0.499984740745262"/>
    <pageSetUpPr autoPageBreaks="0"/>
  </sheetPr>
  <dimension ref="A1:DH266"/>
  <sheetViews>
    <sheetView zoomScaleNormal="100" workbookViewId="0">
      <selection activeCell="AM2" sqref="AM2:AN3"/>
    </sheetView>
  </sheetViews>
  <sheetFormatPr baseColWidth="10" defaultColWidth="0" defaultRowHeight="16.5" zeroHeight="1" x14ac:dyDescent="0.3"/>
  <cols>
    <col min="1" max="1" width="3.85546875" style="1" customWidth="1"/>
    <col min="2" max="2" width="5.42578125" style="1" customWidth="1"/>
    <col min="3" max="3" width="3.85546875" style="1" customWidth="1"/>
    <col min="4" max="4" width="4.85546875" style="1" customWidth="1"/>
    <col min="5" max="20" width="3.85546875" style="1" customWidth="1"/>
    <col min="21" max="21" width="4" style="1" customWidth="1"/>
    <col min="22" max="38" width="3.85546875" style="1" customWidth="1"/>
    <col min="39" max="39" width="10.5703125" style="1" customWidth="1"/>
    <col min="40" max="40" width="10.7109375" style="1" customWidth="1"/>
    <col min="41" max="41" width="2" style="1" customWidth="1"/>
    <col min="42" max="112" width="3.85546875" style="1" hidden="1" customWidth="1"/>
    <col min="113" max="16384" width="11.42578125" style="1" hidden="1"/>
  </cols>
  <sheetData>
    <row r="1" spans="2:40" ht="16.5" customHeight="1" thickBot="1" x14ac:dyDescent="0.35"/>
    <row r="2" spans="2:40" ht="16.5" customHeight="1" x14ac:dyDescent="0.3">
      <c r="F2" s="2" t="s">
        <v>0</v>
      </c>
      <c r="G2" s="3"/>
      <c r="H2" s="3"/>
      <c r="I2" s="3"/>
      <c r="J2" s="8"/>
      <c r="K2" s="275" t="s">
        <v>332</v>
      </c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7"/>
      <c r="AC2" s="25" t="str">
        <f>+K2</f>
        <v>A</v>
      </c>
      <c r="AM2" s="300" t="s">
        <v>352</v>
      </c>
      <c r="AN2" s="301"/>
    </row>
    <row r="3" spans="2:40" ht="16.5" customHeight="1" x14ac:dyDescent="0.3">
      <c r="F3" s="4" t="s">
        <v>1</v>
      </c>
      <c r="J3" s="5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8"/>
      <c r="AC3" s="25">
        <f>+K4</f>
        <v>0</v>
      </c>
      <c r="AM3" s="302"/>
      <c r="AN3" s="303"/>
    </row>
    <row r="4" spans="2:40" ht="16.5" customHeight="1" x14ac:dyDescent="0.3">
      <c r="F4" s="4" t="s">
        <v>2</v>
      </c>
      <c r="J4" s="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7"/>
      <c r="AM4" s="304" t="s">
        <v>312</v>
      </c>
      <c r="AN4" s="305"/>
    </row>
    <row r="5" spans="2:40" ht="16.5" customHeight="1" x14ac:dyDescent="0.3">
      <c r="F5" s="4" t="s">
        <v>3</v>
      </c>
      <c r="J5" s="5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8"/>
      <c r="AM5" s="304" t="s">
        <v>233</v>
      </c>
      <c r="AN5" s="305"/>
    </row>
    <row r="6" spans="2:40" ht="16.5" customHeight="1" x14ac:dyDescent="0.3">
      <c r="F6" s="4" t="s">
        <v>4</v>
      </c>
      <c r="J6" s="5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7"/>
      <c r="AM6" s="304" t="s">
        <v>62</v>
      </c>
      <c r="AN6" s="305"/>
    </row>
    <row r="7" spans="2:40" ht="16.5" customHeight="1" x14ac:dyDescent="0.3">
      <c r="F7" s="4" t="s">
        <v>5</v>
      </c>
      <c r="J7" s="5"/>
      <c r="K7" s="109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AM7" s="306" t="s">
        <v>313</v>
      </c>
      <c r="AN7" s="307"/>
    </row>
    <row r="8" spans="2:40" ht="16.5" customHeight="1" thickBot="1" x14ac:dyDescent="0.35">
      <c r="F8" s="4" t="s">
        <v>6</v>
      </c>
      <c r="J8" s="5"/>
      <c r="K8" s="273"/>
      <c r="L8" s="273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7"/>
      <c r="AM8" s="308" t="s">
        <v>243</v>
      </c>
      <c r="AN8" s="309"/>
    </row>
    <row r="9" spans="2:40" ht="16.5" customHeight="1" x14ac:dyDescent="0.3">
      <c r="F9" s="4" t="s">
        <v>7</v>
      </c>
      <c r="J9" s="5"/>
      <c r="K9" s="274"/>
      <c r="L9" s="274"/>
      <c r="M9" s="274"/>
      <c r="N9" s="274"/>
      <c r="O9" s="274"/>
      <c r="P9" s="274"/>
      <c r="Q9" s="274"/>
      <c r="R9" s="274"/>
      <c r="S9" s="106"/>
      <c r="T9" s="106"/>
      <c r="U9" s="106"/>
      <c r="V9" s="106"/>
      <c r="W9" s="106"/>
      <c r="X9" s="106"/>
      <c r="Y9" s="107"/>
      <c r="AM9" s="310" t="s">
        <v>344</v>
      </c>
      <c r="AN9" s="311"/>
    </row>
    <row r="10" spans="2:40" ht="16.5" customHeight="1" x14ac:dyDescent="0.3">
      <c r="F10" s="4" t="s">
        <v>8</v>
      </c>
      <c r="J10" s="5"/>
      <c r="K10" s="273"/>
      <c r="L10" s="273"/>
      <c r="M10" s="273"/>
      <c r="N10" s="273"/>
      <c r="O10" s="273"/>
      <c r="P10" s="273"/>
      <c r="Q10" s="273"/>
      <c r="R10" s="273"/>
      <c r="S10" s="106"/>
      <c r="T10" s="106"/>
      <c r="U10" s="106"/>
      <c r="V10" s="106"/>
      <c r="W10" s="106"/>
      <c r="X10" s="106"/>
      <c r="Y10" s="107"/>
      <c r="AM10" s="312" t="s">
        <v>345</v>
      </c>
      <c r="AN10" s="313"/>
    </row>
    <row r="11" spans="2:40" ht="16.5" customHeight="1" thickBot="1" x14ac:dyDescent="0.35">
      <c r="F11" s="6" t="s">
        <v>9</v>
      </c>
      <c r="G11" s="7"/>
      <c r="H11" s="7"/>
      <c r="I11" s="7"/>
      <c r="J11" s="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80"/>
      <c r="AM11" s="314" t="s">
        <v>346</v>
      </c>
      <c r="AN11" s="315"/>
    </row>
    <row r="12" spans="2:40" ht="16.5" customHeight="1" x14ac:dyDescent="0.3">
      <c r="AM12" s="316" t="s">
        <v>315</v>
      </c>
      <c r="AN12" s="317"/>
    </row>
    <row r="13" spans="2:40" ht="16.5" customHeight="1" thickBot="1" x14ac:dyDescent="0.35">
      <c r="B13" s="283" t="s">
        <v>16</v>
      </c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M13" s="304" t="s">
        <v>192</v>
      </c>
      <c r="AN13" s="305"/>
    </row>
    <row r="14" spans="2:40" ht="16.5" customHeight="1" thickTop="1" x14ac:dyDescent="0.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M14" s="306" t="s">
        <v>236</v>
      </c>
      <c r="AN14" s="307"/>
    </row>
    <row r="15" spans="2:40" ht="16.5" customHeight="1" x14ac:dyDescent="0.3">
      <c r="B15" s="284">
        <f>+K7</f>
        <v>0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M15" s="304" t="s">
        <v>316</v>
      </c>
      <c r="AN15" s="305"/>
    </row>
    <row r="16" spans="2:40" ht="16.5" customHeight="1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M16" s="306" t="s">
        <v>244</v>
      </c>
      <c r="AN16" s="307"/>
    </row>
    <row r="17" spans="2:40" ht="16.5" customHeight="1" x14ac:dyDescent="0.3">
      <c r="B17" s="11"/>
      <c r="C17" s="11"/>
      <c r="D17" s="11"/>
      <c r="E17" s="11"/>
      <c r="F17" s="11"/>
      <c r="G17" s="11"/>
      <c r="H17" s="11"/>
      <c r="I17" s="11"/>
      <c r="J17" s="10"/>
      <c r="K17" s="10"/>
      <c r="L17" s="10"/>
      <c r="M17" s="10"/>
      <c r="N17" s="10"/>
      <c r="O17" s="10"/>
      <c r="P17" s="10"/>
      <c r="Q17" s="10"/>
      <c r="R17" s="10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M17" s="320" t="s">
        <v>356</v>
      </c>
      <c r="AN17" s="321"/>
    </row>
    <row r="18" spans="2:40" ht="16.5" customHeight="1" thickBot="1" x14ac:dyDescent="0.35">
      <c r="B18" s="11"/>
      <c r="C18" s="11"/>
      <c r="D18" s="11"/>
      <c r="E18" s="11"/>
      <c r="F18" s="11"/>
      <c r="G18" s="11"/>
      <c r="H18" s="11"/>
      <c r="I18" s="11"/>
      <c r="J18" s="110" t="s">
        <v>17</v>
      </c>
      <c r="K18" s="111"/>
      <c r="L18" s="111"/>
      <c r="M18" s="111"/>
      <c r="N18" s="111"/>
      <c r="O18" s="111"/>
      <c r="P18" s="111"/>
      <c r="Q18" s="111"/>
      <c r="R18" s="112"/>
      <c r="S18" s="285">
        <f>K42-Y42</f>
        <v>37150.61363761875</v>
      </c>
      <c r="T18" s="285"/>
      <c r="U18" s="285"/>
      <c r="V18" s="285"/>
      <c r="W18" s="11"/>
      <c r="X18" s="11"/>
      <c r="Y18" s="11"/>
      <c r="Z18" s="11"/>
      <c r="AA18" s="11"/>
      <c r="AB18" s="11"/>
      <c r="AC18" s="11"/>
      <c r="AM18" s="318" t="s">
        <v>330</v>
      </c>
      <c r="AN18" s="319"/>
    </row>
    <row r="19" spans="2:40" ht="16.5" customHeight="1" thickTop="1" x14ac:dyDescent="0.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2:40" ht="16.5" customHeight="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2:40" ht="16.5" customHeight="1" x14ac:dyDescent="0.3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40" ht="16.5" customHeight="1" x14ac:dyDescent="0.3">
      <c r="B22" s="281" t="s">
        <v>18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2" t="s">
        <v>19</v>
      </c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</row>
    <row r="23" spans="2:40" ht="16.5" customHeight="1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4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2:40" ht="16.5" customHeight="1" x14ac:dyDescent="0.3">
      <c r="B24" s="11"/>
      <c r="C24" s="11"/>
      <c r="D24" s="15" t="s">
        <v>20</v>
      </c>
      <c r="E24" s="11"/>
      <c r="F24" s="11"/>
      <c r="G24" s="11"/>
      <c r="H24" s="11"/>
      <c r="I24" s="11"/>
      <c r="J24" s="11"/>
      <c r="K24" s="286" t="s">
        <v>21</v>
      </c>
      <c r="L24" s="286"/>
      <c r="M24" s="286"/>
      <c r="N24" s="16"/>
      <c r="O24" s="11"/>
      <c r="P24" s="17"/>
      <c r="Q24" s="11"/>
      <c r="R24" s="15" t="s">
        <v>20</v>
      </c>
      <c r="S24" s="11"/>
      <c r="T24" s="11"/>
      <c r="U24" s="11"/>
      <c r="V24" s="11"/>
      <c r="W24" s="11"/>
      <c r="X24" s="11"/>
      <c r="Y24" s="286" t="s">
        <v>21</v>
      </c>
      <c r="Z24" s="286"/>
      <c r="AA24" s="286"/>
      <c r="AB24" s="16"/>
      <c r="AC24" s="11"/>
    </row>
    <row r="25" spans="2:40" ht="16.5" customHeight="1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7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2:40" ht="16.5" customHeight="1" x14ac:dyDescent="0.3">
      <c r="B26" s="22" t="s">
        <v>35</v>
      </c>
      <c r="C26" s="11"/>
      <c r="D26" s="11" t="s">
        <v>22</v>
      </c>
      <c r="E26" s="11"/>
      <c r="F26" s="11"/>
      <c r="G26" s="11"/>
      <c r="H26" s="11"/>
      <c r="I26" s="11"/>
      <c r="J26" s="11"/>
      <c r="K26" s="288">
        <f>+'NOMINA FISCAL'!H57</f>
        <v>40164.15</v>
      </c>
      <c r="L26" s="288"/>
      <c r="M26" s="288"/>
      <c r="N26" s="18"/>
      <c r="O26" s="11"/>
      <c r="P26" s="23" t="s">
        <v>37</v>
      </c>
      <c r="Q26" s="11"/>
      <c r="R26" s="11" t="s">
        <v>23</v>
      </c>
      <c r="S26" s="11"/>
      <c r="T26" s="11"/>
      <c r="U26" s="11"/>
      <c r="V26" s="11"/>
      <c r="W26" s="11"/>
      <c r="X26" s="11"/>
      <c r="Y26" s="289">
        <f>+'NOMINA FISCAL'!T57</f>
        <v>2096.7600000000002</v>
      </c>
      <c r="Z26" s="289"/>
      <c r="AA26" s="289"/>
      <c r="AB26" s="19"/>
      <c r="AC26" s="11"/>
    </row>
    <row r="27" spans="2:40" ht="16.5" customHeight="1" x14ac:dyDescent="0.3">
      <c r="B27" s="22" t="s">
        <v>37</v>
      </c>
      <c r="C27" s="11"/>
      <c r="D27" s="11" t="s">
        <v>36</v>
      </c>
      <c r="E27" s="11"/>
      <c r="F27" s="11"/>
      <c r="G27" s="11"/>
      <c r="H27" s="11"/>
      <c r="I27" s="11"/>
      <c r="J27" s="11"/>
      <c r="K27" s="288">
        <f>+'NOMINA FISCAL'!I57</f>
        <v>0</v>
      </c>
      <c r="L27" s="288"/>
      <c r="M27" s="288"/>
      <c r="N27" s="18"/>
      <c r="O27" s="11"/>
      <c r="P27" s="23" t="s">
        <v>274</v>
      </c>
      <c r="Q27" s="11"/>
      <c r="R27" s="11" t="s">
        <v>25</v>
      </c>
      <c r="S27" s="11"/>
      <c r="T27" s="11"/>
      <c r="U27" s="11"/>
      <c r="V27" s="11"/>
      <c r="W27" s="11"/>
      <c r="X27" s="11"/>
      <c r="Y27" s="292">
        <f>+'NOMINA FISCAL'!V57</f>
        <v>0</v>
      </c>
      <c r="Z27" s="292"/>
      <c r="AA27" s="292"/>
      <c r="AB27" s="20"/>
      <c r="AC27" s="11"/>
    </row>
    <row r="28" spans="2:40" ht="16.5" customHeight="1" x14ac:dyDescent="0.3">
      <c r="B28" s="22" t="s">
        <v>39</v>
      </c>
      <c r="C28" s="11"/>
      <c r="D28" s="11" t="s">
        <v>38</v>
      </c>
      <c r="E28" s="11"/>
      <c r="F28" s="11"/>
      <c r="G28" s="11"/>
      <c r="H28" s="11"/>
      <c r="I28" s="11"/>
      <c r="J28" s="11"/>
      <c r="K28" s="288">
        <f>+'NOMINA FISCAL'!J57</f>
        <v>0</v>
      </c>
      <c r="L28" s="288"/>
      <c r="M28" s="288"/>
      <c r="N28" s="18"/>
      <c r="O28" s="11"/>
      <c r="P28" s="23" t="s">
        <v>239</v>
      </c>
      <c r="Q28" s="11"/>
      <c r="R28" s="11" t="s">
        <v>26</v>
      </c>
      <c r="S28" s="11"/>
      <c r="T28" s="11"/>
      <c r="U28" s="11"/>
      <c r="V28" s="11"/>
      <c r="W28" s="11"/>
      <c r="X28" s="11"/>
      <c r="Y28" s="292">
        <f>+'NOMINA FISCAL'!W57</f>
        <v>0</v>
      </c>
      <c r="Z28" s="292"/>
      <c r="AA28" s="292"/>
      <c r="AB28" s="20"/>
      <c r="AC28" s="11"/>
    </row>
    <row r="29" spans="2:40" ht="16.5" customHeight="1" x14ac:dyDescent="0.3">
      <c r="B29" s="22" t="s">
        <v>40</v>
      </c>
      <c r="C29" s="11"/>
      <c r="D29" s="1" t="s">
        <v>24</v>
      </c>
      <c r="E29" s="11"/>
      <c r="F29" s="11"/>
      <c r="G29" s="11"/>
      <c r="H29" s="11"/>
      <c r="I29" s="11"/>
      <c r="J29" s="11"/>
      <c r="K29" s="288">
        <f>+'NOMINA FISCAL'!K57</f>
        <v>0</v>
      </c>
      <c r="L29" s="288"/>
      <c r="M29" s="288"/>
      <c r="N29" s="18"/>
      <c r="O29" s="11"/>
      <c r="P29" s="23" t="s">
        <v>45</v>
      </c>
      <c r="Q29" s="21"/>
      <c r="R29" s="1" t="s">
        <v>52</v>
      </c>
      <c r="S29" s="11"/>
      <c r="T29" s="11"/>
      <c r="U29" s="11"/>
      <c r="V29" s="11"/>
      <c r="W29" s="11"/>
      <c r="X29" s="11"/>
      <c r="Y29" s="289">
        <f>+'NOMINA FISCAL'!X57</f>
        <v>916.7763623812499</v>
      </c>
      <c r="Z29" s="289"/>
      <c r="AA29" s="289"/>
      <c r="AB29" s="11"/>
      <c r="AC29" s="11"/>
    </row>
    <row r="30" spans="2:40" ht="16.5" customHeight="1" x14ac:dyDescent="0.3">
      <c r="B30" s="22" t="s">
        <v>41</v>
      </c>
      <c r="C30" s="11"/>
      <c r="D30" s="11" t="s">
        <v>27</v>
      </c>
      <c r="E30" s="11"/>
      <c r="F30" s="11"/>
      <c r="G30" s="11"/>
      <c r="H30" s="11"/>
      <c r="I30" s="11"/>
      <c r="J30" s="11"/>
      <c r="K30" s="288">
        <f>+'NOMINA FISCAL'!L57</f>
        <v>0</v>
      </c>
      <c r="L30" s="288"/>
      <c r="M30" s="288"/>
      <c r="N30" s="18"/>
      <c r="O30" s="11"/>
      <c r="P30" s="23" t="s">
        <v>49</v>
      </c>
      <c r="Q30" s="11"/>
      <c r="R30" s="11" t="s">
        <v>28</v>
      </c>
      <c r="S30" s="11"/>
      <c r="T30" s="11"/>
      <c r="U30" s="11"/>
      <c r="V30" s="11"/>
      <c r="W30" s="11"/>
      <c r="X30" s="11"/>
      <c r="Y30" s="289">
        <f>+'NOMINA FISCAL'!AB57</f>
        <v>0</v>
      </c>
      <c r="Z30" s="289"/>
      <c r="AA30" s="289"/>
      <c r="AB30" s="11"/>
      <c r="AC30" s="11"/>
    </row>
    <row r="31" spans="2:40" ht="16.5" customHeight="1" x14ac:dyDescent="0.3">
      <c r="B31" s="22" t="s">
        <v>43</v>
      </c>
      <c r="C31" s="11"/>
      <c r="D31" s="11" t="s">
        <v>42</v>
      </c>
      <c r="E31" s="11"/>
      <c r="F31" s="11"/>
      <c r="G31" s="11"/>
      <c r="H31" s="11"/>
      <c r="I31" s="11"/>
      <c r="J31" s="11"/>
      <c r="K31" s="290">
        <f>+'NOMINA FISCAL'!M57</f>
        <v>0</v>
      </c>
      <c r="L31" s="290"/>
      <c r="M31" s="290"/>
      <c r="N31" s="11"/>
      <c r="O31" s="11"/>
      <c r="P31" s="23" t="s">
        <v>240</v>
      </c>
      <c r="Q31" s="11"/>
      <c r="R31" s="11" t="s">
        <v>29</v>
      </c>
      <c r="S31" s="11"/>
      <c r="T31" s="11"/>
      <c r="U31" s="11"/>
      <c r="V31" s="11"/>
      <c r="W31" s="11"/>
      <c r="X31" s="11"/>
      <c r="Y31" s="291">
        <f>+'NOMINA FISCAL'!Y57</f>
        <v>0</v>
      </c>
      <c r="Z31" s="291"/>
      <c r="AA31" s="291"/>
      <c r="AB31" s="11"/>
      <c r="AC31" s="11"/>
    </row>
    <row r="32" spans="2:40" ht="16.5" customHeight="1" x14ac:dyDescent="0.3">
      <c r="B32" s="22" t="s">
        <v>45</v>
      </c>
      <c r="C32" s="11"/>
      <c r="D32" s="11" t="s">
        <v>44</v>
      </c>
      <c r="E32" s="11"/>
      <c r="F32" s="11"/>
      <c r="G32" s="11"/>
      <c r="H32" s="11"/>
      <c r="I32" s="11"/>
      <c r="J32" s="11"/>
      <c r="K32" s="290">
        <f>+'NOMINA FISCAL'!N57</f>
        <v>0</v>
      </c>
      <c r="L32" s="290"/>
      <c r="M32" s="290"/>
      <c r="N32" s="11"/>
      <c r="O32" s="11"/>
      <c r="P32" s="23" t="s">
        <v>37</v>
      </c>
      <c r="Q32" s="11"/>
      <c r="R32" s="11" t="s">
        <v>309</v>
      </c>
      <c r="S32" s="11"/>
      <c r="T32" s="11"/>
      <c r="U32" s="11"/>
      <c r="V32" s="11"/>
      <c r="W32" s="11"/>
      <c r="X32" s="11"/>
      <c r="Y32" s="298">
        <f>+'NOMINA FISCAL'!U57</f>
        <v>0</v>
      </c>
      <c r="Z32" s="299"/>
      <c r="AA32" s="299"/>
      <c r="AB32" s="11"/>
      <c r="AC32" s="11"/>
    </row>
    <row r="33" spans="2:29" ht="16.5" customHeight="1" x14ac:dyDescent="0.3">
      <c r="B33" s="22" t="s">
        <v>46</v>
      </c>
      <c r="C33" s="11"/>
      <c r="D33" s="11" t="s">
        <v>34</v>
      </c>
      <c r="E33" s="11"/>
      <c r="F33" s="11"/>
      <c r="G33" s="11"/>
      <c r="H33" s="11"/>
      <c r="I33" s="11"/>
      <c r="J33" s="11"/>
      <c r="K33" s="287">
        <f>+'NOMINA FISCAL'!O57</f>
        <v>0</v>
      </c>
      <c r="L33" s="287"/>
      <c r="M33" s="287"/>
      <c r="N33" s="11"/>
      <c r="O33" s="11"/>
      <c r="P33" s="23" t="s">
        <v>308</v>
      </c>
      <c r="Q33" s="11"/>
      <c r="R33" s="11" t="s">
        <v>310</v>
      </c>
      <c r="S33" s="11"/>
      <c r="T33" s="11"/>
      <c r="U33" s="11"/>
      <c r="V33" s="11"/>
      <c r="W33" s="11"/>
      <c r="X33" s="11"/>
      <c r="Y33" s="298">
        <f>+'NOMINA FISCAL'!Z57</f>
        <v>0</v>
      </c>
      <c r="Z33" s="299"/>
      <c r="AA33" s="299"/>
      <c r="AB33" s="11"/>
      <c r="AC33" s="11"/>
    </row>
    <row r="34" spans="2:29" ht="16.5" customHeight="1" x14ac:dyDescent="0.3">
      <c r="B34" s="22" t="s">
        <v>49</v>
      </c>
      <c r="C34" s="11"/>
      <c r="D34" s="11" t="s">
        <v>50</v>
      </c>
      <c r="E34" s="11"/>
      <c r="F34" s="11"/>
      <c r="G34" s="11"/>
      <c r="H34" s="11"/>
      <c r="I34" s="11"/>
      <c r="J34" s="11"/>
      <c r="K34" s="287">
        <f>+'NOMINA FISCAL'!P57</f>
        <v>0</v>
      </c>
      <c r="L34" s="287"/>
      <c r="M34" s="287"/>
      <c r="N34" s="11"/>
      <c r="O34" s="11"/>
      <c r="P34" s="23"/>
      <c r="Q34" s="11"/>
      <c r="R34" s="11"/>
      <c r="S34" s="11"/>
      <c r="T34" s="11"/>
      <c r="U34" s="11"/>
      <c r="V34" s="11"/>
      <c r="W34" s="11"/>
      <c r="X34" s="11"/>
      <c r="Y34" s="298"/>
      <c r="Z34" s="299"/>
      <c r="AA34" s="299"/>
      <c r="AB34" s="11"/>
      <c r="AC34" s="11"/>
    </row>
    <row r="35" spans="2:29" ht="16.5" customHeight="1" x14ac:dyDescent="0.3">
      <c r="B35" s="42" t="s">
        <v>241</v>
      </c>
      <c r="C35" s="11"/>
      <c r="D35" s="1" t="s">
        <v>242</v>
      </c>
      <c r="E35" s="11"/>
      <c r="F35" s="11"/>
      <c r="G35" s="11"/>
      <c r="H35" s="11"/>
      <c r="I35" s="11"/>
      <c r="J35" s="11"/>
      <c r="K35" s="287">
        <f>+'NOMINA FISCAL'!Q57</f>
        <v>0</v>
      </c>
      <c r="L35" s="287"/>
      <c r="M35" s="287"/>
      <c r="N35" s="11"/>
      <c r="O35" s="11"/>
      <c r="P35" s="23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2:29" ht="16.5" customHeight="1" x14ac:dyDescent="0.3">
      <c r="B36" s="22" t="s">
        <v>48</v>
      </c>
      <c r="C36" s="11"/>
      <c r="D36" s="11" t="s">
        <v>47</v>
      </c>
      <c r="E36" s="11"/>
      <c r="F36" s="11"/>
      <c r="G36" s="11"/>
      <c r="H36" s="11"/>
      <c r="I36" s="11"/>
      <c r="J36" s="11"/>
      <c r="K36" s="287">
        <f>+'NOMINA FISCAL'!R57</f>
        <v>0</v>
      </c>
      <c r="L36" s="287"/>
      <c r="M36" s="287"/>
      <c r="N36" s="11"/>
      <c r="O36" s="11"/>
      <c r="P36" s="23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2:29" ht="16.5" customHeight="1" x14ac:dyDescent="0.3">
      <c r="B37" s="22" t="s">
        <v>37</v>
      </c>
      <c r="C37" s="11"/>
      <c r="D37" s="11" t="s">
        <v>51</v>
      </c>
      <c r="E37" s="11"/>
      <c r="F37" s="11"/>
      <c r="G37" s="11"/>
      <c r="H37" s="11"/>
      <c r="I37" s="11"/>
      <c r="J37" s="11"/>
      <c r="K37" s="287">
        <f>+'ISR '!T58</f>
        <v>0</v>
      </c>
      <c r="L37" s="287"/>
      <c r="M37" s="287"/>
      <c r="N37" s="11"/>
      <c r="O37" s="11"/>
      <c r="P37" s="2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2:29" ht="16.5" customHeight="1" x14ac:dyDescent="0.3">
      <c r="B38" s="22"/>
      <c r="C38" s="11"/>
      <c r="D38" s="11"/>
      <c r="E38" s="11"/>
      <c r="F38" s="11"/>
      <c r="G38" s="11"/>
      <c r="H38" s="11"/>
      <c r="I38" s="11"/>
      <c r="J38" s="11"/>
      <c r="K38" s="287"/>
      <c r="L38" s="287"/>
      <c r="M38" s="287"/>
      <c r="N38" s="11"/>
      <c r="O38" s="11"/>
      <c r="P38" s="23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2:29" ht="16.5" customHeight="1" x14ac:dyDescent="0.3">
      <c r="B39" s="22"/>
      <c r="C39" s="11"/>
      <c r="D39" s="11"/>
      <c r="E39" s="11"/>
      <c r="F39" s="11"/>
      <c r="G39" s="11"/>
      <c r="H39" s="11"/>
      <c r="I39" s="11"/>
      <c r="J39" s="11"/>
      <c r="K39" s="287"/>
      <c r="L39" s="287"/>
      <c r="M39" s="287"/>
      <c r="N39" s="11"/>
      <c r="O39" s="11"/>
      <c r="P39" s="2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2:29" ht="16.5" customHeight="1" x14ac:dyDescent="0.3">
      <c r="C40" s="11"/>
      <c r="E40" s="11"/>
      <c r="F40" s="11"/>
      <c r="G40" s="11"/>
      <c r="H40" s="11"/>
      <c r="I40" s="11"/>
      <c r="J40" s="11"/>
      <c r="K40" s="75"/>
      <c r="L40" s="75"/>
      <c r="M40" s="75"/>
      <c r="N40" s="11"/>
      <c r="O40" s="10"/>
      <c r="P40" s="2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2:29" ht="16.5" customHeight="1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2:29" ht="16.5" customHeight="1" x14ac:dyDescent="0.3">
      <c r="B42" s="113"/>
      <c r="C42" s="113"/>
      <c r="D42" s="114" t="s">
        <v>30</v>
      </c>
      <c r="E42" s="113"/>
      <c r="F42" s="113"/>
      <c r="G42" s="113"/>
      <c r="H42" s="113"/>
      <c r="I42" s="113"/>
      <c r="J42" s="113"/>
      <c r="K42" s="293">
        <f>SUM(K26:M40)</f>
        <v>40164.15</v>
      </c>
      <c r="L42" s="293"/>
      <c r="M42" s="293"/>
      <c r="N42" s="115"/>
      <c r="O42" s="113"/>
      <c r="P42" s="116"/>
      <c r="Q42" s="113"/>
      <c r="R42" s="114" t="s">
        <v>31</v>
      </c>
      <c r="S42" s="113"/>
      <c r="T42" s="113"/>
      <c r="U42" s="113"/>
      <c r="V42" s="113"/>
      <c r="W42" s="113"/>
      <c r="X42" s="113"/>
      <c r="Y42" s="293">
        <f>SUM(Y26:AA40)</f>
        <v>3013.53636238125</v>
      </c>
      <c r="Z42" s="293"/>
      <c r="AA42" s="293"/>
      <c r="AB42" s="115"/>
      <c r="AC42" s="113"/>
    </row>
    <row r="43" spans="2:29" ht="16.5" customHeight="1" x14ac:dyDescent="0.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4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2:29" ht="16.5" customHeight="1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2:29" ht="16.5" customHeight="1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2:29" ht="16.5" customHeight="1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2:29" ht="16.5" customHeight="1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2:29" ht="16.5" customHeight="1" x14ac:dyDescent="0.3">
      <c r="B48" s="297" t="s">
        <v>32</v>
      </c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11"/>
      <c r="P48" s="294" t="s">
        <v>33</v>
      </c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</row>
    <row r="49" spans="2:29" ht="16.5" customHeight="1" x14ac:dyDescent="0.3"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2:29" ht="16.5" customHeight="1" x14ac:dyDescent="0.3">
      <c r="B50" s="297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2:29" ht="16.5" customHeight="1" x14ac:dyDescent="0.3">
      <c r="B51" s="297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2:29" ht="16.5" customHeight="1" x14ac:dyDescent="0.3">
      <c r="B52" s="295" t="str">
        <f>+K2</f>
        <v>A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2:29" ht="16.5" customHeight="1" x14ac:dyDescent="0.3"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11"/>
      <c r="P53" s="296">
        <f>+K5</f>
        <v>0</v>
      </c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</row>
    <row r="54" spans="2:29" ht="16.5" customHeight="1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2:29" ht="16.5" customHeight="1" x14ac:dyDescent="0.3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2:29" ht="16.5" customHeight="1" x14ac:dyDescent="0.3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2:29" ht="16.5" customHeight="1" x14ac:dyDescent="0.3"/>
    <row r="58" spans="2:29" ht="16.5" customHeight="1" thickBot="1" x14ac:dyDescent="0.35"/>
    <row r="59" spans="2:29" ht="16.5" customHeight="1" x14ac:dyDescent="0.3">
      <c r="B59" s="270" t="s">
        <v>245</v>
      </c>
      <c r="C59" s="271"/>
      <c r="D59" s="271"/>
      <c r="E59" s="271"/>
      <c r="F59" s="271"/>
      <c r="G59" s="271"/>
      <c r="H59" s="271"/>
      <c r="I59" s="272"/>
    </row>
    <row r="60" spans="2:29" ht="16.5" customHeight="1" x14ac:dyDescent="0.3">
      <c r="B60" s="267" t="s">
        <v>252</v>
      </c>
      <c r="C60" s="268"/>
      <c r="D60" s="269"/>
      <c r="E60" s="65">
        <f>+IF(F60="Normal",0,1)</f>
        <v>0</v>
      </c>
      <c r="F60" s="263" t="s">
        <v>250</v>
      </c>
      <c r="G60" s="263"/>
      <c r="H60" s="263"/>
      <c r="I60" s="264"/>
    </row>
    <row r="61" spans="2:29" ht="16.5" customHeight="1" x14ac:dyDescent="0.3">
      <c r="B61" s="117" t="s">
        <v>253</v>
      </c>
      <c r="C61" s="63"/>
      <c r="D61" s="64"/>
      <c r="E61" s="65">
        <f>+IF(F61="Si",1,0)</f>
        <v>0</v>
      </c>
      <c r="F61" s="263" t="s">
        <v>258</v>
      </c>
      <c r="G61" s="263"/>
      <c r="H61" s="263"/>
      <c r="I61" s="264"/>
    </row>
    <row r="62" spans="2:29" ht="16.5" customHeight="1" x14ac:dyDescent="0.3">
      <c r="B62" s="117" t="s">
        <v>254</v>
      </c>
      <c r="C62" s="63"/>
      <c r="D62" s="64"/>
      <c r="E62" s="65">
        <f>+IF(F62="Si",1,0)</f>
        <v>0</v>
      </c>
      <c r="F62" s="263" t="s">
        <v>258</v>
      </c>
      <c r="G62" s="263"/>
      <c r="H62" s="263"/>
      <c r="I62" s="264"/>
    </row>
    <row r="63" spans="2:29" ht="16.5" customHeight="1" thickBot="1" x14ac:dyDescent="0.35">
      <c r="B63" s="118" t="s">
        <v>255</v>
      </c>
      <c r="C63" s="119"/>
      <c r="D63" s="120"/>
      <c r="E63" s="121">
        <f>+IF(F63="Si",1,0)</f>
        <v>0</v>
      </c>
      <c r="F63" s="265" t="s">
        <v>258</v>
      </c>
      <c r="G63" s="265"/>
      <c r="H63" s="265"/>
      <c r="I63" s="266"/>
    </row>
    <row r="64" spans="2:29" ht="16.5" customHeight="1" x14ac:dyDescent="0.3"/>
    <row r="65" spans="25:25" ht="16.5" customHeight="1" x14ac:dyDescent="0.3"/>
    <row r="66" spans="25:25" ht="16.5" customHeight="1" x14ac:dyDescent="0.3"/>
    <row r="67" spans="25:25" ht="16.5" customHeight="1" x14ac:dyDescent="0.3"/>
    <row r="68" spans="25:25" ht="16.5" customHeight="1" x14ac:dyDescent="0.3"/>
    <row r="69" spans="25:25" ht="16.5" customHeight="1" x14ac:dyDescent="0.3"/>
    <row r="70" spans="25:25" ht="16.5" customHeight="1" x14ac:dyDescent="0.3"/>
    <row r="71" spans="25:25" ht="16.5" customHeight="1" x14ac:dyDescent="0.3"/>
    <row r="72" spans="25:25" ht="16.5" customHeight="1" x14ac:dyDescent="0.3"/>
    <row r="73" spans="25:25" ht="16.5" customHeight="1" x14ac:dyDescent="0.3"/>
    <row r="74" spans="25:25" ht="16.5" customHeight="1" x14ac:dyDescent="0.3"/>
    <row r="75" spans="25:25" ht="16.5" customHeight="1" x14ac:dyDescent="0.3">
      <c r="Y75" s="122"/>
    </row>
    <row r="76" spans="25:25" ht="16.5" customHeight="1" x14ac:dyDescent="0.3">
      <c r="Y76" s="252"/>
    </row>
    <row r="77" spans="25:25" ht="16.5" customHeight="1" x14ac:dyDescent="0.3">
      <c r="Y77" s="122"/>
    </row>
    <row r="78" spans="25:25" ht="16.5" customHeight="1" x14ac:dyDescent="0.3"/>
    <row r="79" spans="25:25" ht="16.5" hidden="1" customHeight="1" x14ac:dyDescent="0.3"/>
    <row r="80" spans="25:25" ht="16.5" hidden="1" customHeight="1" x14ac:dyDescent="0.3"/>
    <row r="81" ht="16.5" hidden="1" customHeight="1" x14ac:dyDescent="0.3"/>
    <row r="82" ht="16.5" hidden="1" customHeight="1" x14ac:dyDescent="0.3"/>
    <row r="83" ht="16.5" hidden="1" customHeight="1" x14ac:dyDescent="0.3"/>
    <row r="84" ht="16.5" hidden="1" customHeight="1" x14ac:dyDescent="0.3"/>
    <row r="85" ht="16.5" hidden="1" customHeight="1" x14ac:dyDescent="0.3"/>
    <row r="86" ht="16.5" hidden="1" customHeight="1" x14ac:dyDescent="0.3"/>
    <row r="87" ht="16.5" hidden="1" customHeight="1" x14ac:dyDescent="0.3"/>
    <row r="88" ht="16.5" hidden="1" customHeight="1" x14ac:dyDescent="0.3"/>
    <row r="89" ht="16.5" hidden="1" customHeight="1" x14ac:dyDescent="0.3"/>
    <row r="90" ht="16.5" hidden="1" customHeight="1" x14ac:dyDescent="0.3"/>
    <row r="91" ht="16.5" hidden="1" customHeight="1" x14ac:dyDescent="0.3"/>
    <row r="92" ht="16.5" hidden="1" customHeight="1" x14ac:dyDescent="0.3"/>
    <row r="93" ht="16.5" hidden="1" customHeight="1" x14ac:dyDescent="0.3"/>
    <row r="94" ht="16.5" hidden="1" customHeight="1" x14ac:dyDescent="0.3"/>
    <row r="95" ht="16.5" hidden="1" customHeight="1" x14ac:dyDescent="0.3"/>
    <row r="96" ht="16.5" hidden="1" customHeight="1" x14ac:dyDescent="0.3"/>
    <row r="97" ht="16.5" hidden="1" customHeight="1" x14ac:dyDescent="0.3"/>
    <row r="98" ht="16.5" hidden="1" customHeight="1" x14ac:dyDescent="0.3"/>
    <row r="99" ht="16.5" hidden="1" customHeight="1" x14ac:dyDescent="0.3"/>
    <row r="100" ht="16.5" hidden="1" customHeight="1" x14ac:dyDescent="0.3"/>
    <row r="101" ht="16.5" hidden="1" customHeight="1" x14ac:dyDescent="0.3"/>
    <row r="102" ht="16.5" hidden="1" customHeight="1" x14ac:dyDescent="0.3"/>
    <row r="103" ht="16.5" hidden="1" customHeight="1" x14ac:dyDescent="0.3"/>
    <row r="104" ht="16.5" hidden="1" customHeight="1" x14ac:dyDescent="0.3"/>
    <row r="105" ht="16.5" hidden="1" customHeight="1" x14ac:dyDescent="0.3"/>
    <row r="106" ht="16.5" hidden="1" customHeight="1" x14ac:dyDescent="0.3"/>
    <row r="107" ht="16.5" hidden="1" customHeight="1" x14ac:dyDescent="0.3"/>
    <row r="108" ht="16.5" hidden="1" customHeight="1" x14ac:dyDescent="0.3"/>
    <row r="109" ht="16.5" hidden="1" customHeight="1" x14ac:dyDescent="0.3"/>
    <row r="110" ht="16.5" hidden="1" customHeight="1" x14ac:dyDescent="0.3"/>
    <row r="111" ht="16.5" hidden="1" customHeight="1" x14ac:dyDescent="0.3"/>
    <row r="112" ht="16.5" hidden="1" customHeight="1" x14ac:dyDescent="0.3"/>
    <row r="113" ht="16.5" hidden="1" customHeight="1" x14ac:dyDescent="0.3"/>
    <row r="114" ht="16.5" hidden="1" customHeight="1" x14ac:dyDescent="0.3"/>
    <row r="115" ht="16.5" hidden="1" customHeight="1" x14ac:dyDescent="0.3"/>
    <row r="116" ht="16.5" hidden="1" customHeight="1" x14ac:dyDescent="0.3"/>
    <row r="117" ht="16.5" hidden="1" customHeight="1" x14ac:dyDescent="0.3"/>
    <row r="118" ht="16.5" hidden="1" customHeight="1" x14ac:dyDescent="0.3"/>
    <row r="119" ht="16.5" hidden="1" customHeight="1" x14ac:dyDescent="0.3"/>
    <row r="120" ht="16.5" hidden="1" customHeight="1" x14ac:dyDescent="0.3"/>
    <row r="121" ht="16.5" hidden="1" customHeight="1" x14ac:dyDescent="0.3"/>
    <row r="122" ht="12" hidden="1" customHeight="1" x14ac:dyDescent="0.3"/>
    <row r="123" ht="12" hidden="1" customHeight="1" x14ac:dyDescent="0.3"/>
    <row r="124" ht="12" hidden="1" customHeight="1" x14ac:dyDescent="0.3"/>
    <row r="125" ht="12" hidden="1" customHeight="1" x14ac:dyDescent="0.3"/>
    <row r="126" ht="12" hidden="1" customHeight="1" x14ac:dyDescent="0.3"/>
    <row r="127" ht="12" hidden="1" customHeight="1" x14ac:dyDescent="0.3"/>
    <row r="128" ht="12" hidden="1" customHeight="1" x14ac:dyDescent="0.3"/>
    <row r="129" ht="12" hidden="1" customHeight="1" x14ac:dyDescent="0.3"/>
    <row r="130" ht="12" hidden="1" customHeight="1" x14ac:dyDescent="0.3"/>
    <row r="131" ht="12" hidden="1" customHeight="1" x14ac:dyDescent="0.3"/>
    <row r="132" ht="12" hidden="1" customHeight="1" x14ac:dyDescent="0.3"/>
    <row r="133" ht="12" hidden="1" customHeight="1" x14ac:dyDescent="0.3"/>
    <row r="134" ht="12" hidden="1" customHeight="1" x14ac:dyDescent="0.3"/>
    <row r="135" ht="12" hidden="1" customHeight="1" x14ac:dyDescent="0.3"/>
    <row r="136" ht="12" hidden="1" customHeight="1" x14ac:dyDescent="0.3"/>
    <row r="137" ht="12" hidden="1" customHeight="1" x14ac:dyDescent="0.3"/>
    <row r="138" ht="12" hidden="1" customHeight="1" x14ac:dyDescent="0.3"/>
    <row r="139" ht="12" hidden="1" customHeight="1" x14ac:dyDescent="0.3"/>
    <row r="140" ht="12" hidden="1" customHeight="1" x14ac:dyDescent="0.3"/>
    <row r="141" ht="12" hidden="1" customHeight="1" x14ac:dyDescent="0.3"/>
    <row r="142" ht="12" hidden="1" customHeight="1" x14ac:dyDescent="0.3"/>
    <row r="143" ht="12" hidden="1" customHeight="1" x14ac:dyDescent="0.3"/>
    <row r="144" ht="12" hidden="1" customHeight="1" x14ac:dyDescent="0.3"/>
    <row r="145" ht="12" hidden="1" customHeight="1" x14ac:dyDescent="0.3"/>
    <row r="146" ht="12" hidden="1" customHeight="1" x14ac:dyDescent="0.3"/>
    <row r="147" ht="12" hidden="1" customHeight="1" x14ac:dyDescent="0.3"/>
    <row r="148" ht="12" hidden="1" customHeight="1" x14ac:dyDescent="0.3"/>
    <row r="149" ht="12" hidden="1" customHeight="1" x14ac:dyDescent="0.3"/>
    <row r="150" ht="12" hidden="1" customHeight="1" x14ac:dyDescent="0.3"/>
    <row r="151" ht="12" hidden="1" customHeight="1" x14ac:dyDescent="0.3"/>
    <row r="152" ht="12" hidden="1" customHeight="1" x14ac:dyDescent="0.3"/>
    <row r="153" ht="12" hidden="1" customHeight="1" x14ac:dyDescent="0.3"/>
    <row r="154" ht="12" hidden="1" customHeight="1" x14ac:dyDescent="0.3"/>
    <row r="155" ht="12" hidden="1" customHeight="1" x14ac:dyDescent="0.3"/>
    <row r="156" ht="12" hidden="1" customHeight="1" x14ac:dyDescent="0.3"/>
    <row r="157" ht="12" hidden="1" customHeight="1" x14ac:dyDescent="0.3"/>
    <row r="158" ht="12" hidden="1" customHeight="1" x14ac:dyDescent="0.3"/>
    <row r="159" ht="12" hidden="1" customHeight="1" x14ac:dyDescent="0.3"/>
    <row r="160" ht="12" hidden="1" customHeight="1" x14ac:dyDescent="0.3"/>
    <row r="161" ht="12" hidden="1" customHeight="1" x14ac:dyDescent="0.3"/>
    <row r="162" ht="12" hidden="1" customHeight="1" x14ac:dyDescent="0.3"/>
    <row r="163" ht="12" hidden="1" customHeight="1" x14ac:dyDescent="0.3"/>
    <row r="164" ht="12" hidden="1" customHeight="1" x14ac:dyDescent="0.3"/>
    <row r="165" ht="12" hidden="1" customHeight="1" x14ac:dyDescent="0.3"/>
    <row r="166" ht="12" hidden="1" customHeight="1" x14ac:dyDescent="0.3"/>
    <row r="167" ht="12" hidden="1" customHeight="1" x14ac:dyDescent="0.3"/>
    <row r="168" ht="12" hidden="1" customHeight="1" x14ac:dyDescent="0.3"/>
    <row r="169" ht="12" hidden="1" customHeight="1" x14ac:dyDescent="0.3"/>
    <row r="170" ht="12" hidden="1" customHeight="1" x14ac:dyDescent="0.3"/>
    <row r="171" ht="12" hidden="1" customHeight="1" x14ac:dyDescent="0.3"/>
    <row r="172" ht="12" hidden="1" customHeight="1" x14ac:dyDescent="0.3"/>
    <row r="173" ht="12" hidden="1" customHeight="1" x14ac:dyDescent="0.3"/>
    <row r="174" ht="12" hidden="1" customHeight="1" x14ac:dyDescent="0.3"/>
    <row r="175" ht="12" hidden="1" customHeight="1" x14ac:dyDescent="0.3"/>
    <row r="176" ht="12" hidden="1" customHeight="1" x14ac:dyDescent="0.3"/>
    <row r="177" ht="12" hidden="1" customHeight="1" x14ac:dyDescent="0.3"/>
    <row r="178" ht="12" hidden="1" customHeight="1" x14ac:dyDescent="0.3"/>
    <row r="179" ht="12" hidden="1" customHeight="1" x14ac:dyDescent="0.3"/>
    <row r="180" ht="12" hidden="1" customHeight="1" x14ac:dyDescent="0.3"/>
    <row r="181" ht="12" hidden="1" customHeight="1" x14ac:dyDescent="0.3"/>
    <row r="182" ht="12" hidden="1" customHeight="1" x14ac:dyDescent="0.3"/>
    <row r="183" ht="12" hidden="1" customHeight="1" x14ac:dyDescent="0.3"/>
    <row r="184" ht="12" hidden="1" customHeight="1" x14ac:dyDescent="0.3"/>
    <row r="185" ht="12" hidden="1" customHeight="1" x14ac:dyDescent="0.3"/>
    <row r="186" ht="12" hidden="1" customHeight="1" x14ac:dyDescent="0.3"/>
    <row r="187" ht="12" hidden="1" customHeight="1" x14ac:dyDescent="0.3"/>
    <row r="188" ht="12" hidden="1" customHeight="1" x14ac:dyDescent="0.3"/>
    <row r="189" ht="12" hidden="1" customHeight="1" x14ac:dyDescent="0.3"/>
    <row r="190" ht="12" hidden="1" customHeight="1" x14ac:dyDescent="0.3"/>
    <row r="191" ht="12" hidden="1" customHeight="1" x14ac:dyDescent="0.3"/>
    <row r="192" ht="12" hidden="1" customHeight="1" x14ac:dyDescent="0.3"/>
    <row r="193" ht="12" hidden="1" customHeight="1" x14ac:dyDescent="0.3"/>
    <row r="194" ht="12" hidden="1" customHeight="1" x14ac:dyDescent="0.3"/>
    <row r="195" ht="12" hidden="1" customHeight="1" x14ac:dyDescent="0.3"/>
    <row r="196" ht="12" hidden="1" customHeight="1" x14ac:dyDescent="0.3"/>
    <row r="197" ht="12" hidden="1" customHeight="1" x14ac:dyDescent="0.3"/>
    <row r="198" ht="12" hidden="1" customHeight="1" x14ac:dyDescent="0.3"/>
    <row r="199" ht="12" hidden="1" customHeight="1" x14ac:dyDescent="0.3"/>
    <row r="200" ht="12" hidden="1" customHeight="1" x14ac:dyDescent="0.3"/>
    <row r="201" ht="12" hidden="1" customHeight="1" x14ac:dyDescent="0.3"/>
    <row r="202" ht="12" hidden="1" customHeight="1" x14ac:dyDescent="0.3"/>
    <row r="203" ht="12" hidden="1" customHeight="1" x14ac:dyDescent="0.3"/>
    <row r="204" ht="12" hidden="1" customHeight="1" x14ac:dyDescent="0.3"/>
    <row r="205" ht="12" hidden="1" customHeight="1" x14ac:dyDescent="0.3"/>
    <row r="206" ht="12" hidden="1" customHeight="1" x14ac:dyDescent="0.3"/>
    <row r="207" ht="12" hidden="1" customHeight="1" x14ac:dyDescent="0.3"/>
    <row r="208" ht="12" hidden="1" customHeight="1" x14ac:dyDescent="0.3"/>
    <row r="209" ht="12" hidden="1" customHeight="1" x14ac:dyDescent="0.3"/>
    <row r="210" ht="12" hidden="1" customHeight="1" x14ac:dyDescent="0.3"/>
    <row r="211" ht="12" hidden="1" customHeight="1" x14ac:dyDescent="0.3"/>
    <row r="212" ht="12" hidden="1" customHeight="1" x14ac:dyDescent="0.3"/>
    <row r="213" ht="12" hidden="1" customHeight="1" x14ac:dyDescent="0.3"/>
    <row r="214" ht="12" hidden="1" customHeight="1" x14ac:dyDescent="0.3"/>
    <row r="215" ht="12" hidden="1" customHeight="1" x14ac:dyDescent="0.3"/>
    <row r="216" ht="12" hidden="1" customHeight="1" x14ac:dyDescent="0.3"/>
    <row r="217" ht="12" hidden="1" customHeight="1" x14ac:dyDescent="0.3"/>
    <row r="218" ht="12" hidden="1" customHeight="1" x14ac:dyDescent="0.3"/>
    <row r="219" ht="12" hidden="1" customHeight="1" x14ac:dyDescent="0.3"/>
    <row r="220" ht="12" hidden="1" customHeight="1" x14ac:dyDescent="0.3"/>
    <row r="221" ht="12" hidden="1" customHeight="1" x14ac:dyDescent="0.3"/>
    <row r="222" ht="12" hidden="1" customHeight="1" x14ac:dyDescent="0.3"/>
    <row r="223" ht="12" hidden="1" customHeight="1" x14ac:dyDescent="0.3"/>
    <row r="224" ht="12" hidden="1" customHeight="1" x14ac:dyDescent="0.3"/>
    <row r="225" ht="12" hidden="1" customHeight="1" x14ac:dyDescent="0.3"/>
    <row r="226" ht="12" hidden="1" customHeight="1" x14ac:dyDescent="0.3"/>
    <row r="227" ht="12" hidden="1" customHeight="1" x14ac:dyDescent="0.3"/>
    <row r="228" ht="12" hidden="1" customHeight="1" x14ac:dyDescent="0.3"/>
    <row r="229" ht="12" hidden="1" customHeight="1" x14ac:dyDescent="0.3"/>
    <row r="230" ht="12" hidden="1" customHeight="1" x14ac:dyDescent="0.3"/>
    <row r="231" ht="12" hidden="1" customHeight="1" x14ac:dyDescent="0.3"/>
    <row r="232" ht="12" hidden="1" customHeight="1" x14ac:dyDescent="0.3"/>
    <row r="233" ht="12" hidden="1" customHeight="1" x14ac:dyDescent="0.3"/>
    <row r="234" ht="12" hidden="1" customHeight="1" x14ac:dyDescent="0.3"/>
    <row r="235" ht="12" hidden="1" customHeight="1" x14ac:dyDescent="0.3"/>
    <row r="236" ht="12" hidden="1" customHeight="1" x14ac:dyDescent="0.3"/>
    <row r="237" ht="12" hidden="1" customHeight="1" x14ac:dyDescent="0.3"/>
    <row r="238" ht="12" hidden="1" customHeight="1" x14ac:dyDescent="0.3"/>
    <row r="239" ht="12" hidden="1" customHeight="1" x14ac:dyDescent="0.3"/>
    <row r="240" ht="12" hidden="1" customHeight="1" x14ac:dyDescent="0.3"/>
    <row r="241" ht="12" hidden="1" customHeight="1" x14ac:dyDescent="0.3"/>
    <row r="242" ht="12" hidden="1" customHeight="1" x14ac:dyDescent="0.3"/>
    <row r="243" ht="12" hidden="1" customHeight="1" x14ac:dyDescent="0.3"/>
    <row r="244" ht="12" hidden="1" customHeight="1" x14ac:dyDescent="0.3"/>
    <row r="245" ht="12" hidden="1" customHeight="1" x14ac:dyDescent="0.3"/>
    <row r="246" ht="12" hidden="1" customHeight="1" x14ac:dyDescent="0.3"/>
    <row r="247" ht="12" hidden="1" customHeight="1" x14ac:dyDescent="0.3"/>
    <row r="248" ht="12" hidden="1" customHeight="1" x14ac:dyDescent="0.3"/>
    <row r="249" ht="12" hidden="1" customHeight="1" x14ac:dyDescent="0.3"/>
    <row r="250" ht="12" hidden="1" customHeight="1" x14ac:dyDescent="0.3"/>
    <row r="251" ht="12" hidden="1" customHeight="1" x14ac:dyDescent="0.3"/>
    <row r="252" ht="12" hidden="1" customHeight="1" x14ac:dyDescent="0.3"/>
    <row r="253" ht="12" hidden="1" customHeight="1" x14ac:dyDescent="0.3"/>
    <row r="254" ht="12" hidden="1" customHeight="1" x14ac:dyDescent="0.3"/>
    <row r="255" ht="12" hidden="1" customHeight="1" x14ac:dyDescent="0.3"/>
    <row r="256" ht="12" hidden="1" customHeight="1" x14ac:dyDescent="0.3"/>
    <row r="257" ht="12" hidden="1" customHeight="1" x14ac:dyDescent="0.3"/>
    <row r="258" ht="12" hidden="1" customHeight="1" x14ac:dyDescent="0.3"/>
    <row r="259" ht="12" hidden="1" customHeight="1" x14ac:dyDescent="0.3"/>
    <row r="260" ht="12" hidden="1" customHeight="1" x14ac:dyDescent="0.3"/>
    <row r="261" ht="12" hidden="1" customHeight="1" x14ac:dyDescent="0.3"/>
    <row r="262" ht="12" hidden="1" customHeight="1" x14ac:dyDescent="0.3"/>
    <row r="263" ht="12" hidden="1" customHeight="1" x14ac:dyDescent="0.3"/>
    <row r="264" ht="12" hidden="1" customHeight="1" x14ac:dyDescent="0.3"/>
    <row r="265" ht="12" hidden="1" customHeight="1" x14ac:dyDescent="0.3"/>
    <row r="266" ht="12" hidden="1" customHeight="1" x14ac:dyDescent="0.3"/>
  </sheetData>
  <mergeCells count="65">
    <mergeCell ref="AM18:AN18"/>
    <mergeCell ref="AM13:AN13"/>
    <mergeCell ref="AM14:AN14"/>
    <mergeCell ref="AM15:AN15"/>
    <mergeCell ref="AM16:AN16"/>
    <mergeCell ref="AM17:AN17"/>
    <mergeCell ref="AM8:AN8"/>
    <mergeCell ref="AM9:AN9"/>
    <mergeCell ref="AM10:AN10"/>
    <mergeCell ref="AM11:AN11"/>
    <mergeCell ref="AM12:AN12"/>
    <mergeCell ref="AM2:AN3"/>
    <mergeCell ref="AM4:AN4"/>
    <mergeCell ref="AM5:AN5"/>
    <mergeCell ref="AM6:AN6"/>
    <mergeCell ref="AM7:AN7"/>
    <mergeCell ref="K34:M34"/>
    <mergeCell ref="K37:M37"/>
    <mergeCell ref="K38:M38"/>
    <mergeCell ref="K39:M39"/>
    <mergeCell ref="Y32:AA32"/>
    <mergeCell ref="Y33:AA33"/>
    <mergeCell ref="Y34:AA34"/>
    <mergeCell ref="K35:M35"/>
    <mergeCell ref="K36:M36"/>
    <mergeCell ref="K42:M42"/>
    <mergeCell ref="Y42:AA42"/>
    <mergeCell ref="P48:AC48"/>
    <mergeCell ref="B52:N53"/>
    <mergeCell ref="P53:AC53"/>
    <mergeCell ref="B48:N51"/>
    <mergeCell ref="K24:M24"/>
    <mergeCell ref="Y24:AA24"/>
    <mergeCell ref="K33:M33"/>
    <mergeCell ref="K30:M30"/>
    <mergeCell ref="Y30:AA30"/>
    <mergeCell ref="K31:M31"/>
    <mergeCell ref="Y31:AA31"/>
    <mergeCell ref="K32:M32"/>
    <mergeCell ref="K29:M29"/>
    <mergeCell ref="Y29:AA29"/>
    <mergeCell ref="K26:M26"/>
    <mergeCell ref="Y26:AA26"/>
    <mergeCell ref="K27:M27"/>
    <mergeCell ref="Y27:AA27"/>
    <mergeCell ref="K28:M28"/>
    <mergeCell ref="Y28:AA28"/>
    <mergeCell ref="K11:Y11"/>
    <mergeCell ref="B22:O22"/>
    <mergeCell ref="P22:AC22"/>
    <mergeCell ref="B13:AC13"/>
    <mergeCell ref="B15:AC15"/>
    <mergeCell ref="S18:V18"/>
    <mergeCell ref="K8:L8"/>
    <mergeCell ref="K9:R9"/>
    <mergeCell ref="K10:R10"/>
    <mergeCell ref="K2:Y2"/>
    <mergeCell ref="K3:Y3"/>
    <mergeCell ref="K5:Y5"/>
    <mergeCell ref="F62:I62"/>
    <mergeCell ref="F61:I61"/>
    <mergeCell ref="F63:I63"/>
    <mergeCell ref="B60:D60"/>
    <mergeCell ref="B59:I59"/>
    <mergeCell ref="F60:I60"/>
  </mergeCells>
  <hyperlinks>
    <hyperlink ref="AM4:AN4" location="'Datos y Resumen '!A1" display="DATOS Y RESUMEN" xr:uid="{A5387616-1435-4E11-A64D-49816B4A69B4}"/>
    <hyperlink ref="AM5:AN5" location="'LISTA TRABAJADORES'!A1" display="LISTA DE TRABAJADORES" xr:uid="{493C52A1-0D88-4227-9E3C-96056B2890B6}"/>
    <hyperlink ref="AM6:AN6" location="'ISR '!A1" display="ISR" xr:uid="{624E4E4F-70F7-4FDD-B45D-DF0A8D7D0F1D}"/>
    <hyperlink ref="AM7:AN7" location="'OTRAS PRESTACIONES'!A1" display="OTRAS PRESTACIONES" xr:uid="{0BDD743F-6CEE-4D28-ACEA-7B41887BFF98}"/>
    <hyperlink ref="AM8:AN8" location="'OTRAS RETENCIONES'!A1" display="OTRAS RETENCIONES" xr:uid="{FAEF2932-5D34-4C4D-8DBC-A6190FF1A94C}"/>
    <hyperlink ref="AM12:AN12" location="'CUOTAS IMSS'!A1" display="CUOTAS IMSS" xr:uid="{E9F099EE-3476-43A9-A4FC-092CD7D934E7}"/>
    <hyperlink ref="AM13:AN13" location="'HORAS EXTRAS'!A1" display="HORAS EXTRAS" xr:uid="{9D7F1360-B3C1-4FA8-8B99-E2C3E3C0C4F2}"/>
    <hyperlink ref="AM14:AN14" location="AGUINALDO!A1" display="AGUINALDO" xr:uid="{0E13E110-53B5-4B3C-AA43-D77898A52195}"/>
    <hyperlink ref="AM15:AN15" location="'NOMINA FISCAL'!A1" display="NOMINA FISCAL " xr:uid="{AE6C2FC7-38D0-4A11-9512-DFB8589F8DD9}"/>
    <hyperlink ref="AM16:AN16" location="CONCEN!A1" display="CONCENTRADO" xr:uid="{F9D17DF4-EF46-4C97-962C-442FC3745DE8}"/>
    <hyperlink ref="AM17:AN17" location="'TARIFAS 2025'!A1" display="TARIFAS 2025" xr:uid="{089D0689-0B06-4D1E-AF47-6047E8ECD0F6}"/>
    <hyperlink ref="AM18:AN18" location="'DATOS EXTRAS'!A1" display="DATOS EXTRAS" xr:uid="{C0C0199A-E9CC-445D-8AD7-5D953608F75B}"/>
  </hyperlinks>
  <pageMargins left="0.7" right="0.7" top="0.75" bottom="0.75" header="0.3" footer="0.3"/>
  <pageSetup orientation="portrait" r:id="rId1"/>
  <ignoredErrors>
    <ignoredError sqref="B36 B26:B33 B34:B35 B37 P31 P28 P26:P27 P29:P30 P32:P3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C43BFD9-3208-4CCD-9553-6C7D6A00DB68}">
          <x14:formula1>
            <xm:f>'DATOS EXTRAS'!$B$9:$B$48</xm:f>
          </x14:formula1>
          <xm:sqref>K2</xm:sqref>
        </x14:dataValidation>
        <x14:dataValidation type="list" allowBlank="1" showInputMessage="1" showErrorMessage="1" xr:uid="{8106A9BF-120C-450F-ACE0-71C380AF694C}">
          <x14:formula1>
            <xm:f>'DATOS EXTRAS'!$B$3:$B$6</xm:f>
          </x14:formula1>
          <xm:sqref>K10:R10</xm:sqref>
        </x14:dataValidation>
        <x14:dataValidation type="list" allowBlank="1" showInputMessage="1" showErrorMessage="1" xr:uid="{C1F02A76-0574-4EEE-B283-E0458245D5D2}">
          <x14:formula1>
            <xm:f>'DATOS EXTRAS'!$I$3:$I$4</xm:f>
          </x14:formula1>
          <xm:sqref>F60:I60</xm:sqref>
        </x14:dataValidation>
        <x14:dataValidation type="list" allowBlank="1" showInputMessage="1" showErrorMessage="1" xr:uid="{63AA4F6C-DC05-4E7D-BAA5-C05C144E644B}">
          <x14:formula1>
            <xm:f>'DATOS EXTRAS'!$J$5:$J$6</xm:f>
          </x14:formula1>
          <xm:sqref>F61:F63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B9D6-12D5-407F-BCE9-5B699D378236}">
  <sheetPr codeName="Hoja10">
    <tabColor theme="3" tint="-0.499984740745262"/>
  </sheetPr>
  <dimension ref="B1:AU61"/>
  <sheetViews>
    <sheetView zoomScaleNormal="100" workbookViewId="0">
      <selection activeCell="B2" sqref="B2:C3"/>
    </sheetView>
  </sheetViews>
  <sheetFormatPr baseColWidth="10" defaultRowHeight="15" x14ac:dyDescent="0.25"/>
  <cols>
    <col min="1" max="1" width="1.28515625" style="40" customWidth="1"/>
    <col min="2" max="2" width="9.140625" style="40" customWidth="1"/>
    <col min="3" max="3" width="10.85546875" style="40" customWidth="1"/>
    <col min="4" max="4" width="2.5703125" style="40" customWidth="1"/>
    <col min="5" max="6" width="11.42578125" style="40"/>
    <col min="7" max="7" width="37.140625" style="40" customWidth="1"/>
    <col min="8" max="8" width="13.28515625" style="60" bestFit="1" customWidth="1"/>
    <col min="9" max="9" width="14.7109375" style="140" customWidth="1"/>
    <col min="10" max="10" width="11.42578125" style="60"/>
    <col min="11" max="11" width="11.85546875" style="40" bestFit="1" customWidth="1"/>
    <col min="12" max="13" width="11.42578125" style="60"/>
    <col min="14" max="14" width="5.42578125" style="40" bestFit="1" customWidth="1"/>
    <col min="15" max="15" width="11.42578125" style="60"/>
    <col min="16" max="16" width="5.42578125" style="40" bestFit="1" customWidth="1"/>
    <col min="17" max="17" width="11.42578125" style="60"/>
    <col min="18" max="18" width="5.42578125" style="40" bestFit="1" customWidth="1"/>
    <col min="19" max="19" width="11.42578125" style="60"/>
    <col min="20" max="20" width="8.140625" style="40" bestFit="1" customWidth="1"/>
    <col min="21" max="21" width="11.42578125" style="60"/>
    <col min="22" max="22" width="4.7109375" style="40" bestFit="1" customWidth="1"/>
    <col min="23" max="24" width="11.42578125" style="60"/>
    <col min="25" max="16384" width="11.42578125" style="40"/>
  </cols>
  <sheetData>
    <row r="1" spans="2:47" ht="4.5" customHeight="1" thickBot="1" x14ac:dyDescent="0.3"/>
    <row r="2" spans="2:47" ht="18.75" customHeight="1" thickBot="1" x14ac:dyDescent="0.3">
      <c r="B2" s="300" t="s">
        <v>352</v>
      </c>
      <c r="C2" s="301"/>
      <c r="E2" s="250" t="str">
        <f>+'Datos y Resumen '!AC2</f>
        <v>A</v>
      </c>
      <c r="H2" s="141" t="s">
        <v>219</v>
      </c>
      <c r="I2" s="250">
        <f>+'Datos y Resumen '!K4</f>
        <v>0</v>
      </c>
      <c r="P2" s="142" t="s">
        <v>311</v>
      </c>
      <c r="Q2" s="190">
        <v>278.8</v>
      </c>
      <c r="T2" s="142" t="s">
        <v>189</v>
      </c>
      <c r="U2" s="190">
        <v>108.57</v>
      </c>
    </row>
    <row r="3" spans="2:47" ht="18.75" thickBot="1" x14ac:dyDescent="0.3">
      <c r="B3" s="302"/>
      <c r="C3" s="303"/>
      <c r="E3" s="43" t="s">
        <v>4</v>
      </c>
      <c r="F3" s="43"/>
      <c r="G3" s="250">
        <f>+'Datos y Resumen '!K6</f>
        <v>0</v>
      </c>
      <c r="K3" s="143"/>
      <c r="T3" s="142" t="s">
        <v>237</v>
      </c>
      <c r="U3" s="190">
        <f>+U2*3</f>
        <v>325.70999999999998</v>
      </c>
    </row>
    <row r="4" spans="2:47" x14ac:dyDescent="0.25">
      <c r="B4" s="304" t="s">
        <v>312</v>
      </c>
      <c r="C4" s="305"/>
      <c r="E4" s="406" t="s">
        <v>66</v>
      </c>
      <c r="F4" s="409" t="s">
        <v>53</v>
      </c>
      <c r="G4" s="412" t="s">
        <v>65</v>
      </c>
      <c r="H4" s="400" t="s">
        <v>224</v>
      </c>
      <c r="I4" s="401"/>
      <c r="J4" s="401"/>
      <c r="K4" s="401"/>
      <c r="L4" s="401"/>
      <c r="M4" s="402"/>
      <c r="N4" s="415" t="s">
        <v>226</v>
      </c>
      <c r="O4" s="416"/>
      <c r="P4" s="416"/>
      <c r="Q4" s="416"/>
      <c r="R4" s="416"/>
      <c r="S4" s="416"/>
      <c r="T4" s="416"/>
      <c r="U4" s="416"/>
      <c r="V4" s="416"/>
      <c r="W4" s="417"/>
      <c r="X4" s="397" t="s">
        <v>232</v>
      </c>
    </row>
    <row r="5" spans="2:47" ht="15" customHeight="1" x14ac:dyDescent="0.25">
      <c r="B5" s="304" t="s">
        <v>233</v>
      </c>
      <c r="C5" s="305"/>
      <c r="E5" s="407"/>
      <c r="F5" s="410"/>
      <c r="G5" s="413"/>
      <c r="H5" s="403"/>
      <c r="I5" s="404"/>
      <c r="J5" s="404"/>
      <c r="K5" s="404"/>
      <c r="L5" s="404"/>
      <c r="M5" s="405"/>
      <c r="N5" s="418" t="s">
        <v>227</v>
      </c>
      <c r="O5" s="419"/>
      <c r="P5" s="420" t="s">
        <v>228</v>
      </c>
      <c r="Q5" s="421"/>
      <c r="R5" s="420" t="s">
        <v>229</v>
      </c>
      <c r="S5" s="421"/>
      <c r="T5" s="420" t="s">
        <v>230</v>
      </c>
      <c r="U5" s="421"/>
      <c r="V5" s="420" t="s">
        <v>231</v>
      </c>
      <c r="W5" s="421"/>
      <c r="X5" s="398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</row>
    <row r="6" spans="2:47" ht="15.75" thickBot="1" x14ac:dyDescent="0.3">
      <c r="B6" s="304" t="s">
        <v>62</v>
      </c>
      <c r="C6" s="305"/>
      <c r="E6" s="408"/>
      <c r="F6" s="411"/>
      <c r="G6" s="414"/>
      <c r="H6" s="145" t="s">
        <v>220</v>
      </c>
      <c r="I6" s="146" t="s">
        <v>221</v>
      </c>
      <c r="J6" s="147" t="s">
        <v>213</v>
      </c>
      <c r="K6" s="148" t="s">
        <v>223</v>
      </c>
      <c r="L6" s="149" t="s">
        <v>59</v>
      </c>
      <c r="M6" s="150" t="s">
        <v>222</v>
      </c>
      <c r="N6" s="151" t="s">
        <v>54</v>
      </c>
      <c r="O6" s="152" t="s">
        <v>225</v>
      </c>
      <c r="P6" s="153" t="s">
        <v>54</v>
      </c>
      <c r="Q6" s="142" t="s">
        <v>225</v>
      </c>
      <c r="R6" s="153" t="s">
        <v>54</v>
      </c>
      <c r="S6" s="142" t="s">
        <v>225</v>
      </c>
      <c r="T6" s="153" t="s">
        <v>54</v>
      </c>
      <c r="U6" s="142" t="s">
        <v>225</v>
      </c>
      <c r="V6" s="153" t="s">
        <v>54</v>
      </c>
      <c r="W6" s="142" t="s">
        <v>225</v>
      </c>
      <c r="X6" s="399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</row>
    <row r="7" spans="2:47" ht="15.75" thickBot="1" x14ac:dyDescent="0.3">
      <c r="B7" s="306" t="s">
        <v>313</v>
      </c>
      <c r="C7" s="307"/>
      <c r="E7" s="154" t="s">
        <v>113</v>
      </c>
      <c r="F7" s="155">
        <f>+'LISTA TRABAJADORES'!F7</f>
        <v>54008317338</v>
      </c>
      <c r="G7" s="155" t="str">
        <f>+'LISTA TRABAJADORES'!G7</f>
        <v>JUAN PABLO CAMINOS</v>
      </c>
      <c r="H7" s="156">
        <f>+'LISTA TRABAJADORES'!H7</f>
        <v>278.8</v>
      </c>
      <c r="I7" s="157">
        <f>+'ISR '!I8</f>
        <v>15</v>
      </c>
      <c r="J7" s="158">
        <f>+H7*I7</f>
        <v>4182</v>
      </c>
      <c r="K7" s="175">
        <v>1.0492999999999999</v>
      </c>
      <c r="L7" s="178">
        <f>+K7*H7</f>
        <v>292.54483999999997</v>
      </c>
      <c r="M7" s="181">
        <f>+J7*K7</f>
        <v>4388.1725999999999</v>
      </c>
      <c r="N7" s="177">
        <v>2.5000000000000001E-3</v>
      </c>
      <c r="O7" s="178">
        <f>IF(H7&gt;Q$2,M7*N7,0)</f>
        <v>0</v>
      </c>
      <c r="P7" s="179">
        <v>3.7499999999999999E-3</v>
      </c>
      <c r="Q7" s="178">
        <f>IF(H7&gt;Q2,M7*P7,0)</f>
        <v>0</v>
      </c>
      <c r="R7" s="179">
        <v>6.2500000000000003E-3</v>
      </c>
      <c r="S7" s="178">
        <f>IF(H7&gt;Q2,M7*R7,0)</f>
        <v>0</v>
      </c>
      <c r="T7" s="179">
        <v>1.125E-2</v>
      </c>
      <c r="U7" s="178">
        <f>IF(H7&gt;Q2,M7*T7,0)</f>
        <v>0</v>
      </c>
      <c r="V7" s="180">
        <v>4.0000000000000001E-3</v>
      </c>
      <c r="W7" s="178">
        <f>+IF(L7&gt;=U3,(L7-U3)*(I7)*(V7),0)</f>
        <v>0</v>
      </c>
      <c r="X7" s="181">
        <f>+O7+Q7+S7+U7+W7</f>
        <v>0</v>
      </c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</row>
    <row r="8" spans="2:47" ht="15.75" thickBot="1" x14ac:dyDescent="0.3">
      <c r="B8" s="304" t="s">
        <v>243</v>
      </c>
      <c r="C8" s="305"/>
      <c r="E8" s="159" t="s">
        <v>77</v>
      </c>
      <c r="F8" s="155">
        <f>+'LISTA TRABAJADORES'!F8</f>
        <v>4008063127</v>
      </c>
      <c r="G8" s="155" t="str">
        <f>+'LISTA TRABAJADORES'!G8</f>
        <v>HECTOR ULISES GARCIA</v>
      </c>
      <c r="H8" s="160">
        <f>+'LISTA TRABAJADORES'!H8</f>
        <v>278.81</v>
      </c>
      <c r="I8" s="161">
        <f>+'ISR '!I9</f>
        <v>15</v>
      </c>
      <c r="J8" s="162">
        <f>+H8*I8</f>
        <v>4182.1499999999996</v>
      </c>
      <c r="K8" s="175">
        <v>1.0492999999999999</v>
      </c>
      <c r="L8" s="184">
        <f>+K8*H8</f>
        <v>292.55533299999996</v>
      </c>
      <c r="M8" s="186">
        <f>+J8*K8</f>
        <v>4388.3299949999991</v>
      </c>
      <c r="N8" s="182">
        <v>2.5000000000000001E-3</v>
      </c>
      <c r="O8" s="178">
        <f>IF(H8&gt;Q$2,M8*N8,0)</f>
        <v>10.970824987499999</v>
      </c>
      <c r="P8" s="183">
        <v>3.7499999999999999E-3</v>
      </c>
      <c r="Q8" s="184">
        <f>IF(H8&gt;Q$2,M8*P8,0)</f>
        <v>16.456237481249996</v>
      </c>
      <c r="R8" s="183">
        <v>6.2500000000000003E-3</v>
      </c>
      <c r="S8" s="184">
        <f>IF(H8&gt;Q$2,R8*M8,0)</f>
        <v>27.427062468749995</v>
      </c>
      <c r="T8" s="183">
        <v>1.125E-2</v>
      </c>
      <c r="U8" s="184">
        <f>IF(H8&gt;Q$2,M8*T8,0)</f>
        <v>49.368712443749992</v>
      </c>
      <c r="V8" s="185">
        <v>4.0000000000000001E-3</v>
      </c>
      <c r="W8" s="184">
        <f>+IF(L8&gt;=U$3,(L8-U$3)*(I8)*(V8),0)</f>
        <v>0</v>
      </c>
      <c r="X8" s="186">
        <f>+O8+Q8+S8+U8+W8</f>
        <v>104.22283738124997</v>
      </c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</row>
    <row r="9" spans="2:47" ht="15.75" thickBot="1" x14ac:dyDescent="0.3">
      <c r="B9" s="310" t="s">
        <v>344</v>
      </c>
      <c r="C9" s="311"/>
      <c r="E9" s="159" t="s">
        <v>78</v>
      </c>
      <c r="F9" s="155">
        <f>+'LISTA TRABAJADORES'!F9</f>
        <v>4997999471</v>
      </c>
      <c r="G9" s="155" t="str">
        <f>+'LISTA TRABAJADORES'!G9</f>
        <v>MARISOL VILLA</v>
      </c>
      <c r="H9" s="160">
        <f>+'LISTA TRABAJADORES'!H9</f>
        <v>280</v>
      </c>
      <c r="I9" s="161">
        <f>+'ISR '!I10</f>
        <v>15</v>
      </c>
      <c r="J9" s="162">
        <f t="shared" ref="J9:J56" si="0">+H9*I9</f>
        <v>4200</v>
      </c>
      <c r="K9" s="175">
        <v>1.0492999999999999</v>
      </c>
      <c r="L9" s="184">
        <f t="shared" ref="L9:L56" si="1">+K9*H9</f>
        <v>293.80399999999997</v>
      </c>
      <c r="M9" s="186">
        <f t="shared" ref="M9:M56" si="2">+J9*K9</f>
        <v>4407.0599999999995</v>
      </c>
      <c r="N9" s="182">
        <v>2.5000000000000001E-3</v>
      </c>
      <c r="O9" s="184">
        <f>IF(H9&gt;Q$2,M9*N9,0)</f>
        <v>11.01765</v>
      </c>
      <c r="P9" s="183">
        <v>3.7499999999999999E-3</v>
      </c>
      <c r="Q9" s="184">
        <f t="shared" ref="Q9:Q56" si="3">IF(H9&gt;Q$2,M9*P9,0)</f>
        <v>16.526474999999998</v>
      </c>
      <c r="R9" s="183">
        <v>6.2500000000000003E-3</v>
      </c>
      <c r="S9" s="184">
        <f t="shared" ref="S9:S56" si="4">IF(H9&gt;Q$2,R9*M9,0)</f>
        <v>27.544124999999998</v>
      </c>
      <c r="T9" s="183">
        <v>1.125E-2</v>
      </c>
      <c r="U9" s="184">
        <f t="shared" ref="U9:U56" si="5">IF(H9&gt;Q$2,M9*T9,0)</f>
        <v>49.579424999999993</v>
      </c>
      <c r="V9" s="185">
        <v>4.0000000000000001E-3</v>
      </c>
      <c r="W9" s="184">
        <f t="shared" ref="W9:W56" si="6">+IF(L9&gt;=U$3,(L9-U$3)*(I9)*(V9),0)</f>
        <v>0</v>
      </c>
      <c r="X9" s="186">
        <f t="shared" ref="X9:X56" si="7">+O9+Q9+S9+U9+W9</f>
        <v>104.66767499999999</v>
      </c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</row>
    <row r="10" spans="2:47" ht="15.75" thickBot="1" x14ac:dyDescent="0.3">
      <c r="B10" s="312" t="s">
        <v>345</v>
      </c>
      <c r="C10" s="313"/>
      <c r="E10" s="159" t="s">
        <v>79</v>
      </c>
      <c r="F10" s="155">
        <f>+'LISTA TRABAJADORES'!F10</f>
        <v>5158985232</v>
      </c>
      <c r="G10" s="155" t="str">
        <f>+'LISTA TRABAJADORES'!G10</f>
        <v>MARCO PEREZ</v>
      </c>
      <c r="H10" s="160">
        <f>+'LISTA TRABAJADORES'!H10</f>
        <v>290</v>
      </c>
      <c r="I10" s="161">
        <f>+'ISR '!I11</f>
        <v>15</v>
      </c>
      <c r="J10" s="162">
        <f t="shared" si="0"/>
        <v>4350</v>
      </c>
      <c r="K10" s="175">
        <v>1.0492999999999999</v>
      </c>
      <c r="L10" s="184">
        <f t="shared" si="1"/>
        <v>304.29699999999997</v>
      </c>
      <c r="M10" s="186">
        <f t="shared" si="2"/>
        <v>4564.4549999999999</v>
      </c>
      <c r="N10" s="182">
        <v>2.5000000000000001E-3</v>
      </c>
      <c r="O10" s="184">
        <f t="shared" ref="O10:O56" si="8">IF(H10&gt;Q$2,M10*N10,0)</f>
        <v>11.411137500000001</v>
      </c>
      <c r="P10" s="183">
        <v>3.7499999999999999E-3</v>
      </c>
      <c r="Q10" s="184">
        <f t="shared" si="3"/>
        <v>17.11670625</v>
      </c>
      <c r="R10" s="183">
        <v>6.2500000000000003E-3</v>
      </c>
      <c r="S10" s="184">
        <f t="shared" si="4"/>
        <v>28.527843750000002</v>
      </c>
      <c r="T10" s="183">
        <v>1.125E-2</v>
      </c>
      <c r="U10" s="184">
        <f t="shared" si="5"/>
        <v>51.35011875</v>
      </c>
      <c r="V10" s="185">
        <v>4.0000000000000001E-3</v>
      </c>
      <c r="W10" s="184">
        <f t="shared" si="6"/>
        <v>0</v>
      </c>
      <c r="X10" s="186">
        <f t="shared" si="7"/>
        <v>108.40580625000001</v>
      </c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</row>
    <row r="11" spans="2:47" ht="15.75" thickBot="1" x14ac:dyDescent="0.3">
      <c r="B11" s="314" t="s">
        <v>346</v>
      </c>
      <c r="C11" s="315"/>
      <c r="E11" s="159" t="s">
        <v>80</v>
      </c>
      <c r="F11" s="155">
        <f>+'LISTA TRABAJADORES'!F11</f>
        <v>5478565521</v>
      </c>
      <c r="G11" s="155" t="str">
        <f>+'LISTA TRABAJADORES'!G11</f>
        <v>ALEJANDRO VENEGAS</v>
      </c>
      <c r="H11" s="160">
        <f>+'LISTA TRABAJADORES'!H11</f>
        <v>300</v>
      </c>
      <c r="I11" s="161">
        <f>+'ISR '!I12</f>
        <v>15</v>
      </c>
      <c r="J11" s="162">
        <f t="shared" si="0"/>
        <v>4500</v>
      </c>
      <c r="K11" s="175">
        <v>1.0492999999999999</v>
      </c>
      <c r="L11" s="184">
        <f t="shared" si="1"/>
        <v>314.78999999999996</v>
      </c>
      <c r="M11" s="186">
        <f t="shared" si="2"/>
        <v>4721.8499999999995</v>
      </c>
      <c r="N11" s="182">
        <v>2.5000000000000001E-3</v>
      </c>
      <c r="O11" s="184">
        <f t="shared" si="8"/>
        <v>11.804625</v>
      </c>
      <c r="P11" s="183">
        <v>3.7499999999999999E-3</v>
      </c>
      <c r="Q11" s="184">
        <f t="shared" si="3"/>
        <v>17.706937499999999</v>
      </c>
      <c r="R11" s="183">
        <v>6.2500000000000003E-3</v>
      </c>
      <c r="S11" s="184">
        <f t="shared" si="4"/>
        <v>29.511562499999997</v>
      </c>
      <c r="T11" s="183">
        <v>1.125E-2</v>
      </c>
      <c r="U11" s="184">
        <f t="shared" si="5"/>
        <v>53.120812499999992</v>
      </c>
      <c r="V11" s="185">
        <v>4.0000000000000001E-3</v>
      </c>
      <c r="W11" s="184">
        <f t="shared" si="6"/>
        <v>0</v>
      </c>
      <c r="X11" s="186">
        <f t="shared" si="7"/>
        <v>112.14393749999999</v>
      </c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</row>
    <row r="12" spans="2:47" ht="15.75" thickBot="1" x14ac:dyDescent="0.3">
      <c r="B12" s="304" t="s">
        <v>315</v>
      </c>
      <c r="C12" s="305"/>
      <c r="E12" s="159" t="s">
        <v>81</v>
      </c>
      <c r="F12" s="155">
        <f>+'LISTA TRABAJADORES'!F12</f>
        <v>5258525822</v>
      </c>
      <c r="G12" s="155" t="str">
        <f>+'LISTA TRABAJADORES'!G12</f>
        <v>MARTHA ZAVALA</v>
      </c>
      <c r="H12" s="160">
        <f>+'LISTA TRABAJADORES'!H12</f>
        <v>350</v>
      </c>
      <c r="I12" s="161">
        <f>+'ISR '!I13</f>
        <v>15</v>
      </c>
      <c r="J12" s="162">
        <f t="shared" si="0"/>
        <v>5250</v>
      </c>
      <c r="K12" s="175">
        <v>1.0492999999999999</v>
      </c>
      <c r="L12" s="184">
        <f t="shared" si="1"/>
        <v>367.25499999999994</v>
      </c>
      <c r="M12" s="186">
        <f t="shared" si="2"/>
        <v>5508.8249999999998</v>
      </c>
      <c r="N12" s="182">
        <v>2.5000000000000001E-3</v>
      </c>
      <c r="O12" s="184">
        <f t="shared" si="8"/>
        <v>13.772062500000001</v>
      </c>
      <c r="P12" s="183">
        <v>3.7499999999999999E-3</v>
      </c>
      <c r="Q12" s="184">
        <f t="shared" si="3"/>
        <v>20.658093749999999</v>
      </c>
      <c r="R12" s="183">
        <v>6.2500000000000003E-3</v>
      </c>
      <c r="S12" s="184">
        <f t="shared" si="4"/>
        <v>34.430156250000003</v>
      </c>
      <c r="T12" s="183">
        <v>1.125E-2</v>
      </c>
      <c r="U12" s="184">
        <f t="shared" si="5"/>
        <v>61.974281249999997</v>
      </c>
      <c r="V12" s="185">
        <v>4.0000000000000001E-3</v>
      </c>
      <c r="W12" s="184">
        <f t="shared" si="6"/>
        <v>2.4926999999999975</v>
      </c>
      <c r="X12" s="186">
        <f t="shared" si="7"/>
        <v>133.32729374999997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</row>
    <row r="13" spans="2:47" ht="15.75" thickBot="1" x14ac:dyDescent="0.3">
      <c r="B13" s="304" t="s">
        <v>192</v>
      </c>
      <c r="C13" s="305"/>
      <c r="E13" s="159" t="s">
        <v>82</v>
      </c>
      <c r="F13" s="155">
        <f>+'LISTA TRABAJADORES'!F13</f>
        <v>2587566225</v>
      </c>
      <c r="G13" s="155" t="str">
        <f>+'LISTA TRABAJADORES'!G13</f>
        <v>CRISTINA MACIAS</v>
      </c>
      <c r="H13" s="160">
        <f>+'LISTA TRABAJADORES'!H13</f>
        <v>400</v>
      </c>
      <c r="I13" s="161">
        <f>+'ISR '!I14</f>
        <v>15</v>
      </c>
      <c r="J13" s="162">
        <f t="shared" si="0"/>
        <v>6000</v>
      </c>
      <c r="K13" s="175">
        <v>1.0492999999999999</v>
      </c>
      <c r="L13" s="184">
        <f t="shared" si="1"/>
        <v>419.71999999999997</v>
      </c>
      <c r="M13" s="186">
        <f t="shared" si="2"/>
        <v>6295.7999999999993</v>
      </c>
      <c r="N13" s="182">
        <v>2.5000000000000001E-3</v>
      </c>
      <c r="O13" s="184">
        <f t="shared" si="8"/>
        <v>15.739499999999998</v>
      </c>
      <c r="P13" s="183">
        <v>3.7499999999999999E-3</v>
      </c>
      <c r="Q13" s="184">
        <f t="shared" si="3"/>
        <v>23.609249999999996</v>
      </c>
      <c r="R13" s="183">
        <v>6.2500000000000003E-3</v>
      </c>
      <c r="S13" s="184">
        <f t="shared" si="4"/>
        <v>39.348749999999995</v>
      </c>
      <c r="T13" s="183">
        <v>1.125E-2</v>
      </c>
      <c r="U13" s="184">
        <f t="shared" si="5"/>
        <v>70.827749999999995</v>
      </c>
      <c r="V13" s="185">
        <v>4.0000000000000001E-3</v>
      </c>
      <c r="W13" s="184">
        <f t="shared" si="6"/>
        <v>5.6405999999999992</v>
      </c>
      <c r="X13" s="186">
        <f t="shared" si="7"/>
        <v>155.16584999999998</v>
      </c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</row>
    <row r="14" spans="2:47" ht="15.75" thickBot="1" x14ac:dyDescent="0.3">
      <c r="B14" s="306" t="s">
        <v>236</v>
      </c>
      <c r="C14" s="307"/>
      <c r="E14" s="159" t="s">
        <v>83</v>
      </c>
      <c r="F14" s="155">
        <f>+'LISTA TRABAJADORES'!F14</f>
        <v>6585422585</v>
      </c>
      <c r="G14" s="155" t="str">
        <f>+'LISTA TRABAJADORES'!G14</f>
        <v>ANTONIO OCAMPOS</v>
      </c>
      <c r="H14" s="160">
        <f>+'LISTA TRABAJADORES'!H14</f>
        <v>500</v>
      </c>
      <c r="I14" s="161">
        <f>+'ISR '!I15</f>
        <v>15</v>
      </c>
      <c r="J14" s="162">
        <f t="shared" si="0"/>
        <v>7500</v>
      </c>
      <c r="K14" s="175">
        <v>1.0492999999999999</v>
      </c>
      <c r="L14" s="184">
        <f t="shared" si="1"/>
        <v>524.65</v>
      </c>
      <c r="M14" s="186">
        <f t="shared" si="2"/>
        <v>7869.7499999999991</v>
      </c>
      <c r="N14" s="182">
        <v>2.5000000000000001E-3</v>
      </c>
      <c r="O14" s="184">
        <f t="shared" si="8"/>
        <v>19.674374999999998</v>
      </c>
      <c r="P14" s="183">
        <v>3.7499999999999999E-3</v>
      </c>
      <c r="Q14" s="184">
        <f t="shared" si="3"/>
        <v>29.511562499999997</v>
      </c>
      <c r="R14" s="183">
        <v>6.2500000000000003E-3</v>
      </c>
      <c r="S14" s="184">
        <f t="shared" si="4"/>
        <v>49.185937499999994</v>
      </c>
      <c r="T14" s="183">
        <v>1.125E-2</v>
      </c>
      <c r="U14" s="184">
        <f t="shared" si="5"/>
        <v>88.53468749999999</v>
      </c>
      <c r="V14" s="185">
        <v>4.0000000000000001E-3</v>
      </c>
      <c r="W14" s="184">
        <f t="shared" si="6"/>
        <v>11.936399999999999</v>
      </c>
      <c r="X14" s="186">
        <f t="shared" si="7"/>
        <v>198.84296249999997</v>
      </c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</row>
    <row r="15" spans="2:47" ht="15.75" thickBot="1" x14ac:dyDescent="0.3">
      <c r="B15" s="304" t="s">
        <v>316</v>
      </c>
      <c r="C15" s="305"/>
      <c r="E15" s="159" t="s">
        <v>84</v>
      </c>
      <c r="F15" s="155">
        <f>+'LISTA TRABAJADORES'!F15</f>
        <v>0</v>
      </c>
      <c r="G15" s="155">
        <f>+'LISTA TRABAJADORES'!G15</f>
        <v>0</v>
      </c>
      <c r="H15" s="160">
        <f>+'LISTA TRABAJADORES'!H15</f>
        <v>0</v>
      </c>
      <c r="I15" s="161">
        <f>+'ISR '!I16</f>
        <v>15</v>
      </c>
      <c r="J15" s="162">
        <f t="shared" si="0"/>
        <v>0</v>
      </c>
      <c r="K15" s="175">
        <v>1.0492999999999999</v>
      </c>
      <c r="L15" s="184">
        <f t="shared" si="1"/>
        <v>0</v>
      </c>
      <c r="M15" s="186">
        <f t="shared" si="2"/>
        <v>0</v>
      </c>
      <c r="N15" s="182">
        <v>2.5000000000000001E-3</v>
      </c>
      <c r="O15" s="184">
        <f t="shared" si="8"/>
        <v>0</v>
      </c>
      <c r="P15" s="183">
        <v>3.7499999999999999E-3</v>
      </c>
      <c r="Q15" s="184">
        <f t="shared" si="3"/>
        <v>0</v>
      </c>
      <c r="R15" s="183">
        <v>6.2500000000000003E-3</v>
      </c>
      <c r="S15" s="184">
        <f t="shared" si="4"/>
        <v>0</v>
      </c>
      <c r="T15" s="183">
        <v>1.125E-2</v>
      </c>
      <c r="U15" s="184">
        <f t="shared" si="5"/>
        <v>0</v>
      </c>
      <c r="V15" s="185">
        <v>4.0000000000000001E-3</v>
      </c>
      <c r="W15" s="184">
        <f t="shared" si="6"/>
        <v>0</v>
      </c>
      <c r="X15" s="186">
        <f t="shared" si="7"/>
        <v>0</v>
      </c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</row>
    <row r="16" spans="2:47" ht="15.75" thickBot="1" x14ac:dyDescent="0.3">
      <c r="B16" s="306" t="s">
        <v>244</v>
      </c>
      <c r="C16" s="307"/>
      <c r="E16" s="159" t="s">
        <v>85</v>
      </c>
      <c r="F16" s="155">
        <f>+'LISTA TRABAJADORES'!F16</f>
        <v>0</v>
      </c>
      <c r="G16" s="155">
        <f>+'LISTA TRABAJADORES'!G16</f>
        <v>0</v>
      </c>
      <c r="H16" s="160">
        <f>+'LISTA TRABAJADORES'!H16</f>
        <v>0</v>
      </c>
      <c r="I16" s="161">
        <f>+'ISR '!I17</f>
        <v>15</v>
      </c>
      <c r="J16" s="162">
        <f t="shared" si="0"/>
        <v>0</v>
      </c>
      <c r="K16" s="175">
        <v>1.0492999999999999</v>
      </c>
      <c r="L16" s="184">
        <f t="shared" si="1"/>
        <v>0</v>
      </c>
      <c r="M16" s="186">
        <f t="shared" si="2"/>
        <v>0</v>
      </c>
      <c r="N16" s="182">
        <v>2.5000000000000001E-3</v>
      </c>
      <c r="O16" s="184">
        <f t="shared" si="8"/>
        <v>0</v>
      </c>
      <c r="P16" s="183">
        <v>3.7499999999999999E-3</v>
      </c>
      <c r="Q16" s="184">
        <f t="shared" si="3"/>
        <v>0</v>
      </c>
      <c r="R16" s="183">
        <v>6.2500000000000003E-3</v>
      </c>
      <c r="S16" s="184">
        <f t="shared" si="4"/>
        <v>0</v>
      </c>
      <c r="T16" s="183">
        <v>1.125E-2</v>
      </c>
      <c r="U16" s="184">
        <f t="shared" si="5"/>
        <v>0</v>
      </c>
      <c r="V16" s="185">
        <v>4.0000000000000001E-3</v>
      </c>
      <c r="W16" s="184">
        <f t="shared" si="6"/>
        <v>0</v>
      </c>
      <c r="X16" s="186">
        <f t="shared" si="7"/>
        <v>0</v>
      </c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</row>
    <row r="17" spans="2:47" ht="15.75" thickBot="1" x14ac:dyDescent="0.3">
      <c r="B17" s="320" t="s">
        <v>356</v>
      </c>
      <c r="C17" s="321"/>
      <c r="E17" s="159" t="s">
        <v>86</v>
      </c>
      <c r="F17" s="155">
        <f>+'LISTA TRABAJADORES'!F17</f>
        <v>0</v>
      </c>
      <c r="G17" s="155">
        <f>+'LISTA TRABAJADORES'!G17</f>
        <v>0</v>
      </c>
      <c r="H17" s="160">
        <f>+'LISTA TRABAJADORES'!H17</f>
        <v>0</v>
      </c>
      <c r="I17" s="161">
        <f>+'ISR '!I18</f>
        <v>15</v>
      </c>
      <c r="J17" s="162">
        <f t="shared" si="0"/>
        <v>0</v>
      </c>
      <c r="K17" s="175">
        <v>1.0492999999999999</v>
      </c>
      <c r="L17" s="184">
        <f t="shared" si="1"/>
        <v>0</v>
      </c>
      <c r="M17" s="186">
        <f t="shared" si="2"/>
        <v>0</v>
      </c>
      <c r="N17" s="182">
        <v>2.5000000000000001E-3</v>
      </c>
      <c r="O17" s="184">
        <f t="shared" si="8"/>
        <v>0</v>
      </c>
      <c r="P17" s="183">
        <v>3.7499999999999999E-3</v>
      </c>
      <c r="Q17" s="184">
        <f t="shared" si="3"/>
        <v>0</v>
      </c>
      <c r="R17" s="183">
        <v>6.2500000000000003E-3</v>
      </c>
      <c r="S17" s="184">
        <f t="shared" si="4"/>
        <v>0</v>
      </c>
      <c r="T17" s="183">
        <v>1.125E-2</v>
      </c>
      <c r="U17" s="184">
        <f t="shared" si="5"/>
        <v>0</v>
      </c>
      <c r="V17" s="185">
        <v>4.0000000000000001E-3</v>
      </c>
      <c r="W17" s="184">
        <f t="shared" si="6"/>
        <v>0</v>
      </c>
      <c r="X17" s="186">
        <f t="shared" si="7"/>
        <v>0</v>
      </c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</row>
    <row r="18" spans="2:47" ht="15.75" thickBot="1" x14ac:dyDescent="0.3">
      <c r="B18" s="318" t="s">
        <v>330</v>
      </c>
      <c r="C18" s="319"/>
      <c r="E18" s="159" t="s">
        <v>87</v>
      </c>
      <c r="F18" s="155">
        <f>+'LISTA TRABAJADORES'!F18</f>
        <v>0</v>
      </c>
      <c r="G18" s="155">
        <f>+'LISTA TRABAJADORES'!G18</f>
        <v>0</v>
      </c>
      <c r="H18" s="160">
        <f>+'LISTA TRABAJADORES'!H18</f>
        <v>0</v>
      </c>
      <c r="I18" s="161">
        <f>+'ISR '!I19</f>
        <v>15</v>
      </c>
      <c r="J18" s="162">
        <f t="shared" si="0"/>
        <v>0</v>
      </c>
      <c r="K18" s="175">
        <v>1.0492999999999999</v>
      </c>
      <c r="L18" s="184">
        <f t="shared" si="1"/>
        <v>0</v>
      </c>
      <c r="M18" s="186">
        <f t="shared" si="2"/>
        <v>0</v>
      </c>
      <c r="N18" s="182">
        <v>2.5000000000000001E-3</v>
      </c>
      <c r="O18" s="184">
        <f t="shared" si="8"/>
        <v>0</v>
      </c>
      <c r="P18" s="183">
        <v>3.7499999999999999E-3</v>
      </c>
      <c r="Q18" s="184">
        <f t="shared" si="3"/>
        <v>0</v>
      </c>
      <c r="R18" s="183">
        <v>6.2500000000000003E-3</v>
      </c>
      <c r="S18" s="184">
        <f t="shared" si="4"/>
        <v>0</v>
      </c>
      <c r="T18" s="183">
        <v>1.125E-2</v>
      </c>
      <c r="U18" s="184">
        <f t="shared" si="5"/>
        <v>0</v>
      </c>
      <c r="V18" s="185">
        <v>4.0000000000000001E-3</v>
      </c>
      <c r="W18" s="184">
        <f t="shared" si="6"/>
        <v>0</v>
      </c>
      <c r="X18" s="186">
        <f t="shared" si="7"/>
        <v>0</v>
      </c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</row>
    <row r="19" spans="2:47" ht="15.75" thickBot="1" x14ac:dyDescent="0.3">
      <c r="E19" s="159" t="s">
        <v>88</v>
      </c>
      <c r="F19" s="155">
        <f>+'LISTA TRABAJADORES'!F19</f>
        <v>0</v>
      </c>
      <c r="G19" s="155">
        <f>+'LISTA TRABAJADORES'!G19</f>
        <v>0</v>
      </c>
      <c r="H19" s="160">
        <f>+'LISTA TRABAJADORES'!H19</f>
        <v>0</v>
      </c>
      <c r="I19" s="161">
        <f>+'ISR '!I20</f>
        <v>15</v>
      </c>
      <c r="J19" s="162">
        <f t="shared" si="0"/>
        <v>0</v>
      </c>
      <c r="K19" s="175">
        <v>1.0492999999999999</v>
      </c>
      <c r="L19" s="184">
        <f t="shared" si="1"/>
        <v>0</v>
      </c>
      <c r="M19" s="186">
        <f t="shared" si="2"/>
        <v>0</v>
      </c>
      <c r="N19" s="182">
        <v>2.5000000000000001E-3</v>
      </c>
      <c r="O19" s="184">
        <f t="shared" si="8"/>
        <v>0</v>
      </c>
      <c r="P19" s="183">
        <v>3.7499999999999999E-3</v>
      </c>
      <c r="Q19" s="184">
        <f t="shared" si="3"/>
        <v>0</v>
      </c>
      <c r="R19" s="183">
        <v>6.2500000000000003E-3</v>
      </c>
      <c r="S19" s="184">
        <f t="shared" si="4"/>
        <v>0</v>
      </c>
      <c r="T19" s="183">
        <v>1.125E-2</v>
      </c>
      <c r="U19" s="184">
        <f t="shared" si="5"/>
        <v>0</v>
      </c>
      <c r="V19" s="185">
        <v>4.0000000000000001E-3</v>
      </c>
      <c r="W19" s="184">
        <f t="shared" si="6"/>
        <v>0</v>
      </c>
      <c r="X19" s="186">
        <f t="shared" si="7"/>
        <v>0</v>
      </c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</row>
    <row r="20" spans="2:47" ht="15.75" thickBot="1" x14ac:dyDescent="0.3">
      <c r="E20" s="159" t="s">
        <v>89</v>
      </c>
      <c r="F20" s="155">
        <f>+'LISTA TRABAJADORES'!F20</f>
        <v>0</v>
      </c>
      <c r="G20" s="155">
        <f>+'LISTA TRABAJADORES'!G20</f>
        <v>0</v>
      </c>
      <c r="H20" s="160">
        <f>+'LISTA TRABAJADORES'!H20</f>
        <v>0</v>
      </c>
      <c r="I20" s="161">
        <f>+'ISR '!I21</f>
        <v>15</v>
      </c>
      <c r="J20" s="162">
        <f t="shared" si="0"/>
        <v>0</v>
      </c>
      <c r="K20" s="175">
        <v>1.0492999999999999</v>
      </c>
      <c r="L20" s="184">
        <f t="shared" si="1"/>
        <v>0</v>
      </c>
      <c r="M20" s="186">
        <f t="shared" si="2"/>
        <v>0</v>
      </c>
      <c r="N20" s="182">
        <v>2.5000000000000001E-3</v>
      </c>
      <c r="O20" s="184">
        <f t="shared" si="8"/>
        <v>0</v>
      </c>
      <c r="P20" s="183">
        <v>3.7499999999999999E-3</v>
      </c>
      <c r="Q20" s="184">
        <f t="shared" si="3"/>
        <v>0</v>
      </c>
      <c r="R20" s="183">
        <v>6.2500000000000003E-3</v>
      </c>
      <c r="S20" s="184">
        <f t="shared" si="4"/>
        <v>0</v>
      </c>
      <c r="T20" s="183">
        <v>1.125E-2</v>
      </c>
      <c r="U20" s="184">
        <f t="shared" si="5"/>
        <v>0</v>
      </c>
      <c r="V20" s="185">
        <v>4.0000000000000001E-3</v>
      </c>
      <c r="W20" s="184">
        <f t="shared" si="6"/>
        <v>0</v>
      </c>
      <c r="X20" s="186">
        <f t="shared" si="7"/>
        <v>0</v>
      </c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</row>
    <row r="21" spans="2:47" ht="15.75" thickBot="1" x14ac:dyDescent="0.3">
      <c r="E21" s="159" t="s">
        <v>90</v>
      </c>
      <c r="F21" s="155">
        <f>+'LISTA TRABAJADORES'!F21</f>
        <v>0</v>
      </c>
      <c r="G21" s="155">
        <f>+'LISTA TRABAJADORES'!G21</f>
        <v>0</v>
      </c>
      <c r="H21" s="160">
        <f>+'LISTA TRABAJADORES'!H21</f>
        <v>0</v>
      </c>
      <c r="I21" s="161">
        <f>+'ISR '!I22</f>
        <v>15</v>
      </c>
      <c r="J21" s="162">
        <f t="shared" si="0"/>
        <v>0</v>
      </c>
      <c r="K21" s="175">
        <v>1.0492999999999999</v>
      </c>
      <c r="L21" s="184">
        <f t="shared" si="1"/>
        <v>0</v>
      </c>
      <c r="M21" s="186">
        <f t="shared" si="2"/>
        <v>0</v>
      </c>
      <c r="N21" s="182">
        <v>2.5000000000000001E-3</v>
      </c>
      <c r="O21" s="184">
        <f t="shared" si="8"/>
        <v>0</v>
      </c>
      <c r="P21" s="183">
        <v>3.7499999999999999E-3</v>
      </c>
      <c r="Q21" s="184">
        <f t="shared" si="3"/>
        <v>0</v>
      </c>
      <c r="R21" s="183">
        <v>6.2500000000000003E-3</v>
      </c>
      <c r="S21" s="184">
        <f t="shared" si="4"/>
        <v>0</v>
      </c>
      <c r="T21" s="183">
        <v>1.125E-2</v>
      </c>
      <c r="U21" s="184">
        <f t="shared" si="5"/>
        <v>0</v>
      </c>
      <c r="V21" s="185">
        <v>4.0000000000000001E-3</v>
      </c>
      <c r="W21" s="184">
        <f t="shared" si="6"/>
        <v>0</v>
      </c>
      <c r="X21" s="186">
        <f t="shared" si="7"/>
        <v>0</v>
      </c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</row>
    <row r="22" spans="2:47" ht="15.75" thickBot="1" x14ac:dyDescent="0.3">
      <c r="E22" s="159" t="s">
        <v>91</v>
      </c>
      <c r="F22" s="155">
        <f>+'LISTA TRABAJADORES'!F22</f>
        <v>0</v>
      </c>
      <c r="G22" s="155">
        <f>+'LISTA TRABAJADORES'!G22</f>
        <v>0</v>
      </c>
      <c r="H22" s="160">
        <f>+'LISTA TRABAJADORES'!H22</f>
        <v>0</v>
      </c>
      <c r="I22" s="161">
        <f>+'ISR '!I23</f>
        <v>15</v>
      </c>
      <c r="J22" s="162">
        <f t="shared" si="0"/>
        <v>0</v>
      </c>
      <c r="K22" s="175">
        <v>1.0492999999999999</v>
      </c>
      <c r="L22" s="184">
        <f t="shared" si="1"/>
        <v>0</v>
      </c>
      <c r="M22" s="186">
        <f t="shared" si="2"/>
        <v>0</v>
      </c>
      <c r="N22" s="182">
        <v>2.5000000000000001E-3</v>
      </c>
      <c r="O22" s="184">
        <f t="shared" si="8"/>
        <v>0</v>
      </c>
      <c r="P22" s="183">
        <v>3.7499999999999999E-3</v>
      </c>
      <c r="Q22" s="184">
        <f t="shared" si="3"/>
        <v>0</v>
      </c>
      <c r="R22" s="183">
        <v>6.2500000000000003E-3</v>
      </c>
      <c r="S22" s="184">
        <f t="shared" si="4"/>
        <v>0</v>
      </c>
      <c r="T22" s="183">
        <v>1.125E-2</v>
      </c>
      <c r="U22" s="184">
        <f t="shared" si="5"/>
        <v>0</v>
      </c>
      <c r="V22" s="185">
        <v>4.0000000000000001E-3</v>
      </c>
      <c r="W22" s="184">
        <f t="shared" si="6"/>
        <v>0</v>
      </c>
      <c r="X22" s="186">
        <f t="shared" si="7"/>
        <v>0</v>
      </c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</row>
    <row r="23" spans="2:47" ht="15.75" thickBot="1" x14ac:dyDescent="0.3">
      <c r="E23" s="159" t="s">
        <v>92</v>
      </c>
      <c r="F23" s="155">
        <f>+'LISTA TRABAJADORES'!F23</f>
        <v>0</v>
      </c>
      <c r="G23" s="155">
        <f>+'LISTA TRABAJADORES'!G23</f>
        <v>0</v>
      </c>
      <c r="H23" s="160">
        <f>+'LISTA TRABAJADORES'!H23</f>
        <v>0</v>
      </c>
      <c r="I23" s="161">
        <f>+'ISR '!I24</f>
        <v>15</v>
      </c>
      <c r="J23" s="162">
        <f t="shared" si="0"/>
        <v>0</v>
      </c>
      <c r="K23" s="175">
        <v>1.0492999999999999</v>
      </c>
      <c r="L23" s="184">
        <f t="shared" si="1"/>
        <v>0</v>
      </c>
      <c r="M23" s="186">
        <f t="shared" si="2"/>
        <v>0</v>
      </c>
      <c r="N23" s="182">
        <v>2.5000000000000001E-3</v>
      </c>
      <c r="O23" s="184">
        <f t="shared" si="8"/>
        <v>0</v>
      </c>
      <c r="P23" s="183">
        <v>3.7499999999999999E-3</v>
      </c>
      <c r="Q23" s="184">
        <f t="shared" si="3"/>
        <v>0</v>
      </c>
      <c r="R23" s="183">
        <v>6.2500000000000003E-3</v>
      </c>
      <c r="S23" s="184">
        <f t="shared" si="4"/>
        <v>0</v>
      </c>
      <c r="T23" s="183">
        <v>1.125E-2</v>
      </c>
      <c r="U23" s="184">
        <f t="shared" si="5"/>
        <v>0</v>
      </c>
      <c r="V23" s="185">
        <v>4.0000000000000001E-3</v>
      </c>
      <c r="W23" s="184">
        <f t="shared" si="6"/>
        <v>0</v>
      </c>
      <c r="X23" s="186">
        <f t="shared" si="7"/>
        <v>0</v>
      </c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</row>
    <row r="24" spans="2:47" ht="15.75" thickBot="1" x14ac:dyDescent="0.3">
      <c r="E24" s="159" t="s">
        <v>93</v>
      </c>
      <c r="F24" s="155">
        <f>+'LISTA TRABAJADORES'!F24</f>
        <v>0</v>
      </c>
      <c r="G24" s="155">
        <f>+'LISTA TRABAJADORES'!G24</f>
        <v>0</v>
      </c>
      <c r="H24" s="160">
        <f>+'LISTA TRABAJADORES'!H24</f>
        <v>0</v>
      </c>
      <c r="I24" s="161">
        <f>+'ISR '!I25</f>
        <v>15</v>
      </c>
      <c r="J24" s="162">
        <f t="shared" si="0"/>
        <v>0</v>
      </c>
      <c r="K24" s="175">
        <v>1.0492999999999999</v>
      </c>
      <c r="L24" s="184">
        <f t="shared" si="1"/>
        <v>0</v>
      </c>
      <c r="M24" s="186">
        <f t="shared" si="2"/>
        <v>0</v>
      </c>
      <c r="N24" s="182">
        <v>2.5000000000000001E-3</v>
      </c>
      <c r="O24" s="184">
        <f t="shared" si="8"/>
        <v>0</v>
      </c>
      <c r="P24" s="183">
        <v>3.7499999999999999E-3</v>
      </c>
      <c r="Q24" s="184">
        <f t="shared" si="3"/>
        <v>0</v>
      </c>
      <c r="R24" s="183">
        <v>6.2500000000000003E-3</v>
      </c>
      <c r="S24" s="184">
        <f t="shared" si="4"/>
        <v>0</v>
      </c>
      <c r="T24" s="183">
        <v>1.125E-2</v>
      </c>
      <c r="U24" s="184">
        <f t="shared" si="5"/>
        <v>0</v>
      </c>
      <c r="V24" s="185">
        <v>4.0000000000000001E-3</v>
      </c>
      <c r="W24" s="184">
        <f t="shared" si="6"/>
        <v>0</v>
      </c>
      <c r="X24" s="186">
        <f t="shared" si="7"/>
        <v>0</v>
      </c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</row>
    <row r="25" spans="2:47" ht="15.75" thickBot="1" x14ac:dyDescent="0.3">
      <c r="E25" s="159" t="s">
        <v>94</v>
      </c>
      <c r="F25" s="155">
        <f>+'LISTA TRABAJADORES'!F25</f>
        <v>0</v>
      </c>
      <c r="G25" s="155">
        <f>+'LISTA TRABAJADORES'!G25</f>
        <v>0</v>
      </c>
      <c r="H25" s="160">
        <f>+'LISTA TRABAJADORES'!H25</f>
        <v>0</v>
      </c>
      <c r="I25" s="161">
        <f>+'ISR '!I26</f>
        <v>15</v>
      </c>
      <c r="J25" s="162">
        <f t="shared" si="0"/>
        <v>0</v>
      </c>
      <c r="K25" s="175">
        <v>1.0492999999999999</v>
      </c>
      <c r="L25" s="184">
        <f t="shared" si="1"/>
        <v>0</v>
      </c>
      <c r="M25" s="186">
        <f t="shared" si="2"/>
        <v>0</v>
      </c>
      <c r="N25" s="182">
        <v>2.5000000000000001E-3</v>
      </c>
      <c r="O25" s="184">
        <f t="shared" si="8"/>
        <v>0</v>
      </c>
      <c r="P25" s="183">
        <v>3.7499999999999999E-3</v>
      </c>
      <c r="Q25" s="184">
        <f t="shared" si="3"/>
        <v>0</v>
      </c>
      <c r="R25" s="183">
        <v>6.2500000000000003E-3</v>
      </c>
      <c r="S25" s="184">
        <f t="shared" si="4"/>
        <v>0</v>
      </c>
      <c r="T25" s="183">
        <v>1.125E-2</v>
      </c>
      <c r="U25" s="184">
        <f t="shared" si="5"/>
        <v>0</v>
      </c>
      <c r="V25" s="185">
        <v>4.0000000000000001E-3</v>
      </c>
      <c r="W25" s="184">
        <f t="shared" si="6"/>
        <v>0</v>
      </c>
      <c r="X25" s="186">
        <f t="shared" si="7"/>
        <v>0</v>
      </c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</row>
    <row r="26" spans="2:47" ht="15.75" thickBot="1" x14ac:dyDescent="0.3">
      <c r="E26" s="159" t="s">
        <v>95</v>
      </c>
      <c r="F26" s="155">
        <f>+'LISTA TRABAJADORES'!F26</f>
        <v>0</v>
      </c>
      <c r="G26" s="155">
        <f>+'LISTA TRABAJADORES'!G26</f>
        <v>0</v>
      </c>
      <c r="H26" s="160">
        <f>+'LISTA TRABAJADORES'!H26</f>
        <v>0</v>
      </c>
      <c r="I26" s="161">
        <f>+'ISR '!I27</f>
        <v>15</v>
      </c>
      <c r="J26" s="162">
        <f t="shared" si="0"/>
        <v>0</v>
      </c>
      <c r="K26" s="175">
        <v>1.0492999999999999</v>
      </c>
      <c r="L26" s="184">
        <f t="shared" si="1"/>
        <v>0</v>
      </c>
      <c r="M26" s="186">
        <f t="shared" si="2"/>
        <v>0</v>
      </c>
      <c r="N26" s="182">
        <v>2.5000000000000001E-3</v>
      </c>
      <c r="O26" s="184">
        <f t="shared" si="8"/>
        <v>0</v>
      </c>
      <c r="P26" s="183">
        <v>3.7499999999999999E-3</v>
      </c>
      <c r="Q26" s="184">
        <f t="shared" si="3"/>
        <v>0</v>
      </c>
      <c r="R26" s="183">
        <v>6.2500000000000003E-3</v>
      </c>
      <c r="S26" s="184">
        <f t="shared" si="4"/>
        <v>0</v>
      </c>
      <c r="T26" s="183">
        <v>1.125E-2</v>
      </c>
      <c r="U26" s="184">
        <f t="shared" si="5"/>
        <v>0</v>
      </c>
      <c r="V26" s="185">
        <v>4.0000000000000001E-3</v>
      </c>
      <c r="W26" s="184">
        <f t="shared" si="6"/>
        <v>0</v>
      </c>
      <c r="X26" s="186">
        <f t="shared" si="7"/>
        <v>0</v>
      </c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</row>
    <row r="27" spans="2:47" ht="15.75" thickBot="1" x14ac:dyDescent="0.3">
      <c r="E27" s="159" t="s">
        <v>96</v>
      </c>
      <c r="F27" s="155">
        <f>+'LISTA TRABAJADORES'!F27</f>
        <v>0</v>
      </c>
      <c r="G27" s="155">
        <f>+'LISTA TRABAJADORES'!G27</f>
        <v>0</v>
      </c>
      <c r="H27" s="160">
        <f>+'LISTA TRABAJADORES'!H27</f>
        <v>0</v>
      </c>
      <c r="I27" s="161">
        <f>+'ISR '!I28</f>
        <v>15</v>
      </c>
      <c r="J27" s="162">
        <f t="shared" si="0"/>
        <v>0</v>
      </c>
      <c r="K27" s="175">
        <v>1.0492999999999999</v>
      </c>
      <c r="L27" s="184">
        <f t="shared" si="1"/>
        <v>0</v>
      </c>
      <c r="M27" s="186">
        <f t="shared" si="2"/>
        <v>0</v>
      </c>
      <c r="N27" s="182">
        <v>2.5000000000000001E-3</v>
      </c>
      <c r="O27" s="184">
        <f t="shared" si="8"/>
        <v>0</v>
      </c>
      <c r="P27" s="183">
        <v>3.7499999999999999E-3</v>
      </c>
      <c r="Q27" s="184">
        <f t="shared" si="3"/>
        <v>0</v>
      </c>
      <c r="R27" s="183">
        <v>6.2500000000000003E-3</v>
      </c>
      <c r="S27" s="184">
        <f t="shared" si="4"/>
        <v>0</v>
      </c>
      <c r="T27" s="183">
        <v>1.125E-2</v>
      </c>
      <c r="U27" s="184">
        <f t="shared" si="5"/>
        <v>0</v>
      </c>
      <c r="V27" s="185">
        <v>4.0000000000000001E-3</v>
      </c>
      <c r="W27" s="184">
        <f t="shared" si="6"/>
        <v>0</v>
      </c>
      <c r="X27" s="186">
        <f t="shared" si="7"/>
        <v>0</v>
      </c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</row>
    <row r="28" spans="2:47" ht="15.75" thickBot="1" x14ac:dyDescent="0.3">
      <c r="E28" s="159" t="s">
        <v>97</v>
      </c>
      <c r="F28" s="155">
        <f>+'LISTA TRABAJADORES'!F28</f>
        <v>0</v>
      </c>
      <c r="G28" s="155">
        <f>+'LISTA TRABAJADORES'!G28</f>
        <v>0</v>
      </c>
      <c r="H28" s="160">
        <f>+'LISTA TRABAJADORES'!H28</f>
        <v>0</v>
      </c>
      <c r="I28" s="161">
        <f>+'ISR '!I29</f>
        <v>15</v>
      </c>
      <c r="J28" s="162">
        <f t="shared" si="0"/>
        <v>0</v>
      </c>
      <c r="K28" s="175">
        <v>1.0492999999999999</v>
      </c>
      <c r="L28" s="184">
        <f t="shared" si="1"/>
        <v>0</v>
      </c>
      <c r="M28" s="186">
        <f t="shared" si="2"/>
        <v>0</v>
      </c>
      <c r="N28" s="182">
        <v>2.5000000000000001E-3</v>
      </c>
      <c r="O28" s="184">
        <f t="shared" si="8"/>
        <v>0</v>
      </c>
      <c r="P28" s="183">
        <v>3.7499999999999999E-3</v>
      </c>
      <c r="Q28" s="184">
        <f t="shared" si="3"/>
        <v>0</v>
      </c>
      <c r="R28" s="183">
        <v>6.2500000000000003E-3</v>
      </c>
      <c r="S28" s="184">
        <f t="shared" si="4"/>
        <v>0</v>
      </c>
      <c r="T28" s="183">
        <v>1.125E-2</v>
      </c>
      <c r="U28" s="184">
        <f t="shared" si="5"/>
        <v>0</v>
      </c>
      <c r="V28" s="185">
        <v>4.0000000000000001E-3</v>
      </c>
      <c r="W28" s="184">
        <f t="shared" si="6"/>
        <v>0</v>
      </c>
      <c r="X28" s="186">
        <f t="shared" si="7"/>
        <v>0</v>
      </c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</row>
    <row r="29" spans="2:47" ht="15.75" thickBot="1" x14ac:dyDescent="0.3">
      <c r="E29" s="159" t="s">
        <v>98</v>
      </c>
      <c r="F29" s="155">
        <f>+'LISTA TRABAJADORES'!F29</f>
        <v>0</v>
      </c>
      <c r="G29" s="155">
        <f>+'LISTA TRABAJADORES'!G29</f>
        <v>0</v>
      </c>
      <c r="H29" s="160">
        <f>+'LISTA TRABAJADORES'!H29</f>
        <v>0</v>
      </c>
      <c r="I29" s="161">
        <f>+'ISR '!I30</f>
        <v>15</v>
      </c>
      <c r="J29" s="162">
        <f t="shared" si="0"/>
        <v>0</v>
      </c>
      <c r="K29" s="175">
        <v>1.0492999999999999</v>
      </c>
      <c r="L29" s="184">
        <f t="shared" si="1"/>
        <v>0</v>
      </c>
      <c r="M29" s="186">
        <f t="shared" si="2"/>
        <v>0</v>
      </c>
      <c r="N29" s="182">
        <v>2.5000000000000001E-3</v>
      </c>
      <c r="O29" s="184">
        <f t="shared" si="8"/>
        <v>0</v>
      </c>
      <c r="P29" s="183">
        <v>3.7499999999999999E-3</v>
      </c>
      <c r="Q29" s="184">
        <f t="shared" si="3"/>
        <v>0</v>
      </c>
      <c r="R29" s="183">
        <v>6.2500000000000003E-3</v>
      </c>
      <c r="S29" s="184">
        <f t="shared" si="4"/>
        <v>0</v>
      </c>
      <c r="T29" s="183">
        <v>1.125E-2</v>
      </c>
      <c r="U29" s="184">
        <f t="shared" si="5"/>
        <v>0</v>
      </c>
      <c r="V29" s="185">
        <v>4.0000000000000001E-3</v>
      </c>
      <c r="W29" s="184">
        <f t="shared" si="6"/>
        <v>0</v>
      </c>
      <c r="X29" s="186">
        <f t="shared" si="7"/>
        <v>0</v>
      </c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</row>
    <row r="30" spans="2:47" ht="15.75" thickBot="1" x14ac:dyDescent="0.3">
      <c r="E30" s="159" t="s">
        <v>99</v>
      </c>
      <c r="F30" s="155">
        <f>+'LISTA TRABAJADORES'!F30</f>
        <v>0</v>
      </c>
      <c r="G30" s="155">
        <f>+'LISTA TRABAJADORES'!G30</f>
        <v>0</v>
      </c>
      <c r="H30" s="160">
        <f>+'LISTA TRABAJADORES'!H30</f>
        <v>0</v>
      </c>
      <c r="I30" s="161">
        <f>+'ISR '!I31</f>
        <v>15</v>
      </c>
      <c r="J30" s="162">
        <f t="shared" si="0"/>
        <v>0</v>
      </c>
      <c r="K30" s="175">
        <v>1.0492999999999999</v>
      </c>
      <c r="L30" s="184">
        <f t="shared" si="1"/>
        <v>0</v>
      </c>
      <c r="M30" s="186">
        <f t="shared" si="2"/>
        <v>0</v>
      </c>
      <c r="N30" s="182">
        <v>2.5000000000000001E-3</v>
      </c>
      <c r="O30" s="184">
        <f t="shared" si="8"/>
        <v>0</v>
      </c>
      <c r="P30" s="183">
        <v>3.7499999999999999E-3</v>
      </c>
      <c r="Q30" s="184">
        <f t="shared" si="3"/>
        <v>0</v>
      </c>
      <c r="R30" s="183">
        <v>6.2500000000000003E-3</v>
      </c>
      <c r="S30" s="184">
        <f t="shared" si="4"/>
        <v>0</v>
      </c>
      <c r="T30" s="183">
        <v>1.125E-2</v>
      </c>
      <c r="U30" s="184">
        <f t="shared" si="5"/>
        <v>0</v>
      </c>
      <c r="V30" s="185">
        <v>4.0000000000000001E-3</v>
      </c>
      <c r="W30" s="184">
        <f t="shared" si="6"/>
        <v>0</v>
      </c>
      <c r="X30" s="186">
        <f t="shared" si="7"/>
        <v>0</v>
      </c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</row>
    <row r="31" spans="2:47" ht="15.75" thickBot="1" x14ac:dyDescent="0.3">
      <c r="E31" s="159" t="s">
        <v>100</v>
      </c>
      <c r="F31" s="155">
        <f>+'LISTA TRABAJADORES'!F31</f>
        <v>0</v>
      </c>
      <c r="G31" s="155">
        <f>+'LISTA TRABAJADORES'!G31</f>
        <v>0</v>
      </c>
      <c r="H31" s="160">
        <f>+'LISTA TRABAJADORES'!H31</f>
        <v>0</v>
      </c>
      <c r="I31" s="161">
        <f>+'ISR '!I32</f>
        <v>15</v>
      </c>
      <c r="J31" s="162">
        <f t="shared" si="0"/>
        <v>0</v>
      </c>
      <c r="K31" s="175">
        <v>1.0492999999999999</v>
      </c>
      <c r="L31" s="184">
        <f t="shared" si="1"/>
        <v>0</v>
      </c>
      <c r="M31" s="186">
        <f t="shared" si="2"/>
        <v>0</v>
      </c>
      <c r="N31" s="182">
        <v>2.5000000000000001E-3</v>
      </c>
      <c r="O31" s="184">
        <f t="shared" si="8"/>
        <v>0</v>
      </c>
      <c r="P31" s="183">
        <v>3.7499999999999999E-3</v>
      </c>
      <c r="Q31" s="184">
        <f t="shared" si="3"/>
        <v>0</v>
      </c>
      <c r="R31" s="183">
        <v>6.2500000000000003E-3</v>
      </c>
      <c r="S31" s="184">
        <f t="shared" si="4"/>
        <v>0</v>
      </c>
      <c r="T31" s="183">
        <v>1.125E-2</v>
      </c>
      <c r="U31" s="184">
        <f t="shared" si="5"/>
        <v>0</v>
      </c>
      <c r="V31" s="185">
        <v>4.0000000000000001E-3</v>
      </c>
      <c r="W31" s="184">
        <f t="shared" si="6"/>
        <v>0</v>
      </c>
      <c r="X31" s="186">
        <f t="shared" si="7"/>
        <v>0</v>
      </c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</row>
    <row r="32" spans="2:47" ht="15.75" thickBot="1" x14ac:dyDescent="0.3">
      <c r="E32" s="159" t="s">
        <v>101</v>
      </c>
      <c r="F32" s="155">
        <f>+'LISTA TRABAJADORES'!F32</f>
        <v>0</v>
      </c>
      <c r="G32" s="155">
        <f>+'LISTA TRABAJADORES'!G32</f>
        <v>0</v>
      </c>
      <c r="H32" s="160">
        <f>+'LISTA TRABAJADORES'!H32</f>
        <v>0</v>
      </c>
      <c r="I32" s="161">
        <f>+'ISR '!I33</f>
        <v>15</v>
      </c>
      <c r="J32" s="162">
        <f t="shared" si="0"/>
        <v>0</v>
      </c>
      <c r="K32" s="175">
        <v>1.0492999999999999</v>
      </c>
      <c r="L32" s="184">
        <f t="shared" si="1"/>
        <v>0</v>
      </c>
      <c r="M32" s="186">
        <f t="shared" si="2"/>
        <v>0</v>
      </c>
      <c r="N32" s="182">
        <v>2.5000000000000001E-3</v>
      </c>
      <c r="O32" s="184">
        <f t="shared" si="8"/>
        <v>0</v>
      </c>
      <c r="P32" s="183">
        <v>3.7499999999999999E-3</v>
      </c>
      <c r="Q32" s="184">
        <f t="shared" si="3"/>
        <v>0</v>
      </c>
      <c r="R32" s="183">
        <v>6.2500000000000003E-3</v>
      </c>
      <c r="S32" s="184">
        <f t="shared" si="4"/>
        <v>0</v>
      </c>
      <c r="T32" s="183">
        <v>1.125E-2</v>
      </c>
      <c r="U32" s="184">
        <f t="shared" si="5"/>
        <v>0</v>
      </c>
      <c r="V32" s="185">
        <v>4.0000000000000001E-3</v>
      </c>
      <c r="W32" s="184">
        <f t="shared" si="6"/>
        <v>0</v>
      </c>
      <c r="X32" s="186">
        <f t="shared" si="7"/>
        <v>0</v>
      </c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</row>
    <row r="33" spans="5:47" ht="15.75" thickBot="1" x14ac:dyDescent="0.3">
      <c r="E33" s="159" t="s">
        <v>102</v>
      </c>
      <c r="F33" s="155">
        <f>+'LISTA TRABAJADORES'!F33</f>
        <v>0</v>
      </c>
      <c r="G33" s="155">
        <f>+'LISTA TRABAJADORES'!G33</f>
        <v>0</v>
      </c>
      <c r="H33" s="160">
        <f>+'LISTA TRABAJADORES'!H33</f>
        <v>0</v>
      </c>
      <c r="I33" s="161">
        <f>+'ISR '!I34</f>
        <v>15</v>
      </c>
      <c r="J33" s="162">
        <f t="shared" si="0"/>
        <v>0</v>
      </c>
      <c r="K33" s="175">
        <v>1.0492999999999999</v>
      </c>
      <c r="L33" s="184">
        <f t="shared" si="1"/>
        <v>0</v>
      </c>
      <c r="M33" s="186">
        <f t="shared" si="2"/>
        <v>0</v>
      </c>
      <c r="N33" s="182">
        <v>2.5000000000000001E-3</v>
      </c>
      <c r="O33" s="184">
        <f t="shared" si="8"/>
        <v>0</v>
      </c>
      <c r="P33" s="183">
        <v>3.7499999999999999E-3</v>
      </c>
      <c r="Q33" s="184">
        <f t="shared" si="3"/>
        <v>0</v>
      </c>
      <c r="R33" s="183">
        <v>6.2500000000000003E-3</v>
      </c>
      <c r="S33" s="184">
        <f t="shared" si="4"/>
        <v>0</v>
      </c>
      <c r="T33" s="183">
        <v>1.125E-2</v>
      </c>
      <c r="U33" s="184">
        <f t="shared" si="5"/>
        <v>0</v>
      </c>
      <c r="V33" s="185">
        <v>4.0000000000000001E-3</v>
      </c>
      <c r="W33" s="184">
        <f t="shared" si="6"/>
        <v>0</v>
      </c>
      <c r="X33" s="186">
        <f t="shared" si="7"/>
        <v>0</v>
      </c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</row>
    <row r="34" spans="5:47" ht="15.75" thickBot="1" x14ac:dyDescent="0.3">
      <c r="E34" s="159" t="s">
        <v>103</v>
      </c>
      <c r="F34" s="155">
        <f>+'LISTA TRABAJADORES'!F34</f>
        <v>0</v>
      </c>
      <c r="G34" s="155">
        <f>+'LISTA TRABAJADORES'!G34</f>
        <v>0</v>
      </c>
      <c r="H34" s="160">
        <f>+'LISTA TRABAJADORES'!H34</f>
        <v>0</v>
      </c>
      <c r="I34" s="161">
        <f>+'ISR '!I35</f>
        <v>15</v>
      </c>
      <c r="J34" s="162">
        <f t="shared" si="0"/>
        <v>0</v>
      </c>
      <c r="K34" s="175">
        <v>1.0492999999999999</v>
      </c>
      <c r="L34" s="184">
        <f t="shared" si="1"/>
        <v>0</v>
      </c>
      <c r="M34" s="186">
        <f t="shared" si="2"/>
        <v>0</v>
      </c>
      <c r="N34" s="182">
        <v>2.5000000000000001E-3</v>
      </c>
      <c r="O34" s="184">
        <f t="shared" si="8"/>
        <v>0</v>
      </c>
      <c r="P34" s="183">
        <v>3.7499999999999999E-3</v>
      </c>
      <c r="Q34" s="184">
        <f t="shared" si="3"/>
        <v>0</v>
      </c>
      <c r="R34" s="183">
        <v>6.2500000000000003E-3</v>
      </c>
      <c r="S34" s="184">
        <f t="shared" si="4"/>
        <v>0</v>
      </c>
      <c r="T34" s="183">
        <v>1.125E-2</v>
      </c>
      <c r="U34" s="184">
        <f t="shared" si="5"/>
        <v>0</v>
      </c>
      <c r="V34" s="185">
        <v>4.0000000000000001E-3</v>
      </c>
      <c r="W34" s="184">
        <f t="shared" si="6"/>
        <v>0</v>
      </c>
      <c r="X34" s="186">
        <f t="shared" si="7"/>
        <v>0</v>
      </c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</row>
    <row r="35" spans="5:47" ht="15.75" thickBot="1" x14ac:dyDescent="0.3">
      <c r="E35" s="159" t="s">
        <v>104</v>
      </c>
      <c r="F35" s="155">
        <f>+'LISTA TRABAJADORES'!F35</f>
        <v>0</v>
      </c>
      <c r="G35" s="155">
        <f>+'LISTA TRABAJADORES'!G35</f>
        <v>0</v>
      </c>
      <c r="H35" s="160">
        <f>+'LISTA TRABAJADORES'!H35</f>
        <v>0</v>
      </c>
      <c r="I35" s="161">
        <f>+'ISR '!I36</f>
        <v>15</v>
      </c>
      <c r="J35" s="162">
        <f t="shared" si="0"/>
        <v>0</v>
      </c>
      <c r="K35" s="175">
        <v>1.0492999999999999</v>
      </c>
      <c r="L35" s="184">
        <f t="shared" si="1"/>
        <v>0</v>
      </c>
      <c r="M35" s="186">
        <f t="shared" si="2"/>
        <v>0</v>
      </c>
      <c r="N35" s="182">
        <v>2.5000000000000001E-3</v>
      </c>
      <c r="O35" s="184">
        <f t="shared" si="8"/>
        <v>0</v>
      </c>
      <c r="P35" s="183">
        <v>3.7499999999999999E-3</v>
      </c>
      <c r="Q35" s="184">
        <f t="shared" si="3"/>
        <v>0</v>
      </c>
      <c r="R35" s="183">
        <v>6.2500000000000003E-3</v>
      </c>
      <c r="S35" s="184">
        <f t="shared" si="4"/>
        <v>0</v>
      </c>
      <c r="T35" s="183">
        <v>1.125E-2</v>
      </c>
      <c r="U35" s="184">
        <f t="shared" si="5"/>
        <v>0</v>
      </c>
      <c r="V35" s="185">
        <v>4.0000000000000001E-3</v>
      </c>
      <c r="W35" s="184">
        <f t="shared" si="6"/>
        <v>0</v>
      </c>
      <c r="X35" s="186">
        <f t="shared" si="7"/>
        <v>0</v>
      </c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</row>
    <row r="36" spans="5:47" ht="15.75" thickBot="1" x14ac:dyDescent="0.3">
      <c r="E36" s="159" t="s">
        <v>105</v>
      </c>
      <c r="F36" s="155">
        <f>+'LISTA TRABAJADORES'!F36</f>
        <v>0</v>
      </c>
      <c r="G36" s="155">
        <f>+'LISTA TRABAJADORES'!G36</f>
        <v>0</v>
      </c>
      <c r="H36" s="160">
        <f>+'LISTA TRABAJADORES'!H36</f>
        <v>0</v>
      </c>
      <c r="I36" s="161">
        <f>+'ISR '!I37</f>
        <v>15</v>
      </c>
      <c r="J36" s="162">
        <f t="shared" si="0"/>
        <v>0</v>
      </c>
      <c r="K36" s="175">
        <v>1.0492999999999999</v>
      </c>
      <c r="L36" s="184">
        <f t="shared" si="1"/>
        <v>0</v>
      </c>
      <c r="M36" s="186">
        <f t="shared" si="2"/>
        <v>0</v>
      </c>
      <c r="N36" s="182">
        <v>2.5000000000000001E-3</v>
      </c>
      <c r="O36" s="184">
        <f t="shared" si="8"/>
        <v>0</v>
      </c>
      <c r="P36" s="183">
        <v>3.7499999999999999E-3</v>
      </c>
      <c r="Q36" s="184">
        <f t="shared" si="3"/>
        <v>0</v>
      </c>
      <c r="R36" s="183">
        <v>6.2500000000000003E-3</v>
      </c>
      <c r="S36" s="184">
        <f t="shared" si="4"/>
        <v>0</v>
      </c>
      <c r="T36" s="183">
        <v>1.125E-2</v>
      </c>
      <c r="U36" s="184">
        <f t="shared" si="5"/>
        <v>0</v>
      </c>
      <c r="V36" s="185">
        <v>4.0000000000000001E-3</v>
      </c>
      <c r="W36" s="184">
        <f t="shared" si="6"/>
        <v>0</v>
      </c>
      <c r="X36" s="186">
        <f t="shared" si="7"/>
        <v>0</v>
      </c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</row>
    <row r="37" spans="5:47" ht="15.75" thickBot="1" x14ac:dyDescent="0.3">
      <c r="E37" s="159" t="s">
        <v>106</v>
      </c>
      <c r="F37" s="155">
        <f>+'LISTA TRABAJADORES'!F37</f>
        <v>0</v>
      </c>
      <c r="G37" s="155">
        <f>+'LISTA TRABAJADORES'!G37</f>
        <v>0</v>
      </c>
      <c r="H37" s="160">
        <f>+'LISTA TRABAJADORES'!H37</f>
        <v>0</v>
      </c>
      <c r="I37" s="161">
        <f>+'ISR '!I38</f>
        <v>15</v>
      </c>
      <c r="J37" s="162">
        <f t="shared" si="0"/>
        <v>0</v>
      </c>
      <c r="K37" s="175">
        <v>1.0492999999999999</v>
      </c>
      <c r="L37" s="184">
        <f t="shared" si="1"/>
        <v>0</v>
      </c>
      <c r="M37" s="186">
        <f t="shared" si="2"/>
        <v>0</v>
      </c>
      <c r="N37" s="182">
        <v>2.5000000000000001E-3</v>
      </c>
      <c r="O37" s="184">
        <f t="shared" si="8"/>
        <v>0</v>
      </c>
      <c r="P37" s="183">
        <v>3.7499999999999999E-3</v>
      </c>
      <c r="Q37" s="184">
        <f t="shared" si="3"/>
        <v>0</v>
      </c>
      <c r="R37" s="183">
        <v>6.2500000000000003E-3</v>
      </c>
      <c r="S37" s="184">
        <f t="shared" si="4"/>
        <v>0</v>
      </c>
      <c r="T37" s="183">
        <v>1.125E-2</v>
      </c>
      <c r="U37" s="184">
        <f t="shared" si="5"/>
        <v>0</v>
      </c>
      <c r="V37" s="185">
        <v>4.0000000000000001E-3</v>
      </c>
      <c r="W37" s="184">
        <f t="shared" si="6"/>
        <v>0</v>
      </c>
      <c r="X37" s="186">
        <f t="shared" si="7"/>
        <v>0</v>
      </c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</row>
    <row r="38" spans="5:47" ht="15.75" thickBot="1" x14ac:dyDescent="0.3">
      <c r="E38" s="159" t="s">
        <v>107</v>
      </c>
      <c r="F38" s="155">
        <f>+'LISTA TRABAJADORES'!F38</f>
        <v>0</v>
      </c>
      <c r="G38" s="155">
        <f>+'LISTA TRABAJADORES'!G38</f>
        <v>0</v>
      </c>
      <c r="H38" s="160">
        <f>+'LISTA TRABAJADORES'!H38</f>
        <v>0</v>
      </c>
      <c r="I38" s="161">
        <f>+'ISR '!I39</f>
        <v>15</v>
      </c>
      <c r="J38" s="162">
        <f t="shared" si="0"/>
        <v>0</v>
      </c>
      <c r="K38" s="175">
        <v>1.0492999999999999</v>
      </c>
      <c r="L38" s="184">
        <f t="shared" si="1"/>
        <v>0</v>
      </c>
      <c r="M38" s="186">
        <f t="shared" si="2"/>
        <v>0</v>
      </c>
      <c r="N38" s="182">
        <v>2.5000000000000001E-3</v>
      </c>
      <c r="O38" s="184">
        <f t="shared" si="8"/>
        <v>0</v>
      </c>
      <c r="P38" s="183">
        <v>3.7499999999999999E-3</v>
      </c>
      <c r="Q38" s="184">
        <f t="shared" si="3"/>
        <v>0</v>
      </c>
      <c r="R38" s="183">
        <v>6.2500000000000003E-3</v>
      </c>
      <c r="S38" s="184">
        <f t="shared" si="4"/>
        <v>0</v>
      </c>
      <c r="T38" s="183">
        <v>1.125E-2</v>
      </c>
      <c r="U38" s="184">
        <f t="shared" si="5"/>
        <v>0</v>
      </c>
      <c r="V38" s="185">
        <v>4.0000000000000001E-3</v>
      </c>
      <c r="W38" s="184">
        <f t="shared" si="6"/>
        <v>0</v>
      </c>
      <c r="X38" s="186">
        <f t="shared" si="7"/>
        <v>0</v>
      </c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</row>
    <row r="39" spans="5:47" ht="15.75" thickBot="1" x14ac:dyDescent="0.3">
      <c r="E39" s="159" t="s">
        <v>108</v>
      </c>
      <c r="F39" s="155">
        <f>+'LISTA TRABAJADORES'!F39</f>
        <v>0</v>
      </c>
      <c r="G39" s="155">
        <f>+'LISTA TRABAJADORES'!G39</f>
        <v>0</v>
      </c>
      <c r="H39" s="160">
        <f>+'LISTA TRABAJADORES'!H39</f>
        <v>0</v>
      </c>
      <c r="I39" s="161">
        <f>+'ISR '!I40</f>
        <v>15</v>
      </c>
      <c r="J39" s="162">
        <f t="shared" si="0"/>
        <v>0</v>
      </c>
      <c r="K39" s="175">
        <v>1.0492999999999999</v>
      </c>
      <c r="L39" s="184">
        <f t="shared" si="1"/>
        <v>0</v>
      </c>
      <c r="M39" s="186">
        <f t="shared" si="2"/>
        <v>0</v>
      </c>
      <c r="N39" s="182">
        <v>2.5000000000000001E-3</v>
      </c>
      <c r="O39" s="184">
        <f t="shared" si="8"/>
        <v>0</v>
      </c>
      <c r="P39" s="183">
        <v>3.7499999999999999E-3</v>
      </c>
      <c r="Q39" s="184">
        <f t="shared" si="3"/>
        <v>0</v>
      </c>
      <c r="R39" s="183">
        <v>6.2500000000000003E-3</v>
      </c>
      <c r="S39" s="184">
        <f t="shared" si="4"/>
        <v>0</v>
      </c>
      <c r="T39" s="183">
        <v>1.125E-2</v>
      </c>
      <c r="U39" s="184">
        <f t="shared" si="5"/>
        <v>0</v>
      </c>
      <c r="V39" s="185">
        <v>4.0000000000000001E-3</v>
      </c>
      <c r="W39" s="184">
        <f t="shared" si="6"/>
        <v>0</v>
      </c>
      <c r="X39" s="186">
        <f t="shared" si="7"/>
        <v>0</v>
      </c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</row>
    <row r="40" spans="5:47" ht="15.75" thickBot="1" x14ac:dyDescent="0.3">
      <c r="E40" s="159" t="s">
        <v>109</v>
      </c>
      <c r="F40" s="155">
        <f>+'LISTA TRABAJADORES'!F40</f>
        <v>0</v>
      </c>
      <c r="G40" s="155">
        <f>+'LISTA TRABAJADORES'!G40</f>
        <v>0</v>
      </c>
      <c r="H40" s="160">
        <f>+'LISTA TRABAJADORES'!H40</f>
        <v>0</v>
      </c>
      <c r="I40" s="161">
        <f>+'ISR '!I41</f>
        <v>15</v>
      </c>
      <c r="J40" s="162">
        <f t="shared" si="0"/>
        <v>0</v>
      </c>
      <c r="K40" s="175">
        <v>1.0492999999999999</v>
      </c>
      <c r="L40" s="184">
        <f t="shared" si="1"/>
        <v>0</v>
      </c>
      <c r="M40" s="186">
        <f t="shared" si="2"/>
        <v>0</v>
      </c>
      <c r="N40" s="182">
        <v>2.5000000000000001E-3</v>
      </c>
      <c r="O40" s="184">
        <f t="shared" si="8"/>
        <v>0</v>
      </c>
      <c r="P40" s="183">
        <v>3.7499999999999999E-3</v>
      </c>
      <c r="Q40" s="184">
        <f t="shared" si="3"/>
        <v>0</v>
      </c>
      <c r="R40" s="183">
        <v>6.2500000000000003E-3</v>
      </c>
      <c r="S40" s="184">
        <f t="shared" si="4"/>
        <v>0</v>
      </c>
      <c r="T40" s="183">
        <v>1.125E-2</v>
      </c>
      <c r="U40" s="184">
        <f t="shared" si="5"/>
        <v>0</v>
      </c>
      <c r="V40" s="185">
        <v>4.0000000000000001E-3</v>
      </c>
      <c r="W40" s="184">
        <f t="shared" si="6"/>
        <v>0</v>
      </c>
      <c r="X40" s="186">
        <f t="shared" si="7"/>
        <v>0</v>
      </c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</row>
    <row r="41" spans="5:47" ht="15.75" thickBot="1" x14ac:dyDescent="0.3">
      <c r="E41" s="159" t="s">
        <v>110</v>
      </c>
      <c r="F41" s="155">
        <f>+'LISTA TRABAJADORES'!F41</f>
        <v>0</v>
      </c>
      <c r="G41" s="155">
        <f>+'LISTA TRABAJADORES'!G41</f>
        <v>0</v>
      </c>
      <c r="H41" s="160">
        <f>+'LISTA TRABAJADORES'!H41</f>
        <v>0</v>
      </c>
      <c r="I41" s="161">
        <f>+'ISR '!I42</f>
        <v>15</v>
      </c>
      <c r="J41" s="162">
        <f t="shared" si="0"/>
        <v>0</v>
      </c>
      <c r="K41" s="175">
        <v>1.0492999999999999</v>
      </c>
      <c r="L41" s="184">
        <f t="shared" si="1"/>
        <v>0</v>
      </c>
      <c r="M41" s="186">
        <f t="shared" si="2"/>
        <v>0</v>
      </c>
      <c r="N41" s="182">
        <v>2.5000000000000001E-3</v>
      </c>
      <c r="O41" s="184">
        <f t="shared" si="8"/>
        <v>0</v>
      </c>
      <c r="P41" s="183">
        <v>3.7499999999999999E-3</v>
      </c>
      <c r="Q41" s="184">
        <f t="shared" si="3"/>
        <v>0</v>
      </c>
      <c r="R41" s="183">
        <v>6.2500000000000003E-3</v>
      </c>
      <c r="S41" s="184">
        <f t="shared" si="4"/>
        <v>0</v>
      </c>
      <c r="T41" s="183">
        <v>1.125E-2</v>
      </c>
      <c r="U41" s="184">
        <f t="shared" si="5"/>
        <v>0</v>
      </c>
      <c r="V41" s="185">
        <v>4.0000000000000001E-3</v>
      </c>
      <c r="W41" s="184">
        <f t="shared" si="6"/>
        <v>0</v>
      </c>
      <c r="X41" s="186">
        <f t="shared" si="7"/>
        <v>0</v>
      </c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</row>
    <row r="42" spans="5:47" ht="15.75" thickBot="1" x14ac:dyDescent="0.3">
      <c r="E42" s="159" t="s">
        <v>111</v>
      </c>
      <c r="F42" s="155">
        <f>+'LISTA TRABAJADORES'!F42</f>
        <v>0</v>
      </c>
      <c r="G42" s="155">
        <f>+'LISTA TRABAJADORES'!G42</f>
        <v>0</v>
      </c>
      <c r="H42" s="160">
        <f>+'LISTA TRABAJADORES'!H42</f>
        <v>0</v>
      </c>
      <c r="I42" s="161">
        <f>+'ISR '!I43</f>
        <v>15</v>
      </c>
      <c r="J42" s="162">
        <f t="shared" si="0"/>
        <v>0</v>
      </c>
      <c r="K42" s="175">
        <v>1.0492999999999999</v>
      </c>
      <c r="L42" s="184">
        <f t="shared" si="1"/>
        <v>0</v>
      </c>
      <c r="M42" s="186">
        <f t="shared" si="2"/>
        <v>0</v>
      </c>
      <c r="N42" s="182">
        <v>2.5000000000000001E-3</v>
      </c>
      <c r="O42" s="184">
        <f t="shared" si="8"/>
        <v>0</v>
      </c>
      <c r="P42" s="183">
        <v>3.7499999999999999E-3</v>
      </c>
      <c r="Q42" s="184">
        <f t="shared" si="3"/>
        <v>0</v>
      </c>
      <c r="R42" s="183">
        <v>6.2500000000000003E-3</v>
      </c>
      <c r="S42" s="184">
        <f t="shared" si="4"/>
        <v>0</v>
      </c>
      <c r="T42" s="183">
        <v>1.125E-2</v>
      </c>
      <c r="U42" s="184">
        <f t="shared" si="5"/>
        <v>0</v>
      </c>
      <c r="V42" s="185">
        <v>4.0000000000000001E-3</v>
      </c>
      <c r="W42" s="184">
        <f t="shared" si="6"/>
        <v>0</v>
      </c>
      <c r="X42" s="186">
        <f t="shared" si="7"/>
        <v>0</v>
      </c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</row>
    <row r="43" spans="5:47" ht="15.75" thickBot="1" x14ac:dyDescent="0.3">
      <c r="E43" s="159" t="s">
        <v>112</v>
      </c>
      <c r="F43" s="155">
        <f>+'LISTA TRABAJADORES'!F43</f>
        <v>0</v>
      </c>
      <c r="G43" s="155">
        <f>+'LISTA TRABAJADORES'!G43</f>
        <v>0</v>
      </c>
      <c r="H43" s="160">
        <f>+'LISTA TRABAJADORES'!H43</f>
        <v>0</v>
      </c>
      <c r="I43" s="161">
        <f>+'ISR '!I44</f>
        <v>15</v>
      </c>
      <c r="J43" s="162">
        <f t="shared" si="0"/>
        <v>0</v>
      </c>
      <c r="K43" s="175">
        <v>1.0492999999999999</v>
      </c>
      <c r="L43" s="184">
        <f t="shared" si="1"/>
        <v>0</v>
      </c>
      <c r="M43" s="186">
        <f t="shared" si="2"/>
        <v>0</v>
      </c>
      <c r="N43" s="182">
        <v>2.5000000000000001E-3</v>
      </c>
      <c r="O43" s="184">
        <f t="shared" si="8"/>
        <v>0</v>
      </c>
      <c r="P43" s="183">
        <v>3.7499999999999999E-3</v>
      </c>
      <c r="Q43" s="184">
        <f t="shared" si="3"/>
        <v>0</v>
      </c>
      <c r="R43" s="183">
        <v>6.2500000000000003E-3</v>
      </c>
      <c r="S43" s="184">
        <f t="shared" si="4"/>
        <v>0</v>
      </c>
      <c r="T43" s="183">
        <v>1.125E-2</v>
      </c>
      <c r="U43" s="184">
        <f t="shared" si="5"/>
        <v>0</v>
      </c>
      <c r="V43" s="185">
        <v>4.0000000000000001E-3</v>
      </c>
      <c r="W43" s="184">
        <f t="shared" si="6"/>
        <v>0</v>
      </c>
      <c r="X43" s="186">
        <f t="shared" si="7"/>
        <v>0</v>
      </c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</row>
    <row r="44" spans="5:47" ht="15.75" thickBot="1" x14ac:dyDescent="0.3">
      <c r="E44" s="159" t="s">
        <v>114</v>
      </c>
      <c r="F44" s="155">
        <f>+'LISTA TRABAJADORES'!F44</f>
        <v>0</v>
      </c>
      <c r="G44" s="155">
        <f>+'LISTA TRABAJADORES'!G44</f>
        <v>0</v>
      </c>
      <c r="H44" s="160">
        <f>+'LISTA TRABAJADORES'!H44</f>
        <v>0</v>
      </c>
      <c r="I44" s="161">
        <f>+'ISR '!I45</f>
        <v>15</v>
      </c>
      <c r="J44" s="162">
        <f t="shared" si="0"/>
        <v>0</v>
      </c>
      <c r="K44" s="175">
        <v>1.0492999999999999</v>
      </c>
      <c r="L44" s="184">
        <f t="shared" si="1"/>
        <v>0</v>
      </c>
      <c r="M44" s="186">
        <f t="shared" si="2"/>
        <v>0</v>
      </c>
      <c r="N44" s="182">
        <v>2.5000000000000001E-3</v>
      </c>
      <c r="O44" s="184">
        <f t="shared" si="8"/>
        <v>0</v>
      </c>
      <c r="P44" s="183">
        <v>3.7499999999999999E-3</v>
      </c>
      <c r="Q44" s="184">
        <f t="shared" si="3"/>
        <v>0</v>
      </c>
      <c r="R44" s="183">
        <v>6.2500000000000003E-3</v>
      </c>
      <c r="S44" s="184">
        <f t="shared" si="4"/>
        <v>0</v>
      </c>
      <c r="T44" s="183">
        <v>1.125E-2</v>
      </c>
      <c r="U44" s="184">
        <f t="shared" si="5"/>
        <v>0</v>
      </c>
      <c r="V44" s="185">
        <v>4.0000000000000001E-3</v>
      </c>
      <c r="W44" s="184">
        <f t="shared" si="6"/>
        <v>0</v>
      </c>
      <c r="X44" s="186">
        <f t="shared" si="7"/>
        <v>0</v>
      </c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</row>
    <row r="45" spans="5:47" ht="15.75" thickBot="1" x14ac:dyDescent="0.3">
      <c r="E45" s="159" t="s">
        <v>115</v>
      </c>
      <c r="F45" s="155">
        <f>+'LISTA TRABAJADORES'!F45</f>
        <v>0</v>
      </c>
      <c r="G45" s="155">
        <f>+'LISTA TRABAJADORES'!G45</f>
        <v>0</v>
      </c>
      <c r="H45" s="160">
        <f>+'LISTA TRABAJADORES'!H45</f>
        <v>0</v>
      </c>
      <c r="I45" s="161">
        <f>+'ISR '!I46</f>
        <v>15</v>
      </c>
      <c r="J45" s="162">
        <f t="shared" si="0"/>
        <v>0</v>
      </c>
      <c r="K45" s="175">
        <v>1.0492999999999999</v>
      </c>
      <c r="L45" s="184">
        <f t="shared" si="1"/>
        <v>0</v>
      </c>
      <c r="M45" s="186">
        <f t="shared" si="2"/>
        <v>0</v>
      </c>
      <c r="N45" s="182">
        <v>2.5000000000000001E-3</v>
      </c>
      <c r="O45" s="184">
        <f t="shared" si="8"/>
        <v>0</v>
      </c>
      <c r="P45" s="183">
        <v>3.7499999999999999E-3</v>
      </c>
      <c r="Q45" s="184">
        <f t="shared" si="3"/>
        <v>0</v>
      </c>
      <c r="R45" s="183">
        <v>6.2500000000000003E-3</v>
      </c>
      <c r="S45" s="184">
        <f t="shared" si="4"/>
        <v>0</v>
      </c>
      <c r="T45" s="183">
        <v>1.125E-2</v>
      </c>
      <c r="U45" s="184">
        <f t="shared" si="5"/>
        <v>0</v>
      </c>
      <c r="V45" s="185">
        <v>4.0000000000000001E-3</v>
      </c>
      <c r="W45" s="184">
        <f t="shared" si="6"/>
        <v>0</v>
      </c>
      <c r="X45" s="186">
        <f t="shared" si="7"/>
        <v>0</v>
      </c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</row>
    <row r="46" spans="5:47" ht="15.75" thickBot="1" x14ac:dyDescent="0.3">
      <c r="E46" s="159" t="s">
        <v>116</v>
      </c>
      <c r="F46" s="155">
        <f>+'LISTA TRABAJADORES'!F46</f>
        <v>0</v>
      </c>
      <c r="G46" s="155">
        <f>+'LISTA TRABAJADORES'!G46</f>
        <v>0</v>
      </c>
      <c r="H46" s="160">
        <f>+'LISTA TRABAJADORES'!H46</f>
        <v>0</v>
      </c>
      <c r="I46" s="161">
        <f>+'ISR '!I47</f>
        <v>15</v>
      </c>
      <c r="J46" s="162">
        <f t="shared" si="0"/>
        <v>0</v>
      </c>
      <c r="K46" s="175">
        <v>1.0492999999999999</v>
      </c>
      <c r="L46" s="184">
        <f t="shared" si="1"/>
        <v>0</v>
      </c>
      <c r="M46" s="186">
        <f t="shared" si="2"/>
        <v>0</v>
      </c>
      <c r="N46" s="182">
        <v>2.5000000000000001E-3</v>
      </c>
      <c r="O46" s="184">
        <f t="shared" si="8"/>
        <v>0</v>
      </c>
      <c r="P46" s="183">
        <v>3.7499999999999999E-3</v>
      </c>
      <c r="Q46" s="184">
        <f t="shared" si="3"/>
        <v>0</v>
      </c>
      <c r="R46" s="183">
        <v>6.2500000000000003E-3</v>
      </c>
      <c r="S46" s="184">
        <f t="shared" si="4"/>
        <v>0</v>
      </c>
      <c r="T46" s="183">
        <v>1.125E-2</v>
      </c>
      <c r="U46" s="184">
        <f t="shared" si="5"/>
        <v>0</v>
      </c>
      <c r="V46" s="185">
        <v>4.0000000000000001E-3</v>
      </c>
      <c r="W46" s="184">
        <f t="shared" si="6"/>
        <v>0</v>
      </c>
      <c r="X46" s="186">
        <f t="shared" si="7"/>
        <v>0</v>
      </c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</row>
    <row r="47" spans="5:47" ht="15.75" thickBot="1" x14ac:dyDescent="0.3">
      <c r="E47" s="159" t="s">
        <v>117</v>
      </c>
      <c r="F47" s="155">
        <f>+'LISTA TRABAJADORES'!F47</f>
        <v>0</v>
      </c>
      <c r="G47" s="155">
        <f>+'LISTA TRABAJADORES'!G47</f>
        <v>0</v>
      </c>
      <c r="H47" s="160">
        <f>+'LISTA TRABAJADORES'!H47</f>
        <v>0</v>
      </c>
      <c r="I47" s="161">
        <f>+'ISR '!I48</f>
        <v>15</v>
      </c>
      <c r="J47" s="162">
        <f t="shared" si="0"/>
        <v>0</v>
      </c>
      <c r="K47" s="175">
        <v>1.0492999999999999</v>
      </c>
      <c r="L47" s="184">
        <f t="shared" si="1"/>
        <v>0</v>
      </c>
      <c r="M47" s="186">
        <f t="shared" si="2"/>
        <v>0</v>
      </c>
      <c r="N47" s="182">
        <v>2.5000000000000001E-3</v>
      </c>
      <c r="O47" s="184">
        <f t="shared" si="8"/>
        <v>0</v>
      </c>
      <c r="P47" s="183">
        <v>3.7499999999999999E-3</v>
      </c>
      <c r="Q47" s="184">
        <f t="shared" si="3"/>
        <v>0</v>
      </c>
      <c r="R47" s="183">
        <v>6.2500000000000003E-3</v>
      </c>
      <c r="S47" s="184">
        <f t="shared" si="4"/>
        <v>0</v>
      </c>
      <c r="T47" s="183">
        <v>1.125E-2</v>
      </c>
      <c r="U47" s="184">
        <f t="shared" si="5"/>
        <v>0</v>
      </c>
      <c r="V47" s="185">
        <v>4.0000000000000001E-3</v>
      </c>
      <c r="W47" s="184">
        <f t="shared" si="6"/>
        <v>0</v>
      </c>
      <c r="X47" s="186">
        <f t="shared" si="7"/>
        <v>0</v>
      </c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</row>
    <row r="48" spans="5:47" ht="15.75" thickBot="1" x14ac:dyDescent="0.3">
      <c r="E48" s="159" t="s">
        <v>118</v>
      </c>
      <c r="F48" s="155">
        <f>+'LISTA TRABAJADORES'!F48</f>
        <v>0</v>
      </c>
      <c r="G48" s="155">
        <f>+'LISTA TRABAJADORES'!G48</f>
        <v>0</v>
      </c>
      <c r="H48" s="160">
        <f>+'LISTA TRABAJADORES'!H48</f>
        <v>0</v>
      </c>
      <c r="I48" s="161">
        <f>+'ISR '!I49</f>
        <v>15</v>
      </c>
      <c r="J48" s="162">
        <f t="shared" si="0"/>
        <v>0</v>
      </c>
      <c r="K48" s="175">
        <v>1.0492999999999999</v>
      </c>
      <c r="L48" s="184">
        <f t="shared" si="1"/>
        <v>0</v>
      </c>
      <c r="M48" s="186">
        <f t="shared" si="2"/>
        <v>0</v>
      </c>
      <c r="N48" s="182">
        <v>2.5000000000000001E-3</v>
      </c>
      <c r="O48" s="184">
        <f t="shared" si="8"/>
        <v>0</v>
      </c>
      <c r="P48" s="183">
        <v>3.7499999999999999E-3</v>
      </c>
      <c r="Q48" s="184">
        <f t="shared" si="3"/>
        <v>0</v>
      </c>
      <c r="R48" s="183">
        <v>6.2500000000000003E-3</v>
      </c>
      <c r="S48" s="184">
        <f t="shared" si="4"/>
        <v>0</v>
      </c>
      <c r="T48" s="183">
        <v>1.125E-2</v>
      </c>
      <c r="U48" s="184">
        <f t="shared" si="5"/>
        <v>0</v>
      </c>
      <c r="V48" s="185">
        <v>4.0000000000000001E-3</v>
      </c>
      <c r="W48" s="184">
        <f t="shared" si="6"/>
        <v>0</v>
      </c>
      <c r="X48" s="186">
        <f t="shared" si="7"/>
        <v>0</v>
      </c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</row>
    <row r="49" spans="5:47" ht="15.75" thickBot="1" x14ac:dyDescent="0.3">
      <c r="E49" s="159" t="s">
        <v>119</v>
      </c>
      <c r="F49" s="155">
        <f>+'LISTA TRABAJADORES'!F49</f>
        <v>0</v>
      </c>
      <c r="G49" s="155">
        <f>+'LISTA TRABAJADORES'!G49</f>
        <v>0</v>
      </c>
      <c r="H49" s="160">
        <f>+'LISTA TRABAJADORES'!H49</f>
        <v>0</v>
      </c>
      <c r="I49" s="161">
        <f>+'ISR '!I50</f>
        <v>15</v>
      </c>
      <c r="J49" s="162">
        <f t="shared" si="0"/>
        <v>0</v>
      </c>
      <c r="K49" s="175">
        <v>1.0492999999999999</v>
      </c>
      <c r="L49" s="184">
        <f t="shared" si="1"/>
        <v>0</v>
      </c>
      <c r="M49" s="186">
        <f t="shared" si="2"/>
        <v>0</v>
      </c>
      <c r="N49" s="182">
        <v>2.5000000000000001E-3</v>
      </c>
      <c r="O49" s="184">
        <f t="shared" si="8"/>
        <v>0</v>
      </c>
      <c r="P49" s="183">
        <v>3.7499999999999999E-3</v>
      </c>
      <c r="Q49" s="184">
        <f t="shared" si="3"/>
        <v>0</v>
      </c>
      <c r="R49" s="183">
        <v>6.2500000000000003E-3</v>
      </c>
      <c r="S49" s="184">
        <f t="shared" si="4"/>
        <v>0</v>
      </c>
      <c r="T49" s="183">
        <v>1.125E-2</v>
      </c>
      <c r="U49" s="184">
        <f t="shared" si="5"/>
        <v>0</v>
      </c>
      <c r="V49" s="185">
        <v>4.0000000000000001E-3</v>
      </c>
      <c r="W49" s="184">
        <f t="shared" si="6"/>
        <v>0</v>
      </c>
      <c r="X49" s="186">
        <f t="shared" si="7"/>
        <v>0</v>
      </c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</row>
    <row r="50" spans="5:47" ht="15.75" thickBot="1" x14ac:dyDescent="0.3">
      <c r="E50" s="159" t="s">
        <v>120</v>
      </c>
      <c r="F50" s="155">
        <f>+'LISTA TRABAJADORES'!F50</f>
        <v>0</v>
      </c>
      <c r="G50" s="155">
        <f>+'LISTA TRABAJADORES'!G50</f>
        <v>0</v>
      </c>
      <c r="H50" s="160">
        <f>+'LISTA TRABAJADORES'!H50</f>
        <v>0</v>
      </c>
      <c r="I50" s="161">
        <f>+'ISR '!I51</f>
        <v>15</v>
      </c>
      <c r="J50" s="162">
        <f t="shared" si="0"/>
        <v>0</v>
      </c>
      <c r="K50" s="175">
        <v>1.0492999999999999</v>
      </c>
      <c r="L50" s="184">
        <f t="shared" si="1"/>
        <v>0</v>
      </c>
      <c r="M50" s="186">
        <f t="shared" si="2"/>
        <v>0</v>
      </c>
      <c r="N50" s="182">
        <v>2.5000000000000001E-3</v>
      </c>
      <c r="O50" s="184">
        <f t="shared" si="8"/>
        <v>0</v>
      </c>
      <c r="P50" s="183">
        <v>3.7499999999999999E-3</v>
      </c>
      <c r="Q50" s="184">
        <f t="shared" si="3"/>
        <v>0</v>
      </c>
      <c r="R50" s="183">
        <v>6.2500000000000003E-3</v>
      </c>
      <c r="S50" s="184">
        <f t="shared" si="4"/>
        <v>0</v>
      </c>
      <c r="T50" s="183">
        <v>1.125E-2</v>
      </c>
      <c r="U50" s="184">
        <f t="shared" si="5"/>
        <v>0</v>
      </c>
      <c r="V50" s="185">
        <v>4.0000000000000001E-3</v>
      </c>
      <c r="W50" s="184">
        <f t="shared" si="6"/>
        <v>0</v>
      </c>
      <c r="X50" s="186">
        <f t="shared" si="7"/>
        <v>0</v>
      </c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</row>
    <row r="51" spans="5:47" ht="15.75" thickBot="1" x14ac:dyDescent="0.3">
      <c r="E51" s="159" t="s">
        <v>121</v>
      </c>
      <c r="F51" s="155">
        <f>+'LISTA TRABAJADORES'!F51</f>
        <v>0</v>
      </c>
      <c r="G51" s="155">
        <f>+'LISTA TRABAJADORES'!G51</f>
        <v>0</v>
      </c>
      <c r="H51" s="160">
        <f>+'LISTA TRABAJADORES'!H51</f>
        <v>0</v>
      </c>
      <c r="I51" s="161">
        <f>+'ISR '!I52</f>
        <v>15</v>
      </c>
      <c r="J51" s="162">
        <f t="shared" si="0"/>
        <v>0</v>
      </c>
      <c r="K51" s="175">
        <v>1.0492999999999999</v>
      </c>
      <c r="L51" s="184">
        <f t="shared" si="1"/>
        <v>0</v>
      </c>
      <c r="M51" s="186">
        <f t="shared" si="2"/>
        <v>0</v>
      </c>
      <c r="N51" s="182">
        <v>2.5000000000000001E-3</v>
      </c>
      <c r="O51" s="184">
        <f t="shared" si="8"/>
        <v>0</v>
      </c>
      <c r="P51" s="183">
        <v>3.7499999999999999E-3</v>
      </c>
      <c r="Q51" s="184">
        <f t="shared" si="3"/>
        <v>0</v>
      </c>
      <c r="R51" s="183">
        <v>6.2500000000000003E-3</v>
      </c>
      <c r="S51" s="184">
        <f t="shared" si="4"/>
        <v>0</v>
      </c>
      <c r="T51" s="183">
        <v>1.125E-2</v>
      </c>
      <c r="U51" s="184">
        <f t="shared" si="5"/>
        <v>0</v>
      </c>
      <c r="V51" s="185">
        <v>4.0000000000000001E-3</v>
      </c>
      <c r="W51" s="184">
        <f t="shared" si="6"/>
        <v>0</v>
      </c>
      <c r="X51" s="186">
        <f t="shared" si="7"/>
        <v>0</v>
      </c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</row>
    <row r="52" spans="5:47" ht="15.75" thickBot="1" x14ac:dyDescent="0.3">
      <c r="E52" s="159" t="s">
        <v>122</v>
      </c>
      <c r="F52" s="155">
        <f>+'LISTA TRABAJADORES'!F52</f>
        <v>0</v>
      </c>
      <c r="G52" s="155">
        <f>+'LISTA TRABAJADORES'!G52</f>
        <v>0</v>
      </c>
      <c r="H52" s="160">
        <f>+'LISTA TRABAJADORES'!H52</f>
        <v>0</v>
      </c>
      <c r="I52" s="161">
        <f>+'ISR '!I53</f>
        <v>15</v>
      </c>
      <c r="J52" s="162">
        <f t="shared" si="0"/>
        <v>0</v>
      </c>
      <c r="K52" s="175">
        <v>1.0492999999999999</v>
      </c>
      <c r="L52" s="184">
        <f t="shared" si="1"/>
        <v>0</v>
      </c>
      <c r="M52" s="186">
        <f t="shared" si="2"/>
        <v>0</v>
      </c>
      <c r="N52" s="182">
        <v>2.5000000000000001E-3</v>
      </c>
      <c r="O52" s="184">
        <f t="shared" si="8"/>
        <v>0</v>
      </c>
      <c r="P52" s="183">
        <v>3.7499999999999999E-3</v>
      </c>
      <c r="Q52" s="184">
        <f t="shared" si="3"/>
        <v>0</v>
      </c>
      <c r="R52" s="183">
        <v>6.2500000000000003E-3</v>
      </c>
      <c r="S52" s="184">
        <f t="shared" si="4"/>
        <v>0</v>
      </c>
      <c r="T52" s="183">
        <v>1.125E-2</v>
      </c>
      <c r="U52" s="184">
        <f t="shared" si="5"/>
        <v>0</v>
      </c>
      <c r="V52" s="185">
        <v>4.0000000000000001E-3</v>
      </c>
      <c r="W52" s="184">
        <f t="shared" si="6"/>
        <v>0</v>
      </c>
      <c r="X52" s="186">
        <f t="shared" si="7"/>
        <v>0</v>
      </c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</row>
    <row r="53" spans="5:47" ht="15.75" thickBot="1" x14ac:dyDescent="0.3">
      <c r="E53" s="159" t="s">
        <v>123</v>
      </c>
      <c r="F53" s="155">
        <f>+'LISTA TRABAJADORES'!F53</f>
        <v>0</v>
      </c>
      <c r="G53" s="155">
        <f>+'LISTA TRABAJADORES'!G53</f>
        <v>0</v>
      </c>
      <c r="H53" s="160">
        <f>+'LISTA TRABAJADORES'!H53</f>
        <v>0</v>
      </c>
      <c r="I53" s="161">
        <f>+'ISR '!I54</f>
        <v>15</v>
      </c>
      <c r="J53" s="162">
        <f t="shared" si="0"/>
        <v>0</v>
      </c>
      <c r="K53" s="175">
        <v>1.0492999999999999</v>
      </c>
      <c r="L53" s="184">
        <f t="shared" si="1"/>
        <v>0</v>
      </c>
      <c r="M53" s="186">
        <f t="shared" si="2"/>
        <v>0</v>
      </c>
      <c r="N53" s="182">
        <v>2.5000000000000001E-3</v>
      </c>
      <c r="O53" s="184">
        <f t="shared" si="8"/>
        <v>0</v>
      </c>
      <c r="P53" s="183">
        <v>3.7499999999999999E-3</v>
      </c>
      <c r="Q53" s="184">
        <f t="shared" si="3"/>
        <v>0</v>
      </c>
      <c r="R53" s="183">
        <v>6.2500000000000003E-3</v>
      </c>
      <c r="S53" s="184">
        <f t="shared" si="4"/>
        <v>0</v>
      </c>
      <c r="T53" s="183">
        <v>1.125E-2</v>
      </c>
      <c r="U53" s="184">
        <f t="shared" si="5"/>
        <v>0</v>
      </c>
      <c r="V53" s="185">
        <v>4.0000000000000001E-3</v>
      </c>
      <c r="W53" s="184">
        <f t="shared" si="6"/>
        <v>0</v>
      </c>
      <c r="X53" s="186">
        <f t="shared" si="7"/>
        <v>0</v>
      </c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</row>
    <row r="54" spans="5:47" ht="15.75" thickBot="1" x14ac:dyDescent="0.3">
      <c r="E54" s="159" t="s">
        <v>124</v>
      </c>
      <c r="F54" s="155">
        <f>+'LISTA TRABAJADORES'!F54</f>
        <v>0</v>
      </c>
      <c r="G54" s="155">
        <f>+'LISTA TRABAJADORES'!G54</f>
        <v>0</v>
      </c>
      <c r="H54" s="160">
        <f>+'LISTA TRABAJADORES'!H54</f>
        <v>0</v>
      </c>
      <c r="I54" s="161">
        <f>+'ISR '!I55</f>
        <v>15</v>
      </c>
      <c r="J54" s="162">
        <f t="shared" si="0"/>
        <v>0</v>
      </c>
      <c r="K54" s="175">
        <v>1.0492999999999999</v>
      </c>
      <c r="L54" s="184">
        <f t="shared" si="1"/>
        <v>0</v>
      </c>
      <c r="M54" s="186">
        <f t="shared" si="2"/>
        <v>0</v>
      </c>
      <c r="N54" s="182">
        <v>2.5000000000000001E-3</v>
      </c>
      <c r="O54" s="184">
        <f t="shared" si="8"/>
        <v>0</v>
      </c>
      <c r="P54" s="183">
        <v>3.7499999999999999E-3</v>
      </c>
      <c r="Q54" s="184">
        <f t="shared" si="3"/>
        <v>0</v>
      </c>
      <c r="R54" s="183">
        <v>6.2500000000000003E-3</v>
      </c>
      <c r="S54" s="184">
        <f t="shared" si="4"/>
        <v>0</v>
      </c>
      <c r="T54" s="183">
        <v>1.125E-2</v>
      </c>
      <c r="U54" s="184">
        <f t="shared" si="5"/>
        <v>0</v>
      </c>
      <c r="V54" s="185">
        <v>4.0000000000000001E-3</v>
      </c>
      <c r="W54" s="184">
        <f t="shared" si="6"/>
        <v>0</v>
      </c>
      <c r="X54" s="186">
        <f t="shared" si="7"/>
        <v>0</v>
      </c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</row>
    <row r="55" spans="5:47" ht="15.75" thickBot="1" x14ac:dyDescent="0.3">
      <c r="E55" s="159" t="s">
        <v>125</v>
      </c>
      <c r="F55" s="155">
        <f>+'LISTA TRABAJADORES'!F55</f>
        <v>0</v>
      </c>
      <c r="G55" s="155">
        <f>+'LISTA TRABAJADORES'!G55</f>
        <v>0</v>
      </c>
      <c r="H55" s="160">
        <f>+'LISTA TRABAJADORES'!H55</f>
        <v>0</v>
      </c>
      <c r="I55" s="161">
        <f>+'ISR '!I56</f>
        <v>15</v>
      </c>
      <c r="J55" s="162">
        <f t="shared" si="0"/>
        <v>0</v>
      </c>
      <c r="K55" s="175">
        <v>1.0492999999999999</v>
      </c>
      <c r="L55" s="184">
        <f t="shared" si="1"/>
        <v>0</v>
      </c>
      <c r="M55" s="186">
        <f t="shared" si="2"/>
        <v>0</v>
      </c>
      <c r="N55" s="182">
        <v>2.5000000000000001E-3</v>
      </c>
      <c r="O55" s="184">
        <f t="shared" si="8"/>
        <v>0</v>
      </c>
      <c r="P55" s="183">
        <v>3.7499999999999999E-3</v>
      </c>
      <c r="Q55" s="184">
        <f t="shared" si="3"/>
        <v>0</v>
      </c>
      <c r="R55" s="183">
        <v>6.2500000000000003E-3</v>
      </c>
      <c r="S55" s="184">
        <f t="shared" si="4"/>
        <v>0</v>
      </c>
      <c r="T55" s="183">
        <v>1.125E-2</v>
      </c>
      <c r="U55" s="184">
        <f t="shared" si="5"/>
        <v>0</v>
      </c>
      <c r="V55" s="185">
        <v>4.0000000000000001E-3</v>
      </c>
      <c r="W55" s="184">
        <f t="shared" si="6"/>
        <v>0</v>
      </c>
      <c r="X55" s="186">
        <f t="shared" si="7"/>
        <v>0</v>
      </c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</row>
    <row r="56" spans="5:47" ht="15.75" thickBot="1" x14ac:dyDescent="0.3">
      <c r="E56" s="163" t="s">
        <v>126</v>
      </c>
      <c r="F56" s="155">
        <f>+'LISTA TRABAJADORES'!F56</f>
        <v>0</v>
      </c>
      <c r="G56" s="155">
        <f>+'LISTA TRABAJADORES'!G56</f>
        <v>0</v>
      </c>
      <c r="H56" s="160">
        <f>+'LISTA TRABAJADORES'!H56</f>
        <v>0</v>
      </c>
      <c r="I56" s="161">
        <f>+'ISR '!I57</f>
        <v>15</v>
      </c>
      <c r="J56" s="162">
        <f t="shared" si="0"/>
        <v>0</v>
      </c>
      <c r="K56" s="175">
        <v>1.0492999999999999</v>
      </c>
      <c r="L56" s="184">
        <f t="shared" si="1"/>
        <v>0</v>
      </c>
      <c r="M56" s="186">
        <f t="shared" si="2"/>
        <v>0</v>
      </c>
      <c r="N56" s="187">
        <v>2.5000000000000001E-3</v>
      </c>
      <c r="O56" s="184">
        <f t="shared" si="8"/>
        <v>0</v>
      </c>
      <c r="P56" s="188">
        <v>3.7499999999999999E-3</v>
      </c>
      <c r="Q56" s="184">
        <f t="shared" si="3"/>
        <v>0</v>
      </c>
      <c r="R56" s="188">
        <v>6.2500000000000003E-3</v>
      </c>
      <c r="S56" s="184">
        <f t="shared" si="4"/>
        <v>0</v>
      </c>
      <c r="T56" s="188">
        <v>1.125E-2</v>
      </c>
      <c r="U56" s="184">
        <f t="shared" si="5"/>
        <v>0</v>
      </c>
      <c r="V56" s="189">
        <v>4.0000000000000001E-3</v>
      </c>
      <c r="W56" s="184">
        <f t="shared" si="6"/>
        <v>0</v>
      </c>
      <c r="X56" s="186">
        <f t="shared" si="7"/>
        <v>0</v>
      </c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</row>
    <row r="57" spans="5:47" ht="15.75" thickBot="1" x14ac:dyDescent="0.3">
      <c r="E57" s="164" t="s">
        <v>126</v>
      </c>
      <c r="F57" s="165"/>
      <c r="G57" s="166"/>
      <c r="H57" s="167"/>
      <c r="I57" s="168"/>
      <c r="J57" s="169"/>
      <c r="K57" s="165"/>
      <c r="L57" s="169"/>
      <c r="M57" s="170"/>
      <c r="N57" s="171"/>
      <c r="O57" s="169"/>
      <c r="P57" s="172"/>
      <c r="Q57" s="169"/>
      <c r="R57" s="172"/>
      <c r="S57" s="169"/>
      <c r="T57" s="172"/>
      <c r="U57" s="169"/>
      <c r="V57" s="172"/>
      <c r="W57" s="169"/>
      <c r="X57" s="170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</row>
    <row r="58" spans="5:47" x14ac:dyDescent="0.25">
      <c r="E58" s="144"/>
      <c r="F58" s="144"/>
      <c r="G58" s="144"/>
      <c r="H58" s="173"/>
      <c r="I58" s="174"/>
      <c r="J58" s="173"/>
      <c r="K58" s="144"/>
      <c r="L58" s="173"/>
      <c r="M58" s="173"/>
      <c r="N58" s="144"/>
      <c r="O58" s="173"/>
      <c r="P58" s="144"/>
      <c r="Q58" s="173"/>
      <c r="R58" s="144"/>
      <c r="S58" s="173"/>
      <c r="T58" s="144"/>
      <c r="U58" s="173"/>
      <c r="V58" s="144"/>
      <c r="W58" s="173"/>
      <c r="X58" s="173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</row>
    <row r="59" spans="5:47" x14ac:dyDescent="0.25">
      <c r="E59" s="122"/>
    </row>
    <row r="60" spans="5:47" x14ac:dyDescent="0.25">
      <c r="E60" s="122"/>
    </row>
    <row r="61" spans="5:47" x14ac:dyDescent="0.25">
      <c r="E61" s="122"/>
    </row>
  </sheetData>
  <mergeCells count="27">
    <mergeCell ref="B18:C18"/>
    <mergeCell ref="B2:C3"/>
    <mergeCell ref="B4:C4"/>
    <mergeCell ref="B5:C5"/>
    <mergeCell ref="B6:C6"/>
    <mergeCell ref="B7:C7"/>
    <mergeCell ref="B8:C8"/>
    <mergeCell ref="B9:C9"/>
    <mergeCell ref="B15:C15"/>
    <mergeCell ref="B16:C16"/>
    <mergeCell ref="B17:C17"/>
    <mergeCell ref="B10:C10"/>
    <mergeCell ref="B11:C11"/>
    <mergeCell ref="B12:C12"/>
    <mergeCell ref="B13:C13"/>
    <mergeCell ref="B14:C14"/>
    <mergeCell ref="X4:X6"/>
    <mergeCell ref="H4:M5"/>
    <mergeCell ref="E4:E6"/>
    <mergeCell ref="F4:F6"/>
    <mergeCell ref="G4:G6"/>
    <mergeCell ref="N4:W4"/>
    <mergeCell ref="N5:O5"/>
    <mergeCell ref="P5:Q5"/>
    <mergeCell ref="R5:S5"/>
    <mergeCell ref="T5:U5"/>
    <mergeCell ref="V5:W5"/>
  </mergeCells>
  <hyperlinks>
    <hyperlink ref="B4:C4" location="'Datos y Resumen '!A1" display="DATOS Y RESUMEN" xr:uid="{812C9233-E194-4523-901C-46A1BBF0A8D2}"/>
    <hyperlink ref="B5:C5" location="'LISTA TRABAJADORES'!A1" display="LISTA DE TRABAJADORES" xr:uid="{019AF941-4EF1-4AEC-BB66-FA48224C2B8B}"/>
    <hyperlink ref="B6:C6" location="'ISR '!A1" display="ISR" xr:uid="{E6345901-65CA-4BA1-84CB-EBAEDDA0125E}"/>
    <hyperlink ref="B7:C7" location="'OTRAS PRESTACIONES'!A1" display="OTRAS PRESTACIONES" xr:uid="{4D4A3ADC-2E79-42CF-B9DD-712164F035D5}"/>
    <hyperlink ref="B8:C8" location="'OTRAS RETENCIONES'!A1" display="OTRAS RETENCIONES" xr:uid="{599101D3-EA52-4F75-B8E2-139389B7A8E4}"/>
    <hyperlink ref="B12:C12" location="'CUOTAS IMSS'!A1" display="CUOTAS IMSS" xr:uid="{88FCC106-E03F-450A-AB9F-D7467041B7B8}"/>
    <hyperlink ref="B13:C13" location="'HORAS EXTRAS'!A1" display="HORAS EXTRAS" xr:uid="{1002F594-DC15-4EC8-A500-1D14E0F43271}"/>
    <hyperlink ref="B14:C14" location="AGUINALDO!A1" display="AGUINALDO" xr:uid="{AAD31255-735F-4E51-A234-75C364D33045}"/>
    <hyperlink ref="B15:C15" location="'NOMINA FISCAL'!A1" display="NOMINA FISCAL " xr:uid="{323A11A2-E6B8-4754-B2CB-A31F16D8A9AF}"/>
    <hyperlink ref="B16:C16" location="CONCEN!A1" display="CONCENTRADO" xr:uid="{97A86768-6537-4F2A-BF4D-1C9427FFD358}"/>
    <hyperlink ref="B17:C17" location="'TARIFAS 2025'!A1" display="TARIFAS 2025" xr:uid="{CD285D82-3246-40C1-9DBA-3BFA86005C2C}"/>
    <hyperlink ref="B18:C18" location="'DATOS EXTRAS'!A1" display="DATOS EXTRAS" xr:uid="{C7ADA3AD-869F-41B8-BA9D-5DD582FCCAB8}"/>
  </hyperlinks>
  <pageMargins left="0.7" right="0.7" top="0.75" bottom="0.75" header="0.3" footer="0.3"/>
  <pageSetup orientation="portrait" r:id="rId1"/>
  <ignoredErrors>
    <ignoredError sqref="E7:E57" numberStoredAsText="1"/>
    <ignoredError sqref="O7:X56 L7:M56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ADCDF-D9DC-4B80-8851-9B8F83EA0068}">
  <sheetPr codeName="Hoja11">
    <tabColor theme="3" tint="-0.499984740745262"/>
  </sheetPr>
  <dimension ref="B1:L61"/>
  <sheetViews>
    <sheetView zoomScaleNormal="100" workbookViewId="0">
      <selection activeCell="B2" sqref="B2:C3"/>
    </sheetView>
  </sheetViews>
  <sheetFormatPr baseColWidth="10" defaultRowHeight="15" x14ac:dyDescent="0.25"/>
  <cols>
    <col min="1" max="1" width="1.28515625" style="40" customWidth="1"/>
    <col min="2" max="3" width="10" style="40" customWidth="1"/>
    <col min="4" max="5" width="11.42578125" style="40"/>
    <col min="6" max="6" width="10.85546875" style="40" bestFit="1" customWidth="1"/>
    <col min="7" max="7" width="32.140625" style="40" customWidth="1"/>
    <col min="8" max="9" width="11.42578125" style="40"/>
    <col min="10" max="12" width="11.42578125" style="60"/>
    <col min="13" max="16384" width="11.42578125" style="40"/>
  </cols>
  <sheetData>
    <row r="1" spans="2:12" ht="4.5" customHeight="1" thickBot="1" x14ac:dyDescent="0.3"/>
    <row r="2" spans="2:12" ht="15" customHeight="1" x14ac:dyDescent="0.25">
      <c r="B2" s="300" t="s">
        <v>352</v>
      </c>
      <c r="C2" s="301"/>
    </row>
    <row r="3" spans="2:12" ht="15" customHeight="1" x14ac:dyDescent="0.25">
      <c r="B3" s="302"/>
      <c r="C3" s="303"/>
    </row>
    <row r="4" spans="2:12" x14ac:dyDescent="0.25">
      <c r="B4" s="304" t="s">
        <v>312</v>
      </c>
      <c r="C4" s="305"/>
      <c r="E4" s="326" t="s">
        <v>66</v>
      </c>
      <c r="F4" s="328" t="s">
        <v>53</v>
      </c>
      <c r="G4" s="324" t="s">
        <v>65</v>
      </c>
      <c r="H4" s="357" t="s">
        <v>322</v>
      </c>
      <c r="I4" s="358"/>
      <c r="J4" s="357" t="s">
        <v>325</v>
      </c>
      <c r="K4" s="358"/>
      <c r="L4" s="354" t="s">
        <v>326</v>
      </c>
    </row>
    <row r="5" spans="2:12" x14ac:dyDescent="0.25">
      <c r="B5" s="304" t="s">
        <v>233</v>
      </c>
      <c r="C5" s="305"/>
      <c r="E5" s="327"/>
      <c r="F5" s="329"/>
      <c r="G5" s="325"/>
      <c r="H5" s="73" t="s">
        <v>323</v>
      </c>
      <c r="I5" s="73" t="s">
        <v>324</v>
      </c>
      <c r="J5" s="81" t="s">
        <v>196</v>
      </c>
      <c r="K5" s="81" t="s">
        <v>197</v>
      </c>
      <c r="L5" s="323"/>
    </row>
    <row r="6" spans="2:12" x14ac:dyDescent="0.25">
      <c r="B6" s="304" t="s">
        <v>62</v>
      </c>
      <c r="C6" s="305"/>
      <c r="E6" s="89">
        <v>1</v>
      </c>
      <c r="F6" s="91">
        <f>+'LISTA TRABAJADORES'!F7</f>
        <v>54008317338</v>
      </c>
      <c r="G6" s="91" t="str">
        <f>+'LISTA TRABAJADORES'!G7</f>
        <v>JUAN PABLO CAMINOS</v>
      </c>
      <c r="H6" s="176"/>
      <c r="I6" s="176"/>
      <c r="J6" s="193"/>
      <c r="K6" s="193"/>
      <c r="L6" s="193">
        <f>+J6+K6</f>
        <v>0</v>
      </c>
    </row>
    <row r="7" spans="2:12" x14ac:dyDescent="0.25">
      <c r="B7" s="306" t="s">
        <v>313</v>
      </c>
      <c r="C7" s="307"/>
      <c r="E7" s="89">
        <v>2</v>
      </c>
      <c r="F7" s="91">
        <f>+'LISTA TRABAJADORES'!F8</f>
        <v>4008063127</v>
      </c>
      <c r="G7" s="91" t="str">
        <f>+'LISTA TRABAJADORES'!G8</f>
        <v>HECTOR ULISES GARCIA</v>
      </c>
      <c r="H7" s="176"/>
      <c r="I7" s="176"/>
      <c r="J7" s="193"/>
      <c r="K7" s="193"/>
      <c r="L7" s="193">
        <f t="shared" ref="L7:L55" si="0">+J7+K7</f>
        <v>0</v>
      </c>
    </row>
    <row r="8" spans="2:12" ht="15.75" thickBot="1" x14ac:dyDescent="0.3">
      <c r="B8" s="304" t="s">
        <v>243</v>
      </c>
      <c r="C8" s="305"/>
      <c r="E8" s="89">
        <v>3</v>
      </c>
      <c r="F8" s="91">
        <f>+'LISTA TRABAJADORES'!F9</f>
        <v>4997999471</v>
      </c>
      <c r="G8" s="91" t="str">
        <f>+'LISTA TRABAJADORES'!G9</f>
        <v>MARISOL VILLA</v>
      </c>
      <c r="H8" s="176"/>
      <c r="I8" s="176"/>
      <c r="J8" s="193"/>
      <c r="K8" s="193"/>
      <c r="L8" s="193">
        <f t="shared" si="0"/>
        <v>0</v>
      </c>
    </row>
    <row r="9" spans="2:12" x14ac:dyDescent="0.25">
      <c r="B9" s="310" t="s">
        <v>344</v>
      </c>
      <c r="C9" s="311"/>
      <c r="E9" s="89">
        <v>4</v>
      </c>
      <c r="F9" s="91">
        <f>+'LISTA TRABAJADORES'!F10</f>
        <v>5158985232</v>
      </c>
      <c r="G9" s="91" t="str">
        <f>+'LISTA TRABAJADORES'!G10</f>
        <v>MARCO PEREZ</v>
      </c>
      <c r="H9" s="176"/>
      <c r="I9" s="176"/>
      <c r="J9" s="193"/>
      <c r="K9" s="193"/>
      <c r="L9" s="193">
        <f t="shared" si="0"/>
        <v>0</v>
      </c>
    </row>
    <row r="10" spans="2:12" x14ac:dyDescent="0.25">
      <c r="B10" s="312" t="s">
        <v>345</v>
      </c>
      <c r="C10" s="313"/>
      <c r="E10" s="89">
        <v>5</v>
      </c>
      <c r="F10" s="91">
        <f>+'LISTA TRABAJADORES'!F11</f>
        <v>5478565521</v>
      </c>
      <c r="G10" s="91" t="str">
        <f>+'LISTA TRABAJADORES'!G11</f>
        <v>ALEJANDRO VENEGAS</v>
      </c>
      <c r="H10" s="176"/>
      <c r="I10" s="176"/>
      <c r="J10" s="193"/>
      <c r="K10" s="193"/>
      <c r="L10" s="193">
        <f t="shared" si="0"/>
        <v>0</v>
      </c>
    </row>
    <row r="11" spans="2:12" ht="15.75" thickBot="1" x14ac:dyDescent="0.3">
      <c r="B11" s="314" t="s">
        <v>346</v>
      </c>
      <c r="C11" s="315"/>
      <c r="E11" s="89">
        <v>6</v>
      </c>
      <c r="F11" s="91">
        <f>+'LISTA TRABAJADORES'!F12</f>
        <v>5258525822</v>
      </c>
      <c r="G11" s="91" t="str">
        <f>+'LISTA TRABAJADORES'!G12</f>
        <v>MARTHA ZAVALA</v>
      </c>
      <c r="H11" s="176"/>
      <c r="I11" s="176"/>
      <c r="J11" s="193"/>
      <c r="K11" s="193"/>
      <c r="L11" s="193">
        <f t="shared" si="0"/>
        <v>0</v>
      </c>
    </row>
    <row r="12" spans="2:12" x14ac:dyDescent="0.25">
      <c r="B12" s="304" t="s">
        <v>315</v>
      </c>
      <c r="C12" s="305"/>
      <c r="E12" s="89">
        <v>7</v>
      </c>
      <c r="F12" s="91">
        <f>+'LISTA TRABAJADORES'!F13</f>
        <v>2587566225</v>
      </c>
      <c r="G12" s="91" t="str">
        <f>+'LISTA TRABAJADORES'!G13</f>
        <v>CRISTINA MACIAS</v>
      </c>
      <c r="H12" s="176"/>
      <c r="I12" s="176"/>
      <c r="J12" s="193"/>
      <c r="K12" s="193"/>
      <c r="L12" s="193">
        <f t="shared" si="0"/>
        <v>0</v>
      </c>
    </row>
    <row r="13" spans="2:12" x14ac:dyDescent="0.25">
      <c r="B13" s="304" t="s">
        <v>192</v>
      </c>
      <c r="C13" s="305"/>
      <c r="E13" s="89">
        <v>8</v>
      </c>
      <c r="F13" s="91">
        <f>+'LISTA TRABAJADORES'!F14</f>
        <v>6585422585</v>
      </c>
      <c r="G13" s="91" t="str">
        <f>+'LISTA TRABAJADORES'!G14</f>
        <v>ANTONIO OCAMPOS</v>
      </c>
      <c r="H13" s="176"/>
      <c r="I13" s="176"/>
      <c r="J13" s="193"/>
      <c r="K13" s="193"/>
      <c r="L13" s="193">
        <f t="shared" si="0"/>
        <v>0</v>
      </c>
    </row>
    <row r="14" spans="2:12" x14ac:dyDescent="0.25">
      <c r="B14" s="306" t="s">
        <v>236</v>
      </c>
      <c r="C14" s="307"/>
      <c r="E14" s="89">
        <v>9</v>
      </c>
      <c r="F14" s="91">
        <f>+'LISTA TRABAJADORES'!F15</f>
        <v>0</v>
      </c>
      <c r="G14" s="91">
        <f>+'LISTA TRABAJADORES'!G15</f>
        <v>0</v>
      </c>
      <c r="H14" s="176"/>
      <c r="I14" s="176"/>
      <c r="J14" s="193"/>
      <c r="K14" s="193"/>
      <c r="L14" s="193">
        <f t="shared" si="0"/>
        <v>0</v>
      </c>
    </row>
    <row r="15" spans="2:12" x14ac:dyDescent="0.25">
      <c r="B15" s="304" t="s">
        <v>316</v>
      </c>
      <c r="C15" s="305"/>
      <c r="E15" s="89">
        <v>10</v>
      </c>
      <c r="F15" s="91">
        <f>+'LISTA TRABAJADORES'!F16</f>
        <v>0</v>
      </c>
      <c r="G15" s="91">
        <f>+'LISTA TRABAJADORES'!G16</f>
        <v>0</v>
      </c>
      <c r="H15" s="176"/>
      <c r="I15" s="176"/>
      <c r="J15" s="193"/>
      <c r="K15" s="193"/>
      <c r="L15" s="193">
        <f t="shared" si="0"/>
        <v>0</v>
      </c>
    </row>
    <row r="16" spans="2:12" x14ac:dyDescent="0.25">
      <c r="B16" s="306" t="s">
        <v>244</v>
      </c>
      <c r="C16" s="307"/>
      <c r="E16" s="89">
        <v>11</v>
      </c>
      <c r="F16" s="91">
        <f>+'LISTA TRABAJADORES'!F17</f>
        <v>0</v>
      </c>
      <c r="G16" s="91">
        <f>+'LISTA TRABAJADORES'!G17</f>
        <v>0</v>
      </c>
      <c r="H16" s="176"/>
      <c r="I16" s="176"/>
      <c r="J16" s="193"/>
      <c r="K16" s="193"/>
      <c r="L16" s="193">
        <f t="shared" si="0"/>
        <v>0</v>
      </c>
    </row>
    <row r="17" spans="2:12" x14ac:dyDescent="0.25">
      <c r="B17" s="320" t="s">
        <v>356</v>
      </c>
      <c r="C17" s="321"/>
      <c r="E17" s="89">
        <v>12</v>
      </c>
      <c r="F17" s="91">
        <f>+'LISTA TRABAJADORES'!F18</f>
        <v>0</v>
      </c>
      <c r="G17" s="91">
        <f>+'LISTA TRABAJADORES'!G18</f>
        <v>0</v>
      </c>
      <c r="H17" s="176"/>
      <c r="I17" s="176"/>
      <c r="J17" s="193"/>
      <c r="K17" s="193"/>
      <c r="L17" s="193">
        <f t="shared" si="0"/>
        <v>0</v>
      </c>
    </row>
    <row r="18" spans="2:12" ht="15.75" thickBot="1" x14ac:dyDescent="0.3">
      <c r="B18" s="318" t="s">
        <v>330</v>
      </c>
      <c r="C18" s="319"/>
      <c r="E18" s="89">
        <v>13</v>
      </c>
      <c r="F18" s="91">
        <f>+'LISTA TRABAJADORES'!F19</f>
        <v>0</v>
      </c>
      <c r="G18" s="91">
        <f>+'LISTA TRABAJADORES'!G19</f>
        <v>0</v>
      </c>
      <c r="H18" s="176"/>
      <c r="I18" s="176"/>
      <c r="J18" s="193"/>
      <c r="K18" s="193"/>
      <c r="L18" s="193">
        <f t="shared" si="0"/>
        <v>0</v>
      </c>
    </row>
    <row r="19" spans="2:12" x14ac:dyDescent="0.25">
      <c r="E19" s="89">
        <v>14</v>
      </c>
      <c r="F19" s="91">
        <f>+'LISTA TRABAJADORES'!F20</f>
        <v>0</v>
      </c>
      <c r="G19" s="91">
        <f>+'LISTA TRABAJADORES'!G20</f>
        <v>0</v>
      </c>
      <c r="H19" s="176"/>
      <c r="I19" s="176"/>
      <c r="J19" s="193"/>
      <c r="K19" s="193"/>
      <c r="L19" s="193">
        <f t="shared" si="0"/>
        <v>0</v>
      </c>
    </row>
    <row r="20" spans="2:12" x14ac:dyDescent="0.25">
      <c r="E20" s="89">
        <v>15</v>
      </c>
      <c r="F20" s="91">
        <f>+'LISTA TRABAJADORES'!F21</f>
        <v>0</v>
      </c>
      <c r="G20" s="91">
        <f>+'LISTA TRABAJADORES'!G21</f>
        <v>0</v>
      </c>
      <c r="H20" s="176"/>
      <c r="I20" s="176"/>
      <c r="J20" s="193"/>
      <c r="K20" s="193"/>
      <c r="L20" s="193">
        <f t="shared" si="0"/>
        <v>0</v>
      </c>
    </row>
    <row r="21" spans="2:12" x14ac:dyDescent="0.25">
      <c r="E21" s="89">
        <v>16</v>
      </c>
      <c r="F21" s="91">
        <f>+'LISTA TRABAJADORES'!F22</f>
        <v>0</v>
      </c>
      <c r="G21" s="91">
        <f>+'LISTA TRABAJADORES'!G22</f>
        <v>0</v>
      </c>
      <c r="H21" s="176"/>
      <c r="I21" s="176"/>
      <c r="J21" s="193"/>
      <c r="K21" s="193"/>
      <c r="L21" s="193">
        <f t="shared" si="0"/>
        <v>0</v>
      </c>
    </row>
    <row r="22" spans="2:12" x14ac:dyDescent="0.25">
      <c r="E22" s="89">
        <v>17</v>
      </c>
      <c r="F22" s="91">
        <f>+'LISTA TRABAJADORES'!F23</f>
        <v>0</v>
      </c>
      <c r="G22" s="91">
        <f>+'LISTA TRABAJADORES'!G23</f>
        <v>0</v>
      </c>
      <c r="H22" s="176"/>
      <c r="I22" s="176"/>
      <c r="J22" s="193"/>
      <c r="K22" s="193"/>
      <c r="L22" s="193">
        <f t="shared" si="0"/>
        <v>0</v>
      </c>
    </row>
    <row r="23" spans="2:12" x14ac:dyDescent="0.25">
      <c r="E23" s="89">
        <v>18</v>
      </c>
      <c r="F23" s="91">
        <f>+'LISTA TRABAJADORES'!F24</f>
        <v>0</v>
      </c>
      <c r="G23" s="91">
        <f>+'LISTA TRABAJADORES'!G24</f>
        <v>0</v>
      </c>
      <c r="H23" s="176"/>
      <c r="I23" s="176"/>
      <c r="J23" s="193"/>
      <c r="K23" s="193"/>
      <c r="L23" s="193">
        <f t="shared" si="0"/>
        <v>0</v>
      </c>
    </row>
    <row r="24" spans="2:12" x14ac:dyDescent="0.25">
      <c r="E24" s="89">
        <v>19</v>
      </c>
      <c r="F24" s="91">
        <f>+'LISTA TRABAJADORES'!F25</f>
        <v>0</v>
      </c>
      <c r="G24" s="91">
        <f>+'LISTA TRABAJADORES'!G25</f>
        <v>0</v>
      </c>
      <c r="H24" s="176"/>
      <c r="I24" s="176"/>
      <c r="J24" s="193"/>
      <c r="K24" s="193"/>
      <c r="L24" s="193">
        <f t="shared" si="0"/>
        <v>0</v>
      </c>
    </row>
    <row r="25" spans="2:12" x14ac:dyDescent="0.25">
      <c r="E25" s="89">
        <v>20</v>
      </c>
      <c r="F25" s="91">
        <f>+'LISTA TRABAJADORES'!F26</f>
        <v>0</v>
      </c>
      <c r="G25" s="91">
        <f>+'LISTA TRABAJADORES'!G26</f>
        <v>0</v>
      </c>
      <c r="H25" s="176"/>
      <c r="I25" s="176"/>
      <c r="J25" s="193"/>
      <c r="K25" s="193"/>
      <c r="L25" s="193">
        <f t="shared" si="0"/>
        <v>0</v>
      </c>
    </row>
    <row r="26" spans="2:12" x14ac:dyDescent="0.25">
      <c r="E26" s="89">
        <v>21</v>
      </c>
      <c r="F26" s="91">
        <f>+'LISTA TRABAJADORES'!F27</f>
        <v>0</v>
      </c>
      <c r="G26" s="91">
        <f>+'LISTA TRABAJADORES'!G27</f>
        <v>0</v>
      </c>
      <c r="H26" s="176"/>
      <c r="I26" s="176"/>
      <c r="J26" s="193"/>
      <c r="K26" s="193"/>
      <c r="L26" s="193">
        <f t="shared" si="0"/>
        <v>0</v>
      </c>
    </row>
    <row r="27" spans="2:12" x14ac:dyDescent="0.25">
      <c r="E27" s="89">
        <v>22</v>
      </c>
      <c r="F27" s="91">
        <f>+'LISTA TRABAJADORES'!F28</f>
        <v>0</v>
      </c>
      <c r="G27" s="91">
        <f>+'LISTA TRABAJADORES'!G28</f>
        <v>0</v>
      </c>
      <c r="H27" s="176"/>
      <c r="I27" s="176"/>
      <c r="J27" s="193"/>
      <c r="K27" s="193"/>
      <c r="L27" s="193">
        <f t="shared" si="0"/>
        <v>0</v>
      </c>
    </row>
    <row r="28" spans="2:12" x14ac:dyDescent="0.25">
      <c r="E28" s="89">
        <v>23</v>
      </c>
      <c r="F28" s="91">
        <f>+'LISTA TRABAJADORES'!F29</f>
        <v>0</v>
      </c>
      <c r="G28" s="91">
        <f>+'LISTA TRABAJADORES'!G29</f>
        <v>0</v>
      </c>
      <c r="H28" s="176"/>
      <c r="I28" s="176"/>
      <c r="J28" s="193"/>
      <c r="K28" s="193"/>
      <c r="L28" s="193">
        <f t="shared" si="0"/>
        <v>0</v>
      </c>
    </row>
    <row r="29" spans="2:12" x14ac:dyDescent="0.25">
      <c r="E29" s="89">
        <v>24</v>
      </c>
      <c r="F29" s="91">
        <f>+'LISTA TRABAJADORES'!F30</f>
        <v>0</v>
      </c>
      <c r="G29" s="91">
        <f>+'LISTA TRABAJADORES'!G30</f>
        <v>0</v>
      </c>
      <c r="H29" s="176"/>
      <c r="I29" s="176"/>
      <c r="J29" s="193"/>
      <c r="K29" s="193"/>
      <c r="L29" s="193">
        <f t="shared" si="0"/>
        <v>0</v>
      </c>
    </row>
    <row r="30" spans="2:12" x14ac:dyDescent="0.25">
      <c r="E30" s="89">
        <v>25</v>
      </c>
      <c r="F30" s="91">
        <f>+'LISTA TRABAJADORES'!F31</f>
        <v>0</v>
      </c>
      <c r="G30" s="91">
        <f>+'LISTA TRABAJADORES'!G31</f>
        <v>0</v>
      </c>
      <c r="H30" s="176"/>
      <c r="I30" s="176"/>
      <c r="J30" s="193"/>
      <c r="K30" s="193"/>
      <c r="L30" s="193">
        <f t="shared" si="0"/>
        <v>0</v>
      </c>
    </row>
    <row r="31" spans="2:12" x14ac:dyDescent="0.25">
      <c r="E31" s="89">
        <v>26</v>
      </c>
      <c r="F31" s="91">
        <f>+'LISTA TRABAJADORES'!F32</f>
        <v>0</v>
      </c>
      <c r="G31" s="91">
        <f>+'LISTA TRABAJADORES'!G32</f>
        <v>0</v>
      </c>
      <c r="H31" s="176"/>
      <c r="I31" s="176"/>
      <c r="J31" s="193"/>
      <c r="K31" s="193"/>
      <c r="L31" s="193">
        <f t="shared" si="0"/>
        <v>0</v>
      </c>
    </row>
    <row r="32" spans="2:12" x14ac:dyDescent="0.25">
      <c r="E32" s="89">
        <v>27</v>
      </c>
      <c r="F32" s="91">
        <f>+'LISTA TRABAJADORES'!F33</f>
        <v>0</v>
      </c>
      <c r="G32" s="91">
        <f>+'LISTA TRABAJADORES'!G33</f>
        <v>0</v>
      </c>
      <c r="H32" s="176"/>
      <c r="I32" s="176"/>
      <c r="J32" s="193"/>
      <c r="K32" s="193"/>
      <c r="L32" s="193">
        <f t="shared" si="0"/>
        <v>0</v>
      </c>
    </row>
    <row r="33" spans="5:12" x14ac:dyDescent="0.25">
      <c r="E33" s="89">
        <v>28</v>
      </c>
      <c r="F33" s="91">
        <f>+'LISTA TRABAJADORES'!F34</f>
        <v>0</v>
      </c>
      <c r="G33" s="91">
        <f>+'LISTA TRABAJADORES'!G34</f>
        <v>0</v>
      </c>
      <c r="H33" s="176"/>
      <c r="I33" s="176"/>
      <c r="J33" s="193"/>
      <c r="K33" s="193"/>
      <c r="L33" s="193">
        <f t="shared" si="0"/>
        <v>0</v>
      </c>
    </row>
    <row r="34" spans="5:12" x14ac:dyDescent="0.25">
      <c r="E34" s="89">
        <v>29</v>
      </c>
      <c r="F34" s="91">
        <f>+'LISTA TRABAJADORES'!F35</f>
        <v>0</v>
      </c>
      <c r="G34" s="91">
        <f>+'LISTA TRABAJADORES'!G35</f>
        <v>0</v>
      </c>
      <c r="H34" s="176"/>
      <c r="I34" s="176"/>
      <c r="J34" s="193"/>
      <c r="K34" s="193"/>
      <c r="L34" s="193">
        <f t="shared" si="0"/>
        <v>0</v>
      </c>
    </row>
    <row r="35" spans="5:12" x14ac:dyDescent="0.25">
      <c r="E35" s="89">
        <v>30</v>
      </c>
      <c r="F35" s="91">
        <f>+'LISTA TRABAJADORES'!F36</f>
        <v>0</v>
      </c>
      <c r="G35" s="91">
        <f>+'LISTA TRABAJADORES'!G36</f>
        <v>0</v>
      </c>
      <c r="H35" s="176"/>
      <c r="I35" s="176"/>
      <c r="J35" s="193"/>
      <c r="K35" s="193"/>
      <c r="L35" s="193">
        <f t="shared" si="0"/>
        <v>0</v>
      </c>
    </row>
    <row r="36" spans="5:12" x14ac:dyDescent="0.25">
      <c r="E36" s="89">
        <v>31</v>
      </c>
      <c r="F36" s="91">
        <f>+'LISTA TRABAJADORES'!F37</f>
        <v>0</v>
      </c>
      <c r="G36" s="91">
        <f>+'LISTA TRABAJADORES'!G37</f>
        <v>0</v>
      </c>
      <c r="H36" s="176"/>
      <c r="I36" s="176"/>
      <c r="J36" s="193"/>
      <c r="K36" s="193"/>
      <c r="L36" s="193">
        <f t="shared" si="0"/>
        <v>0</v>
      </c>
    </row>
    <row r="37" spans="5:12" x14ac:dyDescent="0.25">
      <c r="E37" s="89">
        <v>32</v>
      </c>
      <c r="F37" s="91">
        <f>+'LISTA TRABAJADORES'!F38</f>
        <v>0</v>
      </c>
      <c r="G37" s="91">
        <f>+'LISTA TRABAJADORES'!G38</f>
        <v>0</v>
      </c>
      <c r="H37" s="176"/>
      <c r="I37" s="176"/>
      <c r="J37" s="193"/>
      <c r="K37" s="193"/>
      <c r="L37" s="193">
        <f t="shared" si="0"/>
        <v>0</v>
      </c>
    </row>
    <row r="38" spans="5:12" x14ac:dyDescent="0.25">
      <c r="E38" s="89">
        <v>33</v>
      </c>
      <c r="F38" s="91">
        <f>+'LISTA TRABAJADORES'!F39</f>
        <v>0</v>
      </c>
      <c r="G38" s="91">
        <f>+'LISTA TRABAJADORES'!G39</f>
        <v>0</v>
      </c>
      <c r="H38" s="176"/>
      <c r="I38" s="176"/>
      <c r="J38" s="193"/>
      <c r="K38" s="193"/>
      <c r="L38" s="193">
        <f t="shared" si="0"/>
        <v>0</v>
      </c>
    </row>
    <row r="39" spans="5:12" x14ac:dyDescent="0.25">
      <c r="E39" s="89">
        <v>34</v>
      </c>
      <c r="F39" s="91">
        <f>+'LISTA TRABAJADORES'!F40</f>
        <v>0</v>
      </c>
      <c r="G39" s="91">
        <f>+'LISTA TRABAJADORES'!G40</f>
        <v>0</v>
      </c>
      <c r="H39" s="176"/>
      <c r="I39" s="176"/>
      <c r="J39" s="193"/>
      <c r="K39" s="193"/>
      <c r="L39" s="193">
        <f t="shared" si="0"/>
        <v>0</v>
      </c>
    </row>
    <row r="40" spans="5:12" x14ac:dyDescent="0.25">
      <c r="E40" s="89">
        <v>35</v>
      </c>
      <c r="F40" s="91">
        <f>+'LISTA TRABAJADORES'!F41</f>
        <v>0</v>
      </c>
      <c r="G40" s="91">
        <f>+'LISTA TRABAJADORES'!G41</f>
        <v>0</v>
      </c>
      <c r="H40" s="176"/>
      <c r="I40" s="176"/>
      <c r="J40" s="193"/>
      <c r="K40" s="193"/>
      <c r="L40" s="193">
        <f t="shared" si="0"/>
        <v>0</v>
      </c>
    </row>
    <row r="41" spans="5:12" x14ac:dyDescent="0.25">
      <c r="E41" s="89">
        <v>36</v>
      </c>
      <c r="F41" s="91">
        <f>+'LISTA TRABAJADORES'!F42</f>
        <v>0</v>
      </c>
      <c r="G41" s="91">
        <f>+'LISTA TRABAJADORES'!G42</f>
        <v>0</v>
      </c>
      <c r="H41" s="176"/>
      <c r="I41" s="176"/>
      <c r="J41" s="193"/>
      <c r="K41" s="193"/>
      <c r="L41" s="193">
        <f t="shared" si="0"/>
        <v>0</v>
      </c>
    </row>
    <row r="42" spans="5:12" x14ac:dyDescent="0.25">
      <c r="E42" s="89">
        <v>37</v>
      </c>
      <c r="F42" s="91">
        <f>+'LISTA TRABAJADORES'!F43</f>
        <v>0</v>
      </c>
      <c r="G42" s="91">
        <f>+'LISTA TRABAJADORES'!G43</f>
        <v>0</v>
      </c>
      <c r="H42" s="176"/>
      <c r="I42" s="176"/>
      <c r="J42" s="193"/>
      <c r="K42" s="193"/>
      <c r="L42" s="193">
        <f t="shared" si="0"/>
        <v>0</v>
      </c>
    </row>
    <row r="43" spans="5:12" x14ac:dyDescent="0.25">
      <c r="E43" s="89">
        <v>38</v>
      </c>
      <c r="F43" s="91">
        <f>+'LISTA TRABAJADORES'!F44</f>
        <v>0</v>
      </c>
      <c r="G43" s="91">
        <f>+'LISTA TRABAJADORES'!G44</f>
        <v>0</v>
      </c>
      <c r="H43" s="176"/>
      <c r="I43" s="176"/>
      <c r="J43" s="193"/>
      <c r="K43" s="193"/>
      <c r="L43" s="193">
        <f t="shared" si="0"/>
        <v>0</v>
      </c>
    </row>
    <row r="44" spans="5:12" x14ac:dyDescent="0.25">
      <c r="E44" s="89">
        <v>39</v>
      </c>
      <c r="F44" s="91">
        <f>+'LISTA TRABAJADORES'!F45</f>
        <v>0</v>
      </c>
      <c r="G44" s="91">
        <f>+'LISTA TRABAJADORES'!G45</f>
        <v>0</v>
      </c>
      <c r="H44" s="176"/>
      <c r="I44" s="176"/>
      <c r="J44" s="193"/>
      <c r="K44" s="193"/>
      <c r="L44" s="193">
        <f t="shared" si="0"/>
        <v>0</v>
      </c>
    </row>
    <row r="45" spans="5:12" x14ac:dyDescent="0.25">
      <c r="E45" s="89">
        <v>40</v>
      </c>
      <c r="F45" s="91">
        <f>+'LISTA TRABAJADORES'!F46</f>
        <v>0</v>
      </c>
      <c r="G45" s="91">
        <f>+'LISTA TRABAJADORES'!G46</f>
        <v>0</v>
      </c>
      <c r="H45" s="176"/>
      <c r="I45" s="176"/>
      <c r="J45" s="193"/>
      <c r="K45" s="193"/>
      <c r="L45" s="193">
        <f t="shared" si="0"/>
        <v>0</v>
      </c>
    </row>
    <row r="46" spans="5:12" x14ac:dyDescent="0.25">
      <c r="E46" s="89">
        <v>41</v>
      </c>
      <c r="F46" s="91">
        <f>+'LISTA TRABAJADORES'!F47</f>
        <v>0</v>
      </c>
      <c r="G46" s="91">
        <f>+'LISTA TRABAJADORES'!G47</f>
        <v>0</v>
      </c>
      <c r="H46" s="176"/>
      <c r="I46" s="176"/>
      <c r="J46" s="193"/>
      <c r="K46" s="193"/>
      <c r="L46" s="193">
        <f t="shared" si="0"/>
        <v>0</v>
      </c>
    </row>
    <row r="47" spans="5:12" x14ac:dyDescent="0.25">
      <c r="E47" s="89">
        <v>42</v>
      </c>
      <c r="F47" s="91">
        <f>+'LISTA TRABAJADORES'!F48</f>
        <v>0</v>
      </c>
      <c r="G47" s="91">
        <f>+'LISTA TRABAJADORES'!G48</f>
        <v>0</v>
      </c>
      <c r="H47" s="176"/>
      <c r="I47" s="176"/>
      <c r="J47" s="193"/>
      <c r="K47" s="193"/>
      <c r="L47" s="193">
        <f t="shared" si="0"/>
        <v>0</v>
      </c>
    </row>
    <row r="48" spans="5:12" x14ac:dyDescent="0.25">
      <c r="E48" s="89">
        <v>43</v>
      </c>
      <c r="F48" s="91">
        <f>+'LISTA TRABAJADORES'!F49</f>
        <v>0</v>
      </c>
      <c r="G48" s="91">
        <f>+'LISTA TRABAJADORES'!G49</f>
        <v>0</v>
      </c>
      <c r="H48" s="176"/>
      <c r="I48" s="176"/>
      <c r="J48" s="193"/>
      <c r="K48" s="193"/>
      <c r="L48" s="193">
        <f t="shared" si="0"/>
        <v>0</v>
      </c>
    </row>
    <row r="49" spans="4:12" x14ac:dyDescent="0.25">
      <c r="E49" s="89">
        <v>44</v>
      </c>
      <c r="F49" s="91">
        <f>+'LISTA TRABAJADORES'!F50</f>
        <v>0</v>
      </c>
      <c r="G49" s="91">
        <f>+'LISTA TRABAJADORES'!G50</f>
        <v>0</v>
      </c>
      <c r="H49" s="176"/>
      <c r="I49" s="176"/>
      <c r="J49" s="193"/>
      <c r="K49" s="193"/>
      <c r="L49" s="193">
        <f t="shared" si="0"/>
        <v>0</v>
      </c>
    </row>
    <row r="50" spans="4:12" x14ac:dyDescent="0.25">
      <c r="E50" s="89">
        <v>45</v>
      </c>
      <c r="F50" s="91">
        <f>+'LISTA TRABAJADORES'!F51</f>
        <v>0</v>
      </c>
      <c r="G50" s="91">
        <f>+'LISTA TRABAJADORES'!G51</f>
        <v>0</v>
      </c>
      <c r="H50" s="176"/>
      <c r="I50" s="176"/>
      <c r="J50" s="193"/>
      <c r="K50" s="193"/>
      <c r="L50" s="193">
        <f t="shared" si="0"/>
        <v>0</v>
      </c>
    </row>
    <row r="51" spans="4:12" x14ac:dyDescent="0.25">
      <c r="E51" s="89">
        <v>46</v>
      </c>
      <c r="F51" s="91">
        <f>+'LISTA TRABAJADORES'!F52</f>
        <v>0</v>
      </c>
      <c r="G51" s="91">
        <f>+'LISTA TRABAJADORES'!G52</f>
        <v>0</v>
      </c>
      <c r="H51" s="176"/>
      <c r="I51" s="176"/>
      <c r="J51" s="193"/>
      <c r="K51" s="193"/>
      <c r="L51" s="193">
        <f t="shared" si="0"/>
        <v>0</v>
      </c>
    </row>
    <row r="52" spans="4:12" x14ac:dyDescent="0.25">
      <c r="E52" s="89">
        <v>47</v>
      </c>
      <c r="F52" s="91">
        <f>+'LISTA TRABAJADORES'!F53</f>
        <v>0</v>
      </c>
      <c r="G52" s="91">
        <f>+'LISTA TRABAJADORES'!G53</f>
        <v>0</v>
      </c>
      <c r="H52" s="176"/>
      <c r="I52" s="176"/>
      <c r="J52" s="193"/>
      <c r="K52" s="193"/>
      <c r="L52" s="193">
        <f t="shared" si="0"/>
        <v>0</v>
      </c>
    </row>
    <row r="53" spans="4:12" x14ac:dyDescent="0.25">
      <c r="E53" s="89">
        <v>48</v>
      </c>
      <c r="F53" s="91">
        <f>+'LISTA TRABAJADORES'!F54</f>
        <v>0</v>
      </c>
      <c r="G53" s="91">
        <f>+'LISTA TRABAJADORES'!G54</f>
        <v>0</v>
      </c>
      <c r="H53" s="176"/>
      <c r="I53" s="176"/>
      <c r="J53" s="193"/>
      <c r="K53" s="193"/>
      <c r="L53" s="193">
        <f t="shared" si="0"/>
        <v>0</v>
      </c>
    </row>
    <row r="54" spans="4:12" x14ac:dyDescent="0.25">
      <c r="E54" s="89">
        <v>49</v>
      </c>
      <c r="F54" s="91">
        <f>+'LISTA TRABAJADORES'!F55</f>
        <v>0</v>
      </c>
      <c r="G54" s="91">
        <f>+'LISTA TRABAJADORES'!G55</f>
        <v>0</v>
      </c>
      <c r="H54" s="176"/>
      <c r="I54" s="176"/>
      <c r="J54" s="193"/>
      <c r="K54" s="193"/>
      <c r="L54" s="193">
        <f t="shared" si="0"/>
        <v>0</v>
      </c>
    </row>
    <row r="55" spans="4:12" x14ac:dyDescent="0.25">
      <c r="E55" s="100">
        <v>50</v>
      </c>
      <c r="F55" s="91">
        <f>+'LISTA TRABAJADORES'!F56</f>
        <v>0</v>
      </c>
      <c r="G55" s="91">
        <f>+'LISTA TRABAJADORES'!G56</f>
        <v>0</v>
      </c>
      <c r="H55" s="176"/>
      <c r="I55" s="176"/>
      <c r="J55" s="193"/>
      <c r="K55" s="193"/>
      <c r="L55" s="193">
        <f t="shared" si="0"/>
        <v>0</v>
      </c>
    </row>
    <row r="56" spans="4:12" ht="15.75" thickBot="1" x14ac:dyDescent="0.3">
      <c r="E56" s="90">
        <v>50</v>
      </c>
      <c r="F56" s="95"/>
      <c r="G56" s="191"/>
      <c r="H56" s="191"/>
      <c r="I56" s="191"/>
      <c r="J56" s="57"/>
      <c r="K56" s="57"/>
      <c r="L56" s="57">
        <f>SUM(L6:L55)</f>
        <v>0</v>
      </c>
    </row>
    <row r="57" spans="4:12" ht="15.75" thickTop="1" x14ac:dyDescent="0.25"/>
    <row r="59" spans="4:12" x14ac:dyDescent="0.25">
      <c r="D59" s="192"/>
    </row>
    <row r="60" spans="4:12" x14ac:dyDescent="0.25">
      <c r="D60" s="192"/>
    </row>
    <row r="61" spans="4:12" x14ac:dyDescent="0.25">
      <c r="D61" s="192"/>
    </row>
  </sheetData>
  <mergeCells count="22">
    <mergeCell ref="B18:C18"/>
    <mergeCell ref="B16:C16"/>
    <mergeCell ref="B17:C17"/>
    <mergeCell ref="B9:C9"/>
    <mergeCell ref="B10:C10"/>
    <mergeCell ref="B11:C11"/>
    <mergeCell ref="B12:C12"/>
    <mergeCell ref="B13:C13"/>
    <mergeCell ref="B14:C14"/>
    <mergeCell ref="B15:C15"/>
    <mergeCell ref="B8:C8"/>
    <mergeCell ref="B2:C3"/>
    <mergeCell ref="B4:C4"/>
    <mergeCell ref="B5:C5"/>
    <mergeCell ref="B6:C6"/>
    <mergeCell ref="B7:C7"/>
    <mergeCell ref="J4:K4"/>
    <mergeCell ref="L4:L5"/>
    <mergeCell ref="E4:E5"/>
    <mergeCell ref="F4:F5"/>
    <mergeCell ref="G4:G5"/>
    <mergeCell ref="H4:I4"/>
  </mergeCells>
  <hyperlinks>
    <hyperlink ref="B4:C4" location="'Datos y Resumen '!A1" display="DATOS Y RESUMEN" xr:uid="{5AF04067-6678-42D6-B521-E113B32E006E}"/>
    <hyperlink ref="B5:C5" location="'LISTA TRABAJADORES'!A1" display="LISTA DE TRABAJADORES" xr:uid="{5B874A12-8482-4E99-B59B-A8A20207AF67}"/>
    <hyperlink ref="B6:C6" location="'ISR '!A1" display="ISR" xr:uid="{32C19B4B-3B1D-486E-893C-CE56021D2CE0}"/>
    <hyperlink ref="B7:C7" location="'OTRAS PRESTACIONES'!A1" display="OTRAS PRESTACIONES" xr:uid="{A3F514BD-39BB-4335-8BE9-E3EC71EFF638}"/>
    <hyperlink ref="B8:C8" location="'OTRAS RETENCIONES'!A1" display="OTRAS RETENCIONES" xr:uid="{61D3438A-5851-4AB3-B776-D3272331D3B3}"/>
    <hyperlink ref="B12:C12" location="'CUOTAS IMSS'!A1" display="CUOTAS IMSS" xr:uid="{40157A4A-FCEB-4753-8933-28C60B241E98}"/>
    <hyperlink ref="B13:C13" location="'HORAS EXTRAS'!A1" display="HORAS EXTRAS" xr:uid="{21A56CC8-FA14-40CE-A6FE-03B7E768E693}"/>
    <hyperlink ref="B14:C14" location="AGUINALDO!A1" display="AGUINALDO" xr:uid="{C306AC40-F365-4071-A42A-319A46F6983A}"/>
    <hyperlink ref="B15:C15" location="'NOMINA FISCAL'!A1" display="NOMINA FISCAL " xr:uid="{EA660E14-388E-425D-B6F2-D888B6EAF5B0}"/>
    <hyperlink ref="B16:C16" location="CONCEN!A1" display="CONCENTRADO" xr:uid="{2C06618B-E501-4766-9F21-8E25316A5DD9}"/>
    <hyperlink ref="B17:C17" location="'TARIFAS 2025'!A1" display="TARIFAS 2025" xr:uid="{C4D3E3DA-180C-4A48-BF4B-D02DF774C6B6}"/>
    <hyperlink ref="B18:C18" location="'DATOS EXTRAS'!A1" display="DATOS EXTRAS" xr:uid="{6E7F02A8-2788-4BFB-868E-9386A6FA5CEB}"/>
  </hyperlinks>
  <pageMargins left="0.7" right="0.7" top="0.75" bottom="0.75" header="0.3" footer="0.3"/>
  <pageSetup orientation="portrait" r:id="rId1"/>
  <ignoredErrors>
    <ignoredError sqref="L6:L5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FC61-D6A0-42E7-9FC9-0E5F84112187}">
  <sheetPr codeName="Hoja12">
    <tabColor theme="3" tint="-0.499984740745262"/>
  </sheetPr>
  <dimension ref="B1:J61"/>
  <sheetViews>
    <sheetView zoomScaleNormal="100" workbookViewId="0">
      <selection activeCell="B2" sqref="B2:C3"/>
    </sheetView>
  </sheetViews>
  <sheetFormatPr baseColWidth="10" defaultRowHeight="15" x14ac:dyDescent="0.25"/>
  <cols>
    <col min="1" max="1" width="1.140625" style="40" customWidth="1"/>
    <col min="2" max="2" width="9" style="40" customWidth="1"/>
    <col min="3" max="3" width="10.42578125" style="40" customWidth="1"/>
    <col min="4" max="6" width="11.42578125" style="40"/>
    <col min="7" max="7" width="37.5703125" style="40" customWidth="1"/>
    <col min="8" max="16384" width="11.42578125" style="40"/>
  </cols>
  <sheetData>
    <row r="1" spans="2:10" ht="4.5" customHeight="1" thickBot="1" x14ac:dyDescent="0.3"/>
    <row r="2" spans="2:10" ht="15" customHeight="1" thickBot="1" x14ac:dyDescent="0.3">
      <c r="B2" s="300" t="s">
        <v>352</v>
      </c>
      <c r="C2" s="301"/>
      <c r="H2" s="142" t="s">
        <v>189</v>
      </c>
      <c r="I2" s="190">
        <v>108.57</v>
      </c>
    </row>
    <row r="3" spans="2:10" ht="15" customHeight="1" x14ac:dyDescent="0.25">
      <c r="B3" s="302"/>
      <c r="C3" s="303"/>
      <c r="E3" s="326" t="s">
        <v>66</v>
      </c>
      <c r="F3" s="328" t="s">
        <v>53</v>
      </c>
      <c r="G3" s="324" t="s">
        <v>65</v>
      </c>
      <c r="H3" s="357" t="s">
        <v>325</v>
      </c>
      <c r="I3" s="358"/>
      <c r="J3" s="354" t="s">
        <v>326</v>
      </c>
    </row>
    <row r="4" spans="2:10" x14ac:dyDescent="0.25">
      <c r="B4" s="304" t="s">
        <v>312</v>
      </c>
      <c r="C4" s="305"/>
      <c r="E4" s="327"/>
      <c r="F4" s="329"/>
      <c r="G4" s="325"/>
      <c r="H4" s="81" t="s">
        <v>196</v>
      </c>
      <c r="I4" s="255" t="s">
        <v>197</v>
      </c>
      <c r="J4" s="323"/>
    </row>
    <row r="5" spans="2:10" x14ac:dyDescent="0.25">
      <c r="B5" s="304" t="s">
        <v>233</v>
      </c>
      <c r="C5" s="305"/>
      <c r="E5" s="89">
        <v>1</v>
      </c>
      <c r="F5" s="91">
        <f>IFERROR('LISTA TRABAJADORES'!F7,0)</f>
        <v>54008317338</v>
      </c>
      <c r="G5" s="91" t="str">
        <f>+'LISTA TRABAJADORES'!G7</f>
        <v>JUAN PABLO CAMINOS</v>
      </c>
      <c r="H5" s="193"/>
      <c r="I5" s="193"/>
      <c r="J5" s="193">
        <f>+H5+I5</f>
        <v>0</v>
      </c>
    </row>
    <row r="6" spans="2:10" x14ac:dyDescent="0.25">
      <c r="B6" s="304" t="s">
        <v>62</v>
      </c>
      <c r="C6" s="305"/>
      <c r="E6" s="89">
        <v>2</v>
      </c>
      <c r="F6" s="91">
        <f>+'LISTA TRABAJADORES'!F8</f>
        <v>4008063127</v>
      </c>
      <c r="G6" s="91" t="str">
        <f>+'LISTA TRABAJADORES'!G8</f>
        <v>HECTOR ULISES GARCIA</v>
      </c>
      <c r="H6" s="193"/>
      <c r="I6" s="193"/>
      <c r="J6" s="193">
        <f t="shared" ref="J6:J54" si="0">+H6+I6</f>
        <v>0</v>
      </c>
    </row>
    <row r="7" spans="2:10" x14ac:dyDescent="0.25">
      <c r="B7" s="306" t="s">
        <v>313</v>
      </c>
      <c r="C7" s="307"/>
      <c r="E7" s="89">
        <v>3</v>
      </c>
      <c r="F7" s="91">
        <f>+'LISTA TRABAJADORES'!F9</f>
        <v>4997999471</v>
      </c>
      <c r="G7" s="91" t="str">
        <f>+'LISTA TRABAJADORES'!G9</f>
        <v>MARISOL VILLA</v>
      </c>
      <c r="H7" s="193"/>
      <c r="I7" s="193"/>
      <c r="J7" s="193">
        <f t="shared" si="0"/>
        <v>0</v>
      </c>
    </row>
    <row r="8" spans="2:10" ht="15.75" thickBot="1" x14ac:dyDescent="0.3">
      <c r="B8" s="304" t="s">
        <v>243</v>
      </c>
      <c r="C8" s="305"/>
      <c r="E8" s="89">
        <v>4</v>
      </c>
      <c r="F8" s="91">
        <f>+'LISTA TRABAJADORES'!F10</f>
        <v>5158985232</v>
      </c>
      <c r="G8" s="91" t="str">
        <f>+'LISTA TRABAJADORES'!G10</f>
        <v>MARCO PEREZ</v>
      </c>
      <c r="H8" s="193"/>
      <c r="I8" s="193"/>
      <c r="J8" s="193">
        <f t="shared" si="0"/>
        <v>0</v>
      </c>
    </row>
    <row r="9" spans="2:10" x14ac:dyDescent="0.25">
      <c r="B9" s="310" t="s">
        <v>344</v>
      </c>
      <c r="C9" s="311"/>
      <c r="E9" s="89">
        <v>5</v>
      </c>
      <c r="F9" s="91">
        <f>+'LISTA TRABAJADORES'!F11</f>
        <v>5478565521</v>
      </c>
      <c r="G9" s="91" t="str">
        <f>+'LISTA TRABAJADORES'!G11</f>
        <v>ALEJANDRO VENEGAS</v>
      </c>
      <c r="H9" s="193"/>
      <c r="I9" s="193"/>
      <c r="J9" s="193">
        <f t="shared" si="0"/>
        <v>0</v>
      </c>
    </row>
    <row r="10" spans="2:10" x14ac:dyDescent="0.25">
      <c r="B10" s="312" t="s">
        <v>345</v>
      </c>
      <c r="C10" s="313"/>
      <c r="E10" s="89">
        <v>6</v>
      </c>
      <c r="F10" s="91">
        <f>+'LISTA TRABAJADORES'!F12</f>
        <v>5258525822</v>
      </c>
      <c r="G10" s="91" t="str">
        <f>+'LISTA TRABAJADORES'!G12</f>
        <v>MARTHA ZAVALA</v>
      </c>
      <c r="H10" s="193"/>
      <c r="I10" s="193"/>
      <c r="J10" s="193">
        <f t="shared" si="0"/>
        <v>0</v>
      </c>
    </row>
    <row r="11" spans="2:10" ht="15.75" thickBot="1" x14ac:dyDescent="0.3">
      <c r="B11" s="314" t="s">
        <v>346</v>
      </c>
      <c r="C11" s="315"/>
      <c r="E11" s="89">
        <v>7</v>
      </c>
      <c r="F11" s="91">
        <f>+'LISTA TRABAJADORES'!F13</f>
        <v>2587566225</v>
      </c>
      <c r="G11" s="91" t="str">
        <f>+'LISTA TRABAJADORES'!G13</f>
        <v>CRISTINA MACIAS</v>
      </c>
      <c r="H11" s="193"/>
      <c r="I11" s="193"/>
      <c r="J11" s="193">
        <f t="shared" si="0"/>
        <v>0</v>
      </c>
    </row>
    <row r="12" spans="2:10" x14ac:dyDescent="0.25">
      <c r="B12" s="304" t="s">
        <v>315</v>
      </c>
      <c r="C12" s="305"/>
      <c r="E12" s="89">
        <v>8</v>
      </c>
      <c r="F12" s="91">
        <f>+'LISTA TRABAJADORES'!F14</f>
        <v>6585422585</v>
      </c>
      <c r="G12" s="91" t="str">
        <f>+'LISTA TRABAJADORES'!G14</f>
        <v>ANTONIO OCAMPOS</v>
      </c>
      <c r="H12" s="193"/>
      <c r="I12" s="193"/>
      <c r="J12" s="193">
        <f t="shared" si="0"/>
        <v>0</v>
      </c>
    </row>
    <row r="13" spans="2:10" x14ac:dyDescent="0.25">
      <c r="B13" s="304" t="s">
        <v>192</v>
      </c>
      <c r="C13" s="305"/>
      <c r="E13" s="89">
        <v>9</v>
      </c>
      <c r="F13" s="91">
        <f>+'LISTA TRABAJADORES'!F15</f>
        <v>0</v>
      </c>
      <c r="G13" s="91">
        <f>+'LISTA TRABAJADORES'!G15</f>
        <v>0</v>
      </c>
      <c r="H13" s="193"/>
      <c r="I13" s="193"/>
      <c r="J13" s="193">
        <f t="shared" si="0"/>
        <v>0</v>
      </c>
    </row>
    <row r="14" spans="2:10" x14ac:dyDescent="0.25">
      <c r="B14" s="306" t="s">
        <v>236</v>
      </c>
      <c r="C14" s="307"/>
      <c r="E14" s="89">
        <v>10</v>
      </c>
      <c r="F14" s="91">
        <f>+'LISTA TRABAJADORES'!F16</f>
        <v>0</v>
      </c>
      <c r="G14" s="91">
        <f>+'LISTA TRABAJADORES'!G16</f>
        <v>0</v>
      </c>
      <c r="H14" s="193"/>
      <c r="I14" s="193"/>
      <c r="J14" s="193">
        <f t="shared" si="0"/>
        <v>0</v>
      </c>
    </row>
    <row r="15" spans="2:10" x14ac:dyDescent="0.25">
      <c r="B15" s="304" t="s">
        <v>316</v>
      </c>
      <c r="C15" s="305"/>
      <c r="E15" s="89">
        <v>11</v>
      </c>
      <c r="F15" s="91">
        <f>+'LISTA TRABAJADORES'!F17</f>
        <v>0</v>
      </c>
      <c r="G15" s="91">
        <f>+'LISTA TRABAJADORES'!G17</f>
        <v>0</v>
      </c>
      <c r="H15" s="193"/>
      <c r="I15" s="193"/>
      <c r="J15" s="193">
        <f t="shared" si="0"/>
        <v>0</v>
      </c>
    </row>
    <row r="16" spans="2:10" x14ac:dyDescent="0.25">
      <c r="B16" s="306" t="s">
        <v>244</v>
      </c>
      <c r="C16" s="307"/>
      <c r="E16" s="89">
        <v>12</v>
      </c>
      <c r="F16" s="91">
        <f>+'LISTA TRABAJADORES'!F18</f>
        <v>0</v>
      </c>
      <c r="G16" s="91">
        <f>+'LISTA TRABAJADORES'!G18</f>
        <v>0</v>
      </c>
      <c r="H16" s="193"/>
      <c r="I16" s="193"/>
      <c r="J16" s="193">
        <f t="shared" si="0"/>
        <v>0</v>
      </c>
    </row>
    <row r="17" spans="2:10" x14ac:dyDescent="0.25">
      <c r="B17" s="320" t="s">
        <v>356</v>
      </c>
      <c r="C17" s="321"/>
      <c r="E17" s="89">
        <v>13</v>
      </c>
      <c r="F17" s="91">
        <f>+'LISTA TRABAJADORES'!F19</f>
        <v>0</v>
      </c>
      <c r="G17" s="91">
        <f>+'LISTA TRABAJADORES'!G19</f>
        <v>0</v>
      </c>
      <c r="H17" s="193"/>
      <c r="I17" s="193"/>
      <c r="J17" s="193">
        <f t="shared" si="0"/>
        <v>0</v>
      </c>
    </row>
    <row r="18" spans="2:10" ht="15.75" thickBot="1" x14ac:dyDescent="0.3">
      <c r="B18" s="318" t="s">
        <v>330</v>
      </c>
      <c r="C18" s="319"/>
      <c r="E18" s="89">
        <v>14</v>
      </c>
      <c r="F18" s="91">
        <f>+'LISTA TRABAJADORES'!F20</f>
        <v>0</v>
      </c>
      <c r="G18" s="91">
        <f>+'LISTA TRABAJADORES'!G20</f>
        <v>0</v>
      </c>
      <c r="H18" s="193"/>
      <c r="I18" s="193"/>
      <c r="J18" s="193">
        <f t="shared" si="0"/>
        <v>0</v>
      </c>
    </row>
    <row r="19" spans="2:10" x14ac:dyDescent="0.25">
      <c r="E19" s="89">
        <v>15</v>
      </c>
      <c r="F19" s="91">
        <f>+'LISTA TRABAJADORES'!F21</f>
        <v>0</v>
      </c>
      <c r="G19" s="91">
        <f>+'LISTA TRABAJADORES'!G21</f>
        <v>0</v>
      </c>
      <c r="H19" s="193"/>
      <c r="I19" s="193"/>
      <c r="J19" s="193">
        <f t="shared" si="0"/>
        <v>0</v>
      </c>
    </row>
    <row r="20" spans="2:10" x14ac:dyDescent="0.25">
      <c r="E20" s="89">
        <v>16</v>
      </c>
      <c r="F20" s="91">
        <f>+'LISTA TRABAJADORES'!F22</f>
        <v>0</v>
      </c>
      <c r="G20" s="91">
        <f>+'LISTA TRABAJADORES'!G22</f>
        <v>0</v>
      </c>
      <c r="H20" s="193"/>
      <c r="I20" s="193"/>
      <c r="J20" s="193">
        <f t="shared" si="0"/>
        <v>0</v>
      </c>
    </row>
    <row r="21" spans="2:10" x14ac:dyDescent="0.25">
      <c r="E21" s="89">
        <v>17</v>
      </c>
      <c r="F21" s="91">
        <f>+'LISTA TRABAJADORES'!F23</f>
        <v>0</v>
      </c>
      <c r="G21" s="91">
        <f>+'LISTA TRABAJADORES'!G23</f>
        <v>0</v>
      </c>
      <c r="H21" s="193"/>
      <c r="I21" s="193"/>
      <c r="J21" s="193">
        <f t="shared" si="0"/>
        <v>0</v>
      </c>
    </row>
    <row r="22" spans="2:10" x14ac:dyDescent="0.25">
      <c r="E22" s="89">
        <v>18</v>
      </c>
      <c r="F22" s="91">
        <f>+'LISTA TRABAJADORES'!F24</f>
        <v>0</v>
      </c>
      <c r="G22" s="91">
        <f>+'LISTA TRABAJADORES'!G24</f>
        <v>0</v>
      </c>
      <c r="H22" s="193"/>
      <c r="I22" s="193"/>
      <c r="J22" s="193">
        <f t="shared" si="0"/>
        <v>0</v>
      </c>
    </row>
    <row r="23" spans="2:10" x14ac:dyDescent="0.25">
      <c r="E23" s="89">
        <v>19</v>
      </c>
      <c r="F23" s="91">
        <f>+'LISTA TRABAJADORES'!F25</f>
        <v>0</v>
      </c>
      <c r="G23" s="91">
        <f>+'LISTA TRABAJADORES'!G25</f>
        <v>0</v>
      </c>
      <c r="H23" s="193"/>
      <c r="I23" s="193"/>
      <c r="J23" s="193">
        <f t="shared" si="0"/>
        <v>0</v>
      </c>
    </row>
    <row r="24" spans="2:10" x14ac:dyDescent="0.25">
      <c r="E24" s="89">
        <v>20</v>
      </c>
      <c r="F24" s="91">
        <f>+'LISTA TRABAJADORES'!F26</f>
        <v>0</v>
      </c>
      <c r="G24" s="91">
        <f>+'LISTA TRABAJADORES'!G26</f>
        <v>0</v>
      </c>
      <c r="H24" s="193"/>
      <c r="I24" s="193"/>
      <c r="J24" s="193">
        <f t="shared" si="0"/>
        <v>0</v>
      </c>
    </row>
    <row r="25" spans="2:10" x14ac:dyDescent="0.25">
      <c r="E25" s="89">
        <v>21</v>
      </c>
      <c r="F25" s="91">
        <f>+'LISTA TRABAJADORES'!F27</f>
        <v>0</v>
      </c>
      <c r="G25" s="91">
        <f>+'LISTA TRABAJADORES'!G27</f>
        <v>0</v>
      </c>
      <c r="H25" s="193"/>
      <c r="I25" s="193"/>
      <c r="J25" s="193">
        <f t="shared" si="0"/>
        <v>0</v>
      </c>
    </row>
    <row r="26" spans="2:10" x14ac:dyDescent="0.25">
      <c r="E26" s="89">
        <v>22</v>
      </c>
      <c r="F26" s="91">
        <f>+'LISTA TRABAJADORES'!F28</f>
        <v>0</v>
      </c>
      <c r="G26" s="91">
        <f>+'LISTA TRABAJADORES'!G28</f>
        <v>0</v>
      </c>
      <c r="H26" s="193"/>
      <c r="I26" s="193"/>
      <c r="J26" s="193">
        <f t="shared" si="0"/>
        <v>0</v>
      </c>
    </row>
    <row r="27" spans="2:10" x14ac:dyDescent="0.25">
      <c r="E27" s="89">
        <v>23</v>
      </c>
      <c r="F27" s="91">
        <f>+'LISTA TRABAJADORES'!F29</f>
        <v>0</v>
      </c>
      <c r="G27" s="91">
        <f>+'LISTA TRABAJADORES'!G29</f>
        <v>0</v>
      </c>
      <c r="H27" s="193"/>
      <c r="I27" s="193"/>
      <c r="J27" s="193">
        <f t="shared" si="0"/>
        <v>0</v>
      </c>
    </row>
    <row r="28" spans="2:10" x14ac:dyDescent="0.25">
      <c r="E28" s="89">
        <v>24</v>
      </c>
      <c r="F28" s="91">
        <f>+'LISTA TRABAJADORES'!F30</f>
        <v>0</v>
      </c>
      <c r="G28" s="91">
        <f>+'LISTA TRABAJADORES'!G30</f>
        <v>0</v>
      </c>
      <c r="H28" s="193"/>
      <c r="I28" s="193"/>
      <c r="J28" s="193">
        <f t="shared" si="0"/>
        <v>0</v>
      </c>
    </row>
    <row r="29" spans="2:10" x14ac:dyDescent="0.25">
      <c r="E29" s="89">
        <v>25</v>
      </c>
      <c r="F29" s="91">
        <f>+'LISTA TRABAJADORES'!F31</f>
        <v>0</v>
      </c>
      <c r="G29" s="91">
        <f>+'LISTA TRABAJADORES'!G31</f>
        <v>0</v>
      </c>
      <c r="H29" s="193"/>
      <c r="I29" s="193"/>
      <c r="J29" s="193">
        <f t="shared" si="0"/>
        <v>0</v>
      </c>
    </row>
    <row r="30" spans="2:10" x14ac:dyDescent="0.25">
      <c r="E30" s="89">
        <v>26</v>
      </c>
      <c r="F30" s="91">
        <f>+'LISTA TRABAJADORES'!F32</f>
        <v>0</v>
      </c>
      <c r="G30" s="91">
        <f>+'LISTA TRABAJADORES'!G32</f>
        <v>0</v>
      </c>
      <c r="H30" s="193"/>
      <c r="I30" s="193"/>
      <c r="J30" s="193">
        <f t="shared" si="0"/>
        <v>0</v>
      </c>
    </row>
    <row r="31" spans="2:10" x14ac:dyDescent="0.25">
      <c r="E31" s="89">
        <v>27</v>
      </c>
      <c r="F31" s="91">
        <f>+'LISTA TRABAJADORES'!F33</f>
        <v>0</v>
      </c>
      <c r="G31" s="91">
        <f>+'LISTA TRABAJADORES'!G33</f>
        <v>0</v>
      </c>
      <c r="H31" s="193"/>
      <c r="I31" s="193"/>
      <c r="J31" s="193">
        <f t="shared" si="0"/>
        <v>0</v>
      </c>
    </row>
    <row r="32" spans="2:10" x14ac:dyDescent="0.25">
      <c r="E32" s="89">
        <v>28</v>
      </c>
      <c r="F32" s="91">
        <f>+'LISTA TRABAJADORES'!F34</f>
        <v>0</v>
      </c>
      <c r="G32" s="91">
        <f>+'LISTA TRABAJADORES'!G34</f>
        <v>0</v>
      </c>
      <c r="H32" s="193"/>
      <c r="I32" s="193"/>
      <c r="J32" s="193">
        <f t="shared" si="0"/>
        <v>0</v>
      </c>
    </row>
    <row r="33" spans="5:10" x14ac:dyDescent="0.25">
      <c r="E33" s="89">
        <v>29</v>
      </c>
      <c r="F33" s="91">
        <f>+'LISTA TRABAJADORES'!F35</f>
        <v>0</v>
      </c>
      <c r="G33" s="91">
        <f>+'LISTA TRABAJADORES'!G35</f>
        <v>0</v>
      </c>
      <c r="H33" s="193"/>
      <c r="I33" s="193"/>
      <c r="J33" s="193">
        <f t="shared" si="0"/>
        <v>0</v>
      </c>
    </row>
    <row r="34" spans="5:10" x14ac:dyDescent="0.25">
      <c r="E34" s="89">
        <v>30</v>
      </c>
      <c r="F34" s="91">
        <f>+'LISTA TRABAJADORES'!F36</f>
        <v>0</v>
      </c>
      <c r="G34" s="91">
        <f>+'LISTA TRABAJADORES'!G36</f>
        <v>0</v>
      </c>
      <c r="H34" s="193"/>
      <c r="I34" s="193"/>
      <c r="J34" s="193">
        <f t="shared" si="0"/>
        <v>0</v>
      </c>
    </row>
    <row r="35" spans="5:10" x14ac:dyDescent="0.25">
      <c r="E35" s="89">
        <v>31</v>
      </c>
      <c r="F35" s="91">
        <f>+'LISTA TRABAJADORES'!F37</f>
        <v>0</v>
      </c>
      <c r="G35" s="91">
        <f>+'LISTA TRABAJADORES'!G37</f>
        <v>0</v>
      </c>
      <c r="H35" s="193"/>
      <c r="I35" s="193"/>
      <c r="J35" s="193">
        <f t="shared" si="0"/>
        <v>0</v>
      </c>
    </row>
    <row r="36" spans="5:10" x14ac:dyDescent="0.25">
      <c r="E36" s="89">
        <v>32</v>
      </c>
      <c r="F36" s="91">
        <f>+'LISTA TRABAJADORES'!F38</f>
        <v>0</v>
      </c>
      <c r="G36" s="91">
        <f>+'LISTA TRABAJADORES'!G38</f>
        <v>0</v>
      </c>
      <c r="H36" s="193"/>
      <c r="I36" s="193"/>
      <c r="J36" s="193">
        <f t="shared" si="0"/>
        <v>0</v>
      </c>
    </row>
    <row r="37" spans="5:10" x14ac:dyDescent="0.25">
      <c r="E37" s="89">
        <v>33</v>
      </c>
      <c r="F37" s="91">
        <f>+'LISTA TRABAJADORES'!F39</f>
        <v>0</v>
      </c>
      <c r="G37" s="91">
        <f>+'LISTA TRABAJADORES'!G39</f>
        <v>0</v>
      </c>
      <c r="H37" s="193"/>
      <c r="I37" s="193"/>
      <c r="J37" s="193">
        <f t="shared" si="0"/>
        <v>0</v>
      </c>
    </row>
    <row r="38" spans="5:10" x14ac:dyDescent="0.25">
      <c r="E38" s="89">
        <v>34</v>
      </c>
      <c r="F38" s="91">
        <f>+'LISTA TRABAJADORES'!F40</f>
        <v>0</v>
      </c>
      <c r="G38" s="91">
        <f>+'LISTA TRABAJADORES'!G40</f>
        <v>0</v>
      </c>
      <c r="H38" s="193"/>
      <c r="I38" s="193"/>
      <c r="J38" s="193">
        <f t="shared" si="0"/>
        <v>0</v>
      </c>
    </row>
    <row r="39" spans="5:10" x14ac:dyDescent="0.25">
      <c r="E39" s="89">
        <v>35</v>
      </c>
      <c r="F39" s="91">
        <f>+'LISTA TRABAJADORES'!F41</f>
        <v>0</v>
      </c>
      <c r="G39" s="91">
        <f>+'LISTA TRABAJADORES'!G41</f>
        <v>0</v>
      </c>
      <c r="H39" s="193"/>
      <c r="I39" s="193"/>
      <c r="J39" s="193">
        <f t="shared" si="0"/>
        <v>0</v>
      </c>
    </row>
    <row r="40" spans="5:10" x14ac:dyDescent="0.25">
      <c r="E40" s="89">
        <v>36</v>
      </c>
      <c r="F40" s="91">
        <f>+'LISTA TRABAJADORES'!F42</f>
        <v>0</v>
      </c>
      <c r="G40" s="91">
        <f>+'LISTA TRABAJADORES'!G42</f>
        <v>0</v>
      </c>
      <c r="H40" s="193"/>
      <c r="I40" s="193"/>
      <c r="J40" s="193">
        <f t="shared" si="0"/>
        <v>0</v>
      </c>
    </row>
    <row r="41" spans="5:10" x14ac:dyDescent="0.25">
      <c r="E41" s="89">
        <v>37</v>
      </c>
      <c r="F41" s="91">
        <f>+'LISTA TRABAJADORES'!F43</f>
        <v>0</v>
      </c>
      <c r="G41" s="91">
        <f>+'LISTA TRABAJADORES'!G43</f>
        <v>0</v>
      </c>
      <c r="H41" s="193"/>
      <c r="I41" s="193"/>
      <c r="J41" s="193">
        <f t="shared" si="0"/>
        <v>0</v>
      </c>
    </row>
    <row r="42" spans="5:10" x14ac:dyDescent="0.25">
      <c r="E42" s="89">
        <v>38</v>
      </c>
      <c r="F42" s="91">
        <f>+'LISTA TRABAJADORES'!F44</f>
        <v>0</v>
      </c>
      <c r="G42" s="91">
        <f>+'LISTA TRABAJADORES'!G44</f>
        <v>0</v>
      </c>
      <c r="H42" s="193"/>
      <c r="I42" s="193"/>
      <c r="J42" s="193">
        <f t="shared" si="0"/>
        <v>0</v>
      </c>
    </row>
    <row r="43" spans="5:10" x14ac:dyDescent="0.25">
      <c r="E43" s="89">
        <v>39</v>
      </c>
      <c r="F43" s="91">
        <f>+'LISTA TRABAJADORES'!F45</f>
        <v>0</v>
      </c>
      <c r="G43" s="91">
        <f>+'LISTA TRABAJADORES'!G45</f>
        <v>0</v>
      </c>
      <c r="H43" s="193"/>
      <c r="I43" s="193"/>
      <c r="J43" s="193">
        <f t="shared" si="0"/>
        <v>0</v>
      </c>
    </row>
    <row r="44" spans="5:10" x14ac:dyDescent="0.25">
      <c r="E44" s="89">
        <v>40</v>
      </c>
      <c r="F44" s="91">
        <f>+'LISTA TRABAJADORES'!F46</f>
        <v>0</v>
      </c>
      <c r="G44" s="91">
        <f>+'LISTA TRABAJADORES'!G46</f>
        <v>0</v>
      </c>
      <c r="H44" s="193"/>
      <c r="I44" s="193"/>
      <c r="J44" s="193">
        <f t="shared" si="0"/>
        <v>0</v>
      </c>
    </row>
    <row r="45" spans="5:10" x14ac:dyDescent="0.25">
      <c r="E45" s="89">
        <v>41</v>
      </c>
      <c r="F45" s="91">
        <f>+'LISTA TRABAJADORES'!F47</f>
        <v>0</v>
      </c>
      <c r="G45" s="91">
        <f>+'LISTA TRABAJADORES'!G47</f>
        <v>0</v>
      </c>
      <c r="H45" s="193"/>
      <c r="I45" s="193"/>
      <c r="J45" s="193">
        <f t="shared" si="0"/>
        <v>0</v>
      </c>
    </row>
    <row r="46" spans="5:10" x14ac:dyDescent="0.25">
      <c r="E46" s="89">
        <v>42</v>
      </c>
      <c r="F46" s="91">
        <f>+'LISTA TRABAJADORES'!F48</f>
        <v>0</v>
      </c>
      <c r="G46" s="91">
        <f>+'LISTA TRABAJADORES'!G48</f>
        <v>0</v>
      </c>
      <c r="H46" s="193"/>
      <c r="I46" s="193"/>
      <c r="J46" s="193">
        <f t="shared" si="0"/>
        <v>0</v>
      </c>
    </row>
    <row r="47" spans="5:10" x14ac:dyDescent="0.25">
      <c r="E47" s="89">
        <v>43</v>
      </c>
      <c r="F47" s="91">
        <f>+'LISTA TRABAJADORES'!F49</f>
        <v>0</v>
      </c>
      <c r="G47" s="91">
        <f>+'LISTA TRABAJADORES'!G49</f>
        <v>0</v>
      </c>
      <c r="H47" s="193"/>
      <c r="I47" s="193"/>
      <c r="J47" s="193">
        <f t="shared" si="0"/>
        <v>0</v>
      </c>
    </row>
    <row r="48" spans="5:10" x14ac:dyDescent="0.25">
      <c r="E48" s="89">
        <v>44</v>
      </c>
      <c r="F48" s="91">
        <f>+'LISTA TRABAJADORES'!F50</f>
        <v>0</v>
      </c>
      <c r="G48" s="91">
        <f>+'LISTA TRABAJADORES'!G50</f>
        <v>0</v>
      </c>
      <c r="H48" s="193"/>
      <c r="I48" s="193"/>
      <c r="J48" s="193">
        <f t="shared" si="0"/>
        <v>0</v>
      </c>
    </row>
    <row r="49" spans="5:10" x14ac:dyDescent="0.25">
      <c r="E49" s="89">
        <v>45</v>
      </c>
      <c r="F49" s="91">
        <f>+'LISTA TRABAJADORES'!F51</f>
        <v>0</v>
      </c>
      <c r="G49" s="91">
        <f>+'LISTA TRABAJADORES'!G51</f>
        <v>0</v>
      </c>
      <c r="H49" s="193"/>
      <c r="I49" s="193"/>
      <c r="J49" s="193">
        <f t="shared" si="0"/>
        <v>0</v>
      </c>
    </row>
    <row r="50" spans="5:10" x14ac:dyDescent="0.25">
      <c r="E50" s="89">
        <v>46</v>
      </c>
      <c r="F50" s="91">
        <f>+'LISTA TRABAJADORES'!F52</f>
        <v>0</v>
      </c>
      <c r="G50" s="91">
        <f>+'LISTA TRABAJADORES'!G52</f>
        <v>0</v>
      </c>
      <c r="H50" s="193"/>
      <c r="I50" s="193"/>
      <c r="J50" s="193">
        <f t="shared" si="0"/>
        <v>0</v>
      </c>
    </row>
    <row r="51" spans="5:10" x14ac:dyDescent="0.25">
      <c r="E51" s="89">
        <v>47</v>
      </c>
      <c r="F51" s="91">
        <f>+'LISTA TRABAJADORES'!F53</f>
        <v>0</v>
      </c>
      <c r="G51" s="91">
        <f>+'LISTA TRABAJADORES'!G53</f>
        <v>0</v>
      </c>
      <c r="H51" s="193"/>
      <c r="I51" s="193"/>
      <c r="J51" s="193">
        <f t="shared" si="0"/>
        <v>0</v>
      </c>
    </row>
    <row r="52" spans="5:10" x14ac:dyDescent="0.25">
      <c r="E52" s="89">
        <v>48</v>
      </c>
      <c r="F52" s="91">
        <f>+'LISTA TRABAJADORES'!F54</f>
        <v>0</v>
      </c>
      <c r="G52" s="91">
        <f>+'LISTA TRABAJADORES'!G54</f>
        <v>0</v>
      </c>
      <c r="H52" s="193"/>
      <c r="I52" s="193"/>
      <c r="J52" s="193">
        <f t="shared" si="0"/>
        <v>0</v>
      </c>
    </row>
    <row r="53" spans="5:10" x14ac:dyDescent="0.25">
      <c r="E53" s="89">
        <v>49</v>
      </c>
      <c r="F53" s="91">
        <f>+'LISTA TRABAJADORES'!F55</f>
        <v>0</v>
      </c>
      <c r="G53" s="91">
        <f>+'LISTA TRABAJADORES'!G55</f>
        <v>0</v>
      </c>
      <c r="H53" s="193"/>
      <c r="I53" s="193"/>
      <c r="J53" s="193">
        <f t="shared" si="0"/>
        <v>0</v>
      </c>
    </row>
    <row r="54" spans="5:10" x14ac:dyDescent="0.25">
      <c r="E54" s="100">
        <v>50</v>
      </c>
      <c r="F54" s="91">
        <f>+'LISTA TRABAJADORES'!F56</f>
        <v>0</v>
      </c>
      <c r="G54" s="91">
        <f>+'LISTA TRABAJADORES'!G56</f>
        <v>0</v>
      </c>
      <c r="H54" s="193"/>
      <c r="I54" s="193"/>
      <c r="J54" s="193">
        <f t="shared" si="0"/>
        <v>0</v>
      </c>
    </row>
    <row r="55" spans="5:10" ht="15.75" thickBot="1" x14ac:dyDescent="0.3">
      <c r="E55" s="90">
        <v>50</v>
      </c>
      <c r="F55" s="95"/>
      <c r="G55" s="191"/>
      <c r="H55" s="194"/>
      <c r="I55" s="194"/>
      <c r="J55" s="194">
        <f>+H55+I55</f>
        <v>0</v>
      </c>
    </row>
    <row r="56" spans="5:10" ht="15.75" thickTop="1" x14ac:dyDescent="0.25">
      <c r="H56" s="60"/>
      <c r="I56" s="60"/>
      <c r="J56" s="60"/>
    </row>
    <row r="59" spans="5:10" x14ac:dyDescent="0.25">
      <c r="E59" s="192"/>
    </row>
    <row r="60" spans="5:10" x14ac:dyDescent="0.25">
      <c r="E60" s="192"/>
    </row>
    <row r="61" spans="5:10" x14ac:dyDescent="0.25">
      <c r="E61" s="192"/>
    </row>
  </sheetData>
  <mergeCells count="21">
    <mergeCell ref="B18:C18"/>
    <mergeCell ref="B14:C14"/>
    <mergeCell ref="B15:C15"/>
    <mergeCell ref="B16:C16"/>
    <mergeCell ref="B17:C17"/>
    <mergeCell ref="B13:C13"/>
    <mergeCell ref="J3:J4"/>
    <mergeCell ref="E3:E4"/>
    <mergeCell ref="F3:F4"/>
    <mergeCell ref="G3:G4"/>
    <mergeCell ref="H3:I3"/>
    <mergeCell ref="B8:C8"/>
    <mergeCell ref="B9:C9"/>
    <mergeCell ref="B10:C10"/>
    <mergeCell ref="B11:C11"/>
    <mergeCell ref="B12:C12"/>
    <mergeCell ref="B2:C3"/>
    <mergeCell ref="B4:C4"/>
    <mergeCell ref="B5:C5"/>
    <mergeCell ref="B6:C6"/>
    <mergeCell ref="B7:C7"/>
  </mergeCells>
  <hyperlinks>
    <hyperlink ref="B4:C4" location="'Datos y Resumen '!A1" display="DATOS Y RESUMEN" xr:uid="{2765F466-273E-44EE-B140-460C4922EE7B}"/>
    <hyperlink ref="B5:C5" location="'LISTA TRABAJADORES'!A1" display="LISTA DE TRABAJADORES" xr:uid="{515C9F08-F882-49C2-B5E4-733D2D53C365}"/>
    <hyperlink ref="B6:C6" location="'ISR '!A1" display="ISR" xr:uid="{855226C9-A741-4BBA-866F-3E3DF3726868}"/>
    <hyperlink ref="B7:C7" location="'OTRAS PRESTACIONES'!A1" display="OTRAS PRESTACIONES" xr:uid="{CC512505-96DE-4234-B35E-0353A81CE378}"/>
    <hyperlink ref="B8:C8" location="'OTRAS RETENCIONES'!A1" display="OTRAS RETENCIONES" xr:uid="{2E4B9EF0-28AB-4670-8596-81829583E284}"/>
    <hyperlink ref="B12:C12" location="'CUOTAS IMSS'!A1" display="CUOTAS IMSS" xr:uid="{ECF87D35-26C0-4F78-8E1A-2513E47994BD}"/>
    <hyperlink ref="B13:C13" location="'HORAS EXTRAS'!A1" display="HORAS EXTRAS" xr:uid="{ACDF0DAD-6AC0-41E1-8CCE-92E2EBFCBE9F}"/>
    <hyperlink ref="B14:C14" location="AGUINALDO!A1" display="AGUINALDO" xr:uid="{0434C8D0-9630-4823-B41F-002B35082938}"/>
    <hyperlink ref="B15:C15" location="'NOMINA FISCAL'!A1" display="NOMINA FISCAL " xr:uid="{9E4A76C7-9C42-4D84-9A0B-8832FA2EA1F3}"/>
    <hyperlink ref="B16:C16" location="CONCEN!A1" display="CONCENTRADO" xr:uid="{95BA0BBF-D043-449A-96B3-E1A18000AA38}"/>
    <hyperlink ref="B17:C17" location="'TARIFAS 2025'!A1" display="TARIFAS 2025" xr:uid="{B44009F3-C3D1-43E6-A419-BD1EC28BC747}"/>
    <hyperlink ref="B18:C18" location="'DATOS EXTRAS'!A1" display="DATOS EXTRAS" xr:uid="{99965959-EC67-4F38-AD66-86437532AD9C}"/>
  </hyperlinks>
  <pageMargins left="0.7" right="0.7" top="0.75" bottom="0.75" header="0.3" footer="0.3"/>
  <pageSetup orientation="portrait" r:id="rId1"/>
  <ignoredErrors>
    <ignoredError sqref="J5:J55" unlocked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D897-D14F-4780-A448-CA2A30252225}">
  <sheetPr codeName="Hoja13">
    <tabColor theme="3" tint="-0.499984740745262"/>
  </sheetPr>
  <dimension ref="B1:Q82"/>
  <sheetViews>
    <sheetView zoomScaleNormal="100" workbookViewId="0">
      <selection activeCell="P2" sqref="P2:Q3"/>
    </sheetView>
  </sheetViews>
  <sheetFormatPr baseColWidth="10" defaultColWidth="11.42578125" defaultRowHeight="15" x14ac:dyDescent="0.25"/>
  <cols>
    <col min="1" max="1" width="3.140625" style="40" customWidth="1"/>
    <col min="2" max="2" width="10.85546875" style="40" bestFit="1" customWidth="1"/>
    <col min="3" max="3" width="11.42578125" style="40" customWidth="1"/>
    <col min="4" max="4" width="29.28515625" style="40" customWidth="1"/>
    <col min="5" max="5" width="5.28515625" style="140" customWidth="1"/>
    <col min="6" max="6" width="10.42578125" style="40" customWidth="1"/>
    <col min="7" max="8" width="11.42578125" style="40" customWidth="1"/>
    <col min="9" max="9" width="12.28515625" style="40" customWidth="1"/>
    <col min="10" max="13" width="11.42578125" style="40" customWidth="1"/>
    <col min="14" max="14" width="19.7109375" style="40" customWidth="1"/>
    <col min="15" max="15" width="2.140625" style="40" customWidth="1"/>
    <col min="16" max="16" width="9.85546875" style="40" customWidth="1"/>
    <col min="17" max="17" width="11.140625" style="40" customWidth="1"/>
    <col min="18" max="16384" width="11.42578125" style="40"/>
  </cols>
  <sheetData>
    <row r="1" spans="2:17" ht="26.25" thickBot="1" x14ac:dyDescent="0.4">
      <c r="B1" s="195" t="str">
        <f>+'Datos y Resumen '!AC2</f>
        <v>A</v>
      </c>
      <c r="F1" s="195" t="s">
        <v>238</v>
      </c>
    </row>
    <row r="2" spans="2:17" ht="15.75" customHeight="1" x14ac:dyDescent="0.25">
      <c r="B2" s="44">
        <f>+'Datos y Resumen '!AC3</f>
        <v>0</v>
      </c>
      <c r="P2" s="300" t="s">
        <v>352</v>
      </c>
      <c r="Q2" s="301"/>
    </row>
    <row r="3" spans="2:17" ht="15" customHeight="1" x14ac:dyDescent="0.25">
      <c r="P3" s="302"/>
      <c r="Q3" s="303"/>
    </row>
    <row r="4" spans="2:17" ht="20.25" x14ac:dyDescent="0.25">
      <c r="B4" s="424">
        <f>+'Datos y Resumen '!K7</f>
        <v>0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6"/>
      <c r="P4" s="304" t="s">
        <v>312</v>
      </c>
      <c r="Q4" s="305"/>
    </row>
    <row r="5" spans="2:17" ht="15" customHeight="1" x14ac:dyDescent="0.25">
      <c r="B5" s="427" t="s">
        <v>66</v>
      </c>
      <c r="C5" s="328" t="s">
        <v>53</v>
      </c>
      <c r="D5" s="328" t="s">
        <v>65</v>
      </c>
      <c r="E5" s="196"/>
      <c r="F5" s="355" t="s">
        <v>218</v>
      </c>
      <c r="G5" s="429"/>
      <c r="H5" s="356"/>
      <c r="I5" s="430" t="s">
        <v>215</v>
      </c>
      <c r="J5" s="355" t="s">
        <v>207</v>
      </c>
      <c r="K5" s="429"/>
      <c r="L5" s="356"/>
      <c r="M5" s="324" t="s">
        <v>216</v>
      </c>
      <c r="N5" s="359" t="s">
        <v>217</v>
      </c>
      <c r="P5" s="304" t="s">
        <v>233</v>
      </c>
      <c r="Q5" s="305"/>
    </row>
    <row r="6" spans="2:17" x14ac:dyDescent="0.25">
      <c r="B6" s="428"/>
      <c r="C6" s="329"/>
      <c r="D6" s="329"/>
      <c r="E6" s="197" t="s">
        <v>211</v>
      </c>
      <c r="F6" s="105" t="s">
        <v>212</v>
      </c>
      <c r="G6" s="105" t="s">
        <v>213</v>
      </c>
      <c r="H6" s="105" t="s">
        <v>214</v>
      </c>
      <c r="I6" s="431"/>
      <c r="J6" s="105" t="s">
        <v>62</v>
      </c>
      <c r="K6" s="105" t="s">
        <v>63</v>
      </c>
      <c r="L6" s="105" t="s">
        <v>214</v>
      </c>
      <c r="M6" s="422"/>
      <c r="N6" s="423"/>
      <c r="P6" s="304" t="s">
        <v>62</v>
      </c>
      <c r="Q6" s="305"/>
    </row>
    <row r="7" spans="2:17" x14ac:dyDescent="0.25">
      <c r="B7" s="50" t="s">
        <v>113</v>
      </c>
      <c r="C7" s="101">
        <f>+'LISTA TRABAJADORES'!F7</f>
        <v>54008317338</v>
      </c>
      <c r="D7" s="101" t="str">
        <f>+'LISTA TRABAJADORES'!G7</f>
        <v>JUAN PABLO CAMINOS</v>
      </c>
      <c r="E7" s="199">
        <f>+'ISR '!I8</f>
        <v>15</v>
      </c>
      <c r="F7" s="200">
        <f>+'LISTA TRABAJADORES'!H7</f>
        <v>278.8</v>
      </c>
      <c r="G7" s="200">
        <f>+'ISR '!J8*'ISR '!I8</f>
        <v>4182</v>
      </c>
      <c r="H7" s="200">
        <f>+'OTRAS PRESTACIONES'!AE8</f>
        <v>0</v>
      </c>
      <c r="I7" s="200">
        <f>+'ISR '!T8</f>
        <v>0</v>
      </c>
      <c r="J7" s="200">
        <f>+'NOMINA FISCAL'!T7</f>
        <v>64.17</v>
      </c>
      <c r="K7" s="200">
        <f>+'CUOTAS IMSS'!X7</f>
        <v>0</v>
      </c>
      <c r="L7" s="200">
        <f>+'OTRAS RETENCIONES'!M7</f>
        <v>0</v>
      </c>
      <c r="M7" s="200">
        <f>+G7+H7+I7-J7-K7-L7</f>
        <v>4117.83</v>
      </c>
      <c r="N7" s="123"/>
      <c r="P7" s="306" t="s">
        <v>313</v>
      </c>
      <c r="Q7" s="307"/>
    </row>
    <row r="8" spans="2:17" ht="15.75" thickBot="1" x14ac:dyDescent="0.3">
      <c r="B8" s="50" t="s">
        <v>77</v>
      </c>
      <c r="C8" s="101">
        <f>+'LISTA TRABAJADORES'!F8</f>
        <v>4008063127</v>
      </c>
      <c r="D8" s="101" t="str">
        <f>+'LISTA TRABAJADORES'!G8</f>
        <v>HECTOR ULISES GARCIA</v>
      </c>
      <c r="E8" s="199">
        <f>+'ISR '!I9</f>
        <v>15</v>
      </c>
      <c r="F8" s="200">
        <f>+'LISTA TRABAJADORES'!H8</f>
        <v>278.81</v>
      </c>
      <c r="G8" s="200">
        <f>+'ISR '!J9*'ISR '!I9</f>
        <v>4182.1499999999996</v>
      </c>
      <c r="H8" s="200">
        <f>+'OTRAS PRESTACIONES'!AE9</f>
        <v>0</v>
      </c>
      <c r="I8" s="200">
        <f>+'ISR '!T9</f>
        <v>0</v>
      </c>
      <c r="J8" s="200">
        <f>+'NOMINA FISCAL'!T8</f>
        <v>64.19</v>
      </c>
      <c r="K8" s="200">
        <f>+'CUOTAS IMSS'!X8</f>
        <v>104.22283738124997</v>
      </c>
      <c r="L8" s="200">
        <f>+'OTRAS RETENCIONES'!M8</f>
        <v>0</v>
      </c>
      <c r="M8" s="200">
        <f t="shared" ref="M8:M56" si="0">+G8+H8+I8-J8-K8-L8</f>
        <v>4013.7371626187501</v>
      </c>
      <c r="N8" s="125"/>
      <c r="P8" s="304" t="s">
        <v>243</v>
      </c>
      <c r="Q8" s="305"/>
    </row>
    <row r="9" spans="2:17" x14ac:dyDescent="0.25">
      <c r="B9" s="50" t="s">
        <v>78</v>
      </c>
      <c r="C9" s="101">
        <f>+'LISTA TRABAJADORES'!F9</f>
        <v>4997999471</v>
      </c>
      <c r="D9" s="101" t="str">
        <f>+'LISTA TRABAJADORES'!G9</f>
        <v>MARISOL VILLA</v>
      </c>
      <c r="E9" s="199">
        <f>+'ISR '!I10</f>
        <v>15</v>
      </c>
      <c r="F9" s="200">
        <f>+'LISTA TRABAJADORES'!H9</f>
        <v>280</v>
      </c>
      <c r="G9" s="200">
        <f>+'ISR '!J10*'ISR '!I10</f>
        <v>4200</v>
      </c>
      <c r="H9" s="200">
        <f>+'OTRAS PRESTACIONES'!AE10</f>
        <v>0</v>
      </c>
      <c r="I9" s="200">
        <f>+'ISR '!T10</f>
        <v>0</v>
      </c>
      <c r="J9" s="200">
        <f>+'NOMINA FISCAL'!T9</f>
        <v>66.13</v>
      </c>
      <c r="K9" s="200">
        <f>+'CUOTAS IMSS'!X9</f>
        <v>104.66767499999999</v>
      </c>
      <c r="L9" s="200">
        <f>+'OTRAS RETENCIONES'!M9</f>
        <v>0</v>
      </c>
      <c r="M9" s="200">
        <f t="shared" si="0"/>
        <v>4029.2023249999997</v>
      </c>
      <c r="N9" s="125"/>
      <c r="P9" s="310" t="s">
        <v>344</v>
      </c>
      <c r="Q9" s="311"/>
    </row>
    <row r="10" spans="2:17" x14ac:dyDescent="0.25">
      <c r="B10" s="50" t="s">
        <v>79</v>
      </c>
      <c r="C10" s="101">
        <f>+'LISTA TRABAJADORES'!F10</f>
        <v>5158985232</v>
      </c>
      <c r="D10" s="101" t="str">
        <f>+'LISTA TRABAJADORES'!G10</f>
        <v>MARCO PEREZ</v>
      </c>
      <c r="E10" s="199">
        <f>+'ISR '!I11</f>
        <v>15</v>
      </c>
      <c r="F10" s="200">
        <f>+'LISTA TRABAJADORES'!H10</f>
        <v>290</v>
      </c>
      <c r="G10" s="200">
        <f>+'ISR '!J11*'ISR '!I11</f>
        <v>4350</v>
      </c>
      <c r="H10" s="200">
        <f>+'OTRAS PRESTACIONES'!AE11</f>
        <v>0</v>
      </c>
      <c r="I10" s="200">
        <f>+'ISR '!T11</f>
        <v>0</v>
      </c>
      <c r="J10" s="200">
        <f>+'NOMINA FISCAL'!T10</f>
        <v>82.45</v>
      </c>
      <c r="K10" s="200">
        <f>+'CUOTAS IMSS'!X10</f>
        <v>108.40580625000001</v>
      </c>
      <c r="L10" s="200">
        <f>+'OTRAS RETENCIONES'!M10</f>
        <v>0</v>
      </c>
      <c r="M10" s="200">
        <f t="shared" si="0"/>
        <v>4159.1441937500003</v>
      </c>
      <c r="N10" s="123"/>
      <c r="P10" s="312" t="s">
        <v>345</v>
      </c>
      <c r="Q10" s="313"/>
    </row>
    <row r="11" spans="2:17" ht="15.75" thickBot="1" x14ac:dyDescent="0.3">
      <c r="B11" s="50" t="s">
        <v>80</v>
      </c>
      <c r="C11" s="101">
        <f>+'LISTA TRABAJADORES'!F11</f>
        <v>5478565521</v>
      </c>
      <c r="D11" s="101" t="str">
        <f>+'LISTA TRABAJADORES'!G11</f>
        <v>ALEJANDRO VENEGAS</v>
      </c>
      <c r="E11" s="199">
        <f>+'ISR '!I12</f>
        <v>15</v>
      </c>
      <c r="F11" s="200">
        <f>+'LISTA TRABAJADORES'!H11</f>
        <v>300</v>
      </c>
      <c r="G11" s="200">
        <f>+'ISR '!J12*'ISR '!I12</f>
        <v>4500</v>
      </c>
      <c r="H11" s="200">
        <f>+'OTRAS PRESTACIONES'!AE12</f>
        <v>0</v>
      </c>
      <c r="I11" s="200">
        <f>+'ISR '!T12</f>
        <v>0</v>
      </c>
      <c r="J11" s="200">
        <f>+'NOMINA FISCAL'!T11</f>
        <v>98.77</v>
      </c>
      <c r="K11" s="200">
        <f>+'CUOTAS IMSS'!X11</f>
        <v>112.14393749999999</v>
      </c>
      <c r="L11" s="200">
        <f>+'OTRAS RETENCIONES'!M11</f>
        <v>0</v>
      </c>
      <c r="M11" s="200">
        <f t="shared" si="0"/>
        <v>4289.0860624999996</v>
      </c>
      <c r="N11" s="125"/>
      <c r="P11" s="314" t="s">
        <v>346</v>
      </c>
      <c r="Q11" s="315"/>
    </row>
    <row r="12" spans="2:17" x14ac:dyDescent="0.25">
      <c r="B12" s="50" t="s">
        <v>81</v>
      </c>
      <c r="C12" s="101">
        <f>+'LISTA TRABAJADORES'!F12</f>
        <v>5258525822</v>
      </c>
      <c r="D12" s="101" t="str">
        <f>+'LISTA TRABAJADORES'!G12</f>
        <v>MARTHA ZAVALA</v>
      </c>
      <c r="E12" s="199">
        <f>+'ISR '!I13</f>
        <v>15</v>
      </c>
      <c r="F12" s="200">
        <f>+'LISTA TRABAJADORES'!H12</f>
        <v>350</v>
      </c>
      <c r="G12" s="200">
        <f>+'ISR '!J13*'ISR '!I13</f>
        <v>5250</v>
      </c>
      <c r="H12" s="200">
        <f>+'OTRAS PRESTACIONES'!AE13</f>
        <v>0</v>
      </c>
      <c r="I12" s="200">
        <f>+'ISR '!T13</f>
        <v>0</v>
      </c>
      <c r="J12" s="200">
        <f>+'NOMINA FISCAL'!T12</f>
        <v>414.72</v>
      </c>
      <c r="K12" s="200">
        <f>+'CUOTAS IMSS'!X12</f>
        <v>133.32729374999997</v>
      </c>
      <c r="L12" s="200">
        <f>+'OTRAS RETENCIONES'!M12</f>
        <v>0</v>
      </c>
      <c r="M12" s="200">
        <f t="shared" si="0"/>
        <v>4701.9527062500001</v>
      </c>
      <c r="N12" s="125"/>
      <c r="P12" s="304" t="s">
        <v>315</v>
      </c>
      <c r="Q12" s="305"/>
    </row>
    <row r="13" spans="2:17" x14ac:dyDescent="0.25">
      <c r="B13" s="50" t="s">
        <v>82</v>
      </c>
      <c r="C13" s="101">
        <f>+'LISTA TRABAJADORES'!F13</f>
        <v>2587566225</v>
      </c>
      <c r="D13" s="101" t="str">
        <f>+'LISTA TRABAJADORES'!G13</f>
        <v>CRISTINA MACIAS</v>
      </c>
      <c r="E13" s="199">
        <f>+'ISR '!I14</f>
        <v>15</v>
      </c>
      <c r="F13" s="200">
        <f>+'LISTA TRABAJADORES'!H13</f>
        <v>400</v>
      </c>
      <c r="G13" s="200">
        <f>+'ISR '!J14*'ISR '!I14</f>
        <v>6000</v>
      </c>
      <c r="H13" s="200">
        <f>+'OTRAS PRESTACIONES'!AE14</f>
        <v>0</v>
      </c>
      <c r="I13" s="200">
        <f>+'ISR '!T14</f>
        <v>0</v>
      </c>
      <c r="J13" s="200">
        <f>+'NOMINA FISCAL'!T13</f>
        <v>522.48</v>
      </c>
      <c r="K13" s="200">
        <f>+'CUOTAS IMSS'!X13</f>
        <v>155.16584999999998</v>
      </c>
      <c r="L13" s="200">
        <f>+'OTRAS RETENCIONES'!M13</f>
        <v>0</v>
      </c>
      <c r="M13" s="200">
        <f t="shared" si="0"/>
        <v>5322.3541500000001</v>
      </c>
      <c r="N13" s="123"/>
      <c r="P13" s="304" t="s">
        <v>192</v>
      </c>
      <c r="Q13" s="305"/>
    </row>
    <row r="14" spans="2:17" x14ac:dyDescent="0.25">
      <c r="B14" s="50" t="s">
        <v>83</v>
      </c>
      <c r="C14" s="101">
        <f>+'LISTA TRABAJADORES'!F14</f>
        <v>6585422585</v>
      </c>
      <c r="D14" s="101" t="str">
        <f>+'LISTA TRABAJADORES'!G14</f>
        <v>ANTONIO OCAMPOS</v>
      </c>
      <c r="E14" s="199">
        <f>+'ISR '!I15</f>
        <v>15</v>
      </c>
      <c r="F14" s="200">
        <f>+'LISTA TRABAJADORES'!H14</f>
        <v>500</v>
      </c>
      <c r="G14" s="200">
        <f>+'ISR '!J15*'ISR '!I15</f>
        <v>7500</v>
      </c>
      <c r="H14" s="200">
        <f>+'OTRAS PRESTACIONES'!AE15</f>
        <v>0</v>
      </c>
      <c r="I14" s="200">
        <f>+'ISR '!T15</f>
        <v>0</v>
      </c>
      <c r="J14" s="200">
        <f>+'NOMINA FISCAL'!T14</f>
        <v>783.85</v>
      </c>
      <c r="K14" s="200">
        <f>+'CUOTAS IMSS'!X14</f>
        <v>198.84296249999997</v>
      </c>
      <c r="L14" s="200">
        <f>+'OTRAS RETENCIONES'!M14</f>
        <v>0</v>
      </c>
      <c r="M14" s="200">
        <f t="shared" si="0"/>
        <v>6517.3070374999998</v>
      </c>
      <c r="N14" s="125"/>
      <c r="P14" s="306" t="s">
        <v>236</v>
      </c>
      <c r="Q14" s="307"/>
    </row>
    <row r="15" spans="2:17" x14ac:dyDescent="0.25">
      <c r="B15" s="50" t="s">
        <v>84</v>
      </c>
      <c r="C15" s="101">
        <f>+'LISTA TRABAJADORES'!F15</f>
        <v>0</v>
      </c>
      <c r="D15" s="101">
        <f>+'LISTA TRABAJADORES'!G15</f>
        <v>0</v>
      </c>
      <c r="E15" s="199">
        <f>+'ISR '!I16</f>
        <v>15</v>
      </c>
      <c r="F15" s="200">
        <f>+'LISTA TRABAJADORES'!H15</f>
        <v>0</v>
      </c>
      <c r="G15" s="200">
        <f>+'ISR '!J16*'ISR '!I16</f>
        <v>0</v>
      </c>
      <c r="H15" s="200">
        <f>+'OTRAS PRESTACIONES'!AE16</f>
        <v>0</v>
      </c>
      <c r="I15" s="200">
        <f>+'ISR '!T16</f>
        <v>0</v>
      </c>
      <c r="J15" s="200">
        <f>+'NOMINA FISCAL'!T15</f>
        <v>0</v>
      </c>
      <c r="K15" s="200">
        <f>+'CUOTAS IMSS'!X15</f>
        <v>0</v>
      </c>
      <c r="L15" s="200">
        <f>+'OTRAS RETENCIONES'!M15</f>
        <v>0</v>
      </c>
      <c r="M15" s="200">
        <f t="shared" si="0"/>
        <v>0</v>
      </c>
      <c r="N15" s="125"/>
      <c r="P15" s="304" t="s">
        <v>316</v>
      </c>
      <c r="Q15" s="305"/>
    </row>
    <row r="16" spans="2:17" x14ac:dyDescent="0.25">
      <c r="B16" s="50" t="s">
        <v>85</v>
      </c>
      <c r="C16" s="101">
        <f>+'LISTA TRABAJADORES'!F16</f>
        <v>0</v>
      </c>
      <c r="D16" s="101">
        <f>+'LISTA TRABAJADORES'!G16</f>
        <v>0</v>
      </c>
      <c r="E16" s="199">
        <f>+'ISR '!I17</f>
        <v>15</v>
      </c>
      <c r="F16" s="200">
        <f>+'LISTA TRABAJADORES'!H16</f>
        <v>0</v>
      </c>
      <c r="G16" s="200">
        <f>+'ISR '!J17*'ISR '!I17</f>
        <v>0</v>
      </c>
      <c r="H16" s="200">
        <f>+'OTRAS PRESTACIONES'!AE17</f>
        <v>0</v>
      </c>
      <c r="I16" s="200">
        <f>+'ISR '!T17</f>
        <v>0</v>
      </c>
      <c r="J16" s="200">
        <f>+'NOMINA FISCAL'!T16</f>
        <v>0</v>
      </c>
      <c r="K16" s="200">
        <f>+'CUOTAS IMSS'!X16</f>
        <v>0</v>
      </c>
      <c r="L16" s="200">
        <f>+'OTRAS RETENCIONES'!M16</f>
        <v>0</v>
      </c>
      <c r="M16" s="200">
        <f t="shared" si="0"/>
        <v>0</v>
      </c>
      <c r="N16" s="123"/>
      <c r="P16" s="306" t="s">
        <v>244</v>
      </c>
      <c r="Q16" s="307"/>
    </row>
    <row r="17" spans="2:17" x14ac:dyDescent="0.25">
      <c r="B17" s="50" t="s">
        <v>86</v>
      </c>
      <c r="C17" s="101">
        <f>+'LISTA TRABAJADORES'!F17</f>
        <v>0</v>
      </c>
      <c r="D17" s="101">
        <f>+'LISTA TRABAJADORES'!G17</f>
        <v>0</v>
      </c>
      <c r="E17" s="199">
        <f>+'ISR '!I18</f>
        <v>15</v>
      </c>
      <c r="F17" s="200">
        <f>+'LISTA TRABAJADORES'!H17</f>
        <v>0</v>
      </c>
      <c r="G17" s="200">
        <f>+'ISR '!J18*'ISR '!I18</f>
        <v>0</v>
      </c>
      <c r="H17" s="200">
        <f>+'OTRAS PRESTACIONES'!AE18</f>
        <v>0</v>
      </c>
      <c r="I17" s="200">
        <f>+'ISR '!T18</f>
        <v>0</v>
      </c>
      <c r="J17" s="200">
        <f>+'NOMINA FISCAL'!T17</f>
        <v>0</v>
      </c>
      <c r="K17" s="200">
        <f>+'CUOTAS IMSS'!X17</f>
        <v>0</v>
      </c>
      <c r="L17" s="200">
        <f>+'OTRAS RETENCIONES'!M17</f>
        <v>0</v>
      </c>
      <c r="M17" s="200">
        <f t="shared" si="0"/>
        <v>0</v>
      </c>
      <c r="N17" s="125"/>
      <c r="P17" s="320" t="s">
        <v>356</v>
      </c>
      <c r="Q17" s="321"/>
    </row>
    <row r="18" spans="2:17" ht="15.75" thickBot="1" x14ac:dyDescent="0.3">
      <c r="B18" s="50" t="s">
        <v>87</v>
      </c>
      <c r="C18" s="101">
        <f>+'LISTA TRABAJADORES'!F18</f>
        <v>0</v>
      </c>
      <c r="D18" s="101">
        <f>+'LISTA TRABAJADORES'!G18</f>
        <v>0</v>
      </c>
      <c r="E18" s="199">
        <f>+'ISR '!I19</f>
        <v>15</v>
      </c>
      <c r="F18" s="200">
        <f>+'LISTA TRABAJADORES'!H18</f>
        <v>0</v>
      </c>
      <c r="G18" s="200">
        <f>+'ISR '!J19*'ISR '!I19</f>
        <v>0</v>
      </c>
      <c r="H18" s="200">
        <f>+'OTRAS PRESTACIONES'!AE19</f>
        <v>0</v>
      </c>
      <c r="I18" s="200">
        <f>+'ISR '!T19</f>
        <v>0</v>
      </c>
      <c r="J18" s="200">
        <f>+'NOMINA FISCAL'!T18</f>
        <v>0</v>
      </c>
      <c r="K18" s="200">
        <f>+'CUOTAS IMSS'!X18</f>
        <v>0</v>
      </c>
      <c r="L18" s="200">
        <f>+'OTRAS RETENCIONES'!M18</f>
        <v>0</v>
      </c>
      <c r="M18" s="200">
        <f t="shared" si="0"/>
        <v>0</v>
      </c>
      <c r="N18" s="125"/>
      <c r="P18" s="318" t="s">
        <v>330</v>
      </c>
      <c r="Q18" s="319"/>
    </row>
    <row r="19" spans="2:17" x14ac:dyDescent="0.25">
      <c r="B19" s="50" t="s">
        <v>88</v>
      </c>
      <c r="C19" s="101">
        <f>+'LISTA TRABAJADORES'!F19</f>
        <v>0</v>
      </c>
      <c r="D19" s="101">
        <f>+'LISTA TRABAJADORES'!G19</f>
        <v>0</v>
      </c>
      <c r="E19" s="199">
        <f>+'ISR '!I20</f>
        <v>15</v>
      </c>
      <c r="F19" s="200">
        <f>+'LISTA TRABAJADORES'!H19</f>
        <v>0</v>
      </c>
      <c r="G19" s="200">
        <f>+'ISR '!J20*'ISR '!I20</f>
        <v>0</v>
      </c>
      <c r="H19" s="200">
        <f>+'OTRAS PRESTACIONES'!AE20</f>
        <v>0</v>
      </c>
      <c r="I19" s="200">
        <f>+'ISR '!T20</f>
        <v>0</v>
      </c>
      <c r="J19" s="200">
        <f>+'NOMINA FISCAL'!T19</f>
        <v>0</v>
      </c>
      <c r="K19" s="200">
        <f>+'CUOTAS IMSS'!X19</f>
        <v>0</v>
      </c>
      <c r="L19" s="200">
        <f>+'OTRAS RETENCIONES'!M19</f>
        <v>0</v>
      </c>
      <c r="M19" s="200">
        <f t="shared" si="0"/>
        <v>0</v>
      </c>
      <c r="N19" s="123"/>
    </row>
    <row r="20" spans="2:17" x14ac:dyDescent="0.25">
      <c r="B20" s="50" t="s">
        <v>89</v>
      </c>
      <c r="C20" s="101">
        <f>+'LISTA TRABAJADORES'!F20</f>
        <v>0</v>
      </c>
      <c r="D20" s="101">
        <f>+'LISTA TRABAJADORES'!G20</f>
        <v>0</v>
      </c>
      <c r="E20" s="199">
        <f>+'ISR '!I21</f>
        <v>15</v>
      </c>
      <c r="F20" s="200">
        <f>+'LISTA TRABAJADORES'!H20</f>
        <v>0</v>
      </c>
      <c r="G20" s="200">
        <f>+'ISR '!J21*'ISR '!I21</f>
        <v>0</v>
      </c>
      <c r="H20" s="200">
        <f>+'OTRAS PRESTACIONES'!AE21</f>
        <v>0</v>
      </c>
      <c r="I20" s="200">
        <f>+'ISR '!T21</f>
        <v>0</v>
      </c>
      <c r="J20" s="200">
        <f>+'NOMINA FISCAL'!T20</f>
        <v>0</v>
      </c>
      <c r="K20" s="200">
        <f>+'CUOTAS IMSS'!X20</f>
        <v>0</v>
      </c>
      <c r="L20" s="200">
        <f>+'OTRAS RETENCIONES'!M20</f>
        <v>0</v>
      </c>
      <c r="M20" s="200">
        <f t="shared" si="0"/>
        <v>0</v>
      </c>
      <c r="N20" s="125"/>
    </row>
    <row r="21" spans="2:17" x14ac:dyDescent="0.25">
      <c r="B21" s="50" t="s">
        <v>90</v>
      </c>
      <c r="C21" s="101">
        <f>+'LISTA TRABAJADORES'!F21</f>
        <v>0</v>
      </c>
      <c r="D21" s="101">
        <f>+'LISTA TRABAJADORES'!G21</f>
        <v>0</v>
      </c>
      <c r="E21" s="199">
        <f>+'ISR '!I22</f>
        <v>15</v>
      </c>
      <c r="F21" s="200">
        <f>+'LISTA TRABAJADORES'!H21</f>
        <v>0</v>
      </c>
      <c r="G21" s="200">
        <f>+'ISR '!J22*'ISR '!I22</f>
        <v>0</v>
      </c>
      <c r="H21" s="200">
        <f>+'OTRAS PRESTACIONES'!AE22</f>
        <v>0</v>
      </c>
      <c r="I21" s="200">
        <f>+'ISR '!T22</f>
        <v>0</v>
      </c>
      <c r="J21" s="200">
        <f>+'NOMINA FISCAL'!T21</f>
        <v>0</v>
      </c>
      <c r="K21" s="200">
        <f>+'CUOTAS IMSS'!X21</f>
        <v>0</v>
      </c>
      <c r="L21" s="200">
        <f>+'OTRAS RETENCIONES'!M21</f>
        <v>0</v>
      </c>
      <c r="M21" s="200">
        <f t="shared" si="0"/>
        <v>0</v>
      </c>
      <c r="N21" s="125"/>
    </row>
    <row r="22" spans="2:17" x14ac:dyDescent="0.25">
      <c r="B22" s="50" t="s">
        <v>91</v>
      </c>
      <c r="C22" s="101">
        <f>+'LISTA TRABAJADORES'!F22</f>
        <v>0</v>
      </c>
      <c r="D22" s="101">
        <f>+'LISTA TRABAJADORES'!G22</f>
        <v>0</v>
      </c>
      <c r="E22" s="199">
        <f>+'ISR '!I23</f>
        <v>15</v>
      </c>
      <c r="F22" s="200">
        <f>+'LISTA TRABAJADORES'!H22</f>
        <v>0</v>
      </c>
      <c r="G22" s="200">
        <f>+'ISR '!J23*'ISR '!I23</f>
        <v>0</v>
      </c>
      <c r="H22" s="200">
        <f>+'OTRAS PRESTACIONES'!AE23</f>
        <v>0</v>
      </c>
      <c r="I22" s="200">
        <f>+'ISR '!T23</f>
        <v>0</v>
      </c>
      <c r="J22" s="200">
        <f>+'NOMINA FISCAL'!T22</f>
        <v>0</v>
      </c>
      <c r="K22" s="200">
        <f>+'CUOTAS IMSS'!X22</f>
        <v>0</v>
      </c>
      <c r="L22" s="200">
        <f>+'OTRAS RETENCIONES'!M22</f>
        <v>0</v>
      </c>
      <c r="M22" s="200">
        <f t="shared" si="0"/>
        <v>0</v>
      </c>
      <c r="N22" s="123"/>
    </row>
    <row r="23" spans="2:17" x14ac:dyDescent="0.25">
      <c r="B23" s="50" t="s">
        <v>92</v>
      </c>
      <c r="C23" s="101">
        <f>+'LISTA TRABAJADORES'!F23</f>
        <v>0</v>
      </c>
      <c r="D23" s="101">
        <f>+'LISTA TRABAJADORES'!G23</f>
        <v>0</v>
      </c>
      <c r="E23" s="199">
        <f>+'ISR '!I24</f>
        <v>15</v>
      </c>
      <c r="F23" s="200">
        <f>+'LISTA TRABAJADORES'!H23</f>
        <v>0</v>
      </c>
      <c r="G23" s="200">
        <f>+'ISR '!J24*'ISR '!I24</f>
        <v>0</v>
      </c>
      <c r="H23" s="200">
        <f>+'OTRAS PRESTACIONES'!AE24</f>
        <v>0</v>
      </c>
      <c r="I23" s="200">
        <f>+'ISR '!T24</f>
        <v>0</v>
      </c>
      <c r="J23" s="200">
        <f>+'NOMINA FISCAL'!T23</f>
        <v>0</v>
      </c>
      <c r="K23" s="200">
        <f>+'CUOTAS IMSS'!X23</f>
        <v>0</v>
      </c>
      <c r="L23" s="200">
        <f>+'OTRAS RETENCIONES'!M23</f>
        <v>0</v>
      </c>
      <c r="M23" s="200">
        <f t="shared" si="0"/>
        <v>0</v>
      </c>
      <c r="N23" s="125"/>
    </row>
    <row r="24" spans="2:17" x14ac:dyDescent="0.25">
      <c r="B24" s="50" t="s">
        <v>93</v>
      </c>
      <c r="C24" s="101">
        <f>+'LISTA TRABAJADORES'!F24</f>
        <v>0</v>
      </c>
      <c r="D24" s="101">
        <f>+'LISTA TRABAJADORES'!G24</f>
        <v>0</v>
      </c>
      <c r="E24" s="199">
        <f>+'ISR '!I25</f>
        <v>15</v>
      </c>
      <c r="F24" s="200">
        <f>+'LISTA TRABAJADORES'!H24</f>
        <v>0</v>
      </c>
      <c r="G24" s="200">
        <f>+'ISR '!J25*'ISR '!I25</f>
        <v>0</v>
      </c>
      <c r="H24" s="200">
        <f>+'OTRAS PRESTACIONES'!AE25</f>
        <v>0</v>
      </c>
      <c r="I24" s="200">
        <f>+'ISR '!T25</f>
        <v>0</v>
      </c>
      <c r="J24" s="200">
        <f>+'NOMINA FISCAL'!T24</f>
        <v>0</v>
      </c>
      <c r="K24" s="200">
        <f>+'CUOTAS IMSS'!X24</f>
        <v>0</v>
      </c>
      <c r="L24" s="200">
        <f>+'OTRAS RETENCIONES'!M24</f>
        <v>0</v>
      </c>
      <c r="M24" s="200">
        <f t="shared" si="0"/>
        <v>0</v>
      </c>
      <c r="N24" s="125"/>
    </row>
    <row r="25" spans="2:17" x14ac:dyDescent="0.25">
      <c r="B25" s="50" t="s">
        <v>94</v>
      </c>
      <c r="C25" s="101">
        <f>+'LISTA TRABAJADORES'!F25</f>
        <v>0</v>
      </c>
      <c r="D25" s="101">
        <f>+'LISTA TRABAJADORES'!G25</f>
        <v>0</v>
      </c>
      <c r="E25" s="199">
        <f>+'ISR '!I26</f>
        <v>15</v>
      </c>
      <c r="F25" s="200">
        <f>+'LISTA TRABAJADORES'!H25</f>
        <v>0</v>
      </c>
      <c r="G25" s="200">
        <f>+'ISR '!J26*'ISR '!I26</f>
        <v>0</v>
      </c>
      <c r="H25" s="200">
        <f>+'OTRAS PRESTACIONES'!AE26</f>
        <v>0</v>
      </c>
      <c r="I25" s="200">
        <f>+'ISR '!T26</f>
        <v>0</v>
      </c>
      <c r="J25" s="200">
        <f>+'NOMINA FISCAL'!T25</f>
        <v>0</v>
      </c>
      <c r="K25" s="200">
        <f>+'CUOTAS IMSS'!X25</f>
        <v>0</v>
      </c>
      <c r="L25" s="200">
        <f>+'OTRAS RETENCIONES'!M25</f>
        <v>0</v>
      </c>
      <c r="M25" s="200">
        <f t="shared" si="0"/>
        <v>0</v>
      </c>
      <c r="N25" s="123"/>
    </row>
    <row r="26" spans="2:17" x14ac:dyDescent="0.25">
      <c r="B26" s="50" t="s">
        <v>95</v>
      </c>
      <c r="C26" s="101">
        <f>+'LISTA TRABAJADORES'!F26</f>
        <v>0</v>
      </c>
      <c r="D26" s="101">
        <f>+'LISTA TRABAJADORES'!G26</f>
        <v>0</v>
      </c>
      <c r="E26" s="199">
        <f>+'ISR '!I27</f>
        <v>15</v>
      </c>
      <c r="F26" s="200">
        <f>+'LISTA TRABAJADORES'!H26</f>
        <v>0</v>
      </c>
      <c r="G26" s="200">
        <f>+'ISR '!J27*'ISR '!I27</f>
        <v>0</v>
      </c>
      <c r="H26" s="200">
        <f>+'OTRAS PRESTACIONES'!AE27</f>
        <v>0</v>
      </c>
      <c r="I26" s="200">
        <f>+'ISR '!T27</f>
        <v>0</v>
      </c>
      <c r="J26" s="200">
        <f>+'NOMINA FISCAL'!T26</f>
        <v>0</v>
      </c>
      <c r="K26" s="200">
        <f>+'CUOTAS IMSS'!X26</f>
        <v>0</v>
      </c>
      <c r="L26" s="200">
        <f>+'OTRAS RETENCIONES'!M26</f>
        <v>0</v>
      </c>
      <c r="M26" s="200">
        <f t="shared" si="0"/>
        <v>0</v>
      </c>
      <c r="N26" s="125"/>
    </row>
    <row r="27" spans="2:17" x14ac:dyDescent="0.25">
      <c r="B27" s="50" t="s">
        <v>96</v>
      </c>
      <c r="C27" s="101">
        <f>+'LISTA TRABAJADORES'!F27</f>
        <v>0</v>
      </c>
      <c r="D27" s="101">
        <f>+'LISTA TRABAJADORES'!G27</f>
        <v>0</v>
      </c>
      <c r="E27" s="199">
        <f>+'ISR '!I28</f>
        <v>15</v>
      </c>
      <c r="F27" s="200">
        <f>+'LISTA TRABAJADORES'!H27</f>
        <v>0</v>
      </c>
      <c r="G27" s="200">
        <f>+'ISR '!J28*'ISR '!I28</f>
        <v>0</v>
      </c>
      <c r="H27" s="200">
        <f>+'OTRAS PRESTACIONES'!AE28</f>
        <v>0</v>
      </c>
      <c r="I27" s="200">
        <f>+'ISR '!T28</f>
        <v>0</v>
      </c>
      <c r="J27" s="200">
        <f>+'NOMINA FISCAL'!T27</f>
        <v>0</v>
      </c>
      <c r="K27" s="200">
        <f>+'CUOTAS IMSS'!X27</f>
        <v>0</v>
      </c>
      <c r="L27" s="200">
        <f>+'OTRAS RETENCIONES'!M27</f>
        <v>0</v>
      </c>
      <c r="M27" s="200">
        <f t="shared" si="0"/>
        <v>0</v>
      </c>
      <c r="N27" s="125"/>
    </row>
    <row r="28" spans="2:17" x14ac:dyDescent="0.25">
      <c r="B28" s="50" t="s">
        <v>97</v>
      </c>
      <c r="C28" s="101">
        <f>+'LISTA TRABAJADORES'!F28</f>
        <v>0</v>
      </c>
      <c r="D28" s="101">
        <f>+'LISTA TRABAJADORES'!G28</f>
        <v>0</v>
      </c>
      <c r="E28" s="199">
        <f>+'ISR '!I29</f>
        <v>15</v>
      </c>
      <c r="F28" s="200">
        <f>+'LISTA TRABAJADORES'!H28</f>
        <v>0</v>
      </c>
      <c r="G28" s="200">
        <f>+'ISR '!J29*'ISR '!I29</f>
        <v>0</v>
      </c>
      <c r="H28" s="200">
        <f>+'OTRAS PRESTACIONES'!AE29</f>
        <v>0</v>
      </c>
      <c r="I28" s="200">
        <f>+'ISR '!T29</f>
        <v>0</v>
      </c>
      <c r="J28" s="200">
        <f>+'NOMINA FISCAL'!T28</f>
        <v>0</v>
      </c>
      <c r="K28" s="200">
        <f>+'CUOTAS IMSS'!X28</f>
        <v>0</v>
      </c>
      <c r="L28" s="200">
        <f>+'OTRAS RETENCIONES'!M28</f>
        <v>0</v>
      </c>
      <c r="M28" s="200">
        <f t="shared" si="0"/>
        <v>0</v>
      </c>
      <c r="N28" s="123"/>
    </row>
    <row r="29" spans="2:17" x14ac:dyDescent="0.25">
      <c r="B29" s="50" t="s">
        <v>98</v>
      </c>
      <c r="C29" s="101">
        <f>+'LISTA TRABAJADORES'!F29</f>
        <v>0</v>
      </c>
      <c r="D29" s="101">
        <f>+'LISTA TRABAJADORES'!G29</f>
        <v>0</v>
      </c>
      <c r="E29" s="199">
        <f>+'ISR '!I30</f>
        <v>15</v>
      </c>
      <c r="F29" s="200">
        <f>+'LISTA TRABAJADORES'!H29</f>
        <v>0</v>
      </c>
      <c r="G29" s="200">
        <f>+'ISR '!J30*'ISR '!I30</f>
        <v>0</v>
      </c>
      <c r="H29" s="200">
        <f>+'OTRAS PRESTACIONES'!AE30</f>
        <v>0</v>
      </c>
      <c r="I29" s="200">
        <f>+'ISR '!T30</f>
        <v>0</v>
      </c>
      <c r="J29" s="200">
        <f>+'NOMINA FISCAL'!T29</f>
        <v>0</v>
      </c>
      <c r="K29" s="200">
        <f>+'CUOTAS IMSS'!X29</f>
        <v>0</v>
      </c>
      <c r="L29" s="200">
        <f>+'OTRAS RETENCIONES'!M29</f>
        <v>0</v>
      </c>
      <c r="M29" s="200">
        <f t="shared" si="0"/>
        <v>0</v>
      </c>
      <c r="N29" s="125"/>
    </row>
    <row r="30" spans="2:17" x14ac:dyDescent="0.25">
      <c r="B30" s="50" t="s">
        <v>99</v>
      </c>
      <c r="C30" s="101">
        <f>+'LISTA TRABAJADORES'!F30</f>
        <v>0</v>
      </c>
      <c r="D30" s="101">
        <f>+'LISTA TRABAJADORES'!G30</f>
        <v>0</v>
      </c>
      <c r="E30" s="199">
        <f>+'ISR '!I31</f>
        <v>15</v>
      </c>
      <c r="F30" s="200">
        <f>+'LISTA TRABAJADORES'!H30</f>
        <v>0</v>
      </c>
      <c r="G30" s="200">
        <f>+'ISR '!J31*'ISR '!I31</f>
        <v>0</v>
      </c>
      <c r="H30" s="200">
        <f>+'OTRAS PRESTACIONES'!AE31</f>
        <v>0</v>
      </c>
      <c r="I30" s="200">
        <f>+'ISR '!T31</f>
        <v>0</v>
      </c>
      <c r="J30" s="200">
        <f>+'NOMINA FISCAL'!T30</f>
        <v>0</v>
      </c>
      <c r="K30" s="200">
        <f>+'CUOTAS IMSS'!X30</f>
        <v>0</v>
      </c>
      <c r="L30" s="200">
        <f>+'OTRAS RETENCIONES'!M30</f>
        <v>0</v>
      </c>
      <c r="M30" s="200">
        <f t="shared" si="0"/>
        <v>0</v>
      </c>
      <c r="N30" s="125"/>
    </row>
    <row r="31" spans="2:17" x14ac:dyDescent="0.25">
      <c r="B31" s="50" t="s">
        <v>100</v>
      </c>
      <c r="C31" s="101">
        <f>+'LISTA TRABAJADORES'!F31</f>
        <v>0</v>
      </c>
      <c r="D31" s="101">
        <f>+'LISTA TRABAJADORES'!G31</f>
        <v>0</v>
      </c>
      <c r="E31" s="199">
        <f>+'ISR '!I32</f>
        <v>15</v>
      </c>
      <c r="F31" s="200">
        <f>+'LISTA TRABAJADORES'!H31</f>
        <v>0</v>
      </c>
      <c r="G31" s="200">
        <f>+'ISR '!J32*'ISR '!I32</f>
        <v>0</v>
      </c>
      <c r="H31" s="200">
        <f>+'OTRAS PRESTACIONES'!AE32</f>
        <v>0</v>
      </c>
      <c r="I31" s="200">
        <f>+'ISR '!T32</f>
        <v>0</v>
      </c>
      <c r="J31" s="200">
        <f>+'NOMINA FISCAL'!T31</f>
        <v>0</v>
      </c>
      <c r="K31" s="200">
        <f>+'CUOTAS IMSS'!X31</f>
        <v>0</v>
      </c>
      <c r="L31" s="200">
        <f>+'OTRAS RETENCIONES'!M31</f>
        <v>0</v>
      </c>
      <c r="M31" s="200">
        <f t="shared" si="0"/>
        <v>0</v>
      </c>
      <c r="N31" s="123"/>
    </row>
    <row r="32" spans="2:17" x14ac:dyDescent="0.25">
      <c r="B32" s="50" t="s">
        <v>101</v>
      </c>
      <c r="C32" s="101">
        <f>+'LISTA TRABAJADORES'!F32</f>
        <v>0</v>
      </c>
      <c r="D32" s="101">
        <f>+'LISTA TRABAJADORES'!G32</f>
        <v>0</v>
      </c>
      <c r="E32" s="199">
        <f>+'ISR '!I33</f>
        <v>15</v>
      </c>
      <c r="F32" s="200">
        <f>+'LISTA TRABAJADORES'!H32</f>
        <v>0</v>
      </c>
      <c r="G32" s="200">
        <f>+'ISR '!J33*'ISR '!I33</f>
        <v>0</v>
      </c>
      <c r="H32" s="200">
        <f>+'OTRAS PRESTACIONES'!AE33</f>
        <v>0</v>
      </c>
      <c r="I32" s="200">
        <f>+'ISR '!T33</f>
        <v>0</v>
      </c>
      <c r="J32" s="200">
        <f>+'NOMINA FISCAL'!T32</f>
        <v>0</v>
      </c>
      <c r="K32" s="200">
        <f>+'CUOTAS IMSS'!X32</f>
        <v>0</v>
      </c>
      <c r="L32" s="200">
        <f>+'OTRAS RETENCIONES'!M32</f>
        <v>0</v>
      </c>
      <c r="M32" s="200">
        <f t="shared" si="0"/>
        <v>0</v>
      </c>
      <c r="N32" s="125"/>
    </row>
    <row r="33" spans="2:14" x14ac:dyDescent="0.25">
      <c r="B33" s="50" t="s">
        <v>102</v>
      </c>
      <c r="C33" s="101">
        <f>+'LISTA TRABAJADORES'!F33</f>
        <v>0</v>
      </c>
      <c r="D33" s="101">
        <f>+'LISTA TRABAJADORES'!G33</f>
        <v>0</v>
      </c>
      <c r="E33" s="199">
        <f>+'ISR '!I34</f>
        <v>15</v>
      </c>
      <c r="F33" s="200">
        <f>+'LISTA TRABAJADORES'!H33</f>
        <v>0</v>
      </c>
      <c r="G33" s="200">
        <f>+'ISR '!J34*'ISR '!I34</f>
        <v>0</v>
      </c>
      <c r="H33" s="200">
        <f>+'OTRAS PRESTACIONES'!AE34</f>
        <v>0</v>
      </c>
      <c r="I33" s="200">
        <f>+'ISR '!T34</f>
        <v>0</v>
      </c>
      <c r="J33" s="200">
        <f>+'NOMINA FISCAL'!T33</f>
        <v>0</v>
      </c>
      <c r="K33" s="200">
        <f>+'CUOTAS IMSS'!X33</f>
        <v>0</v>
      </c>
      <c r="L33" s="200">
        <f>+'OTRAS RETENCIONES'!M33</f>
        <v>0</v>
      </c>
      <c r="M33" s="200">
        <f t="shared" si="0"/>
        <v>0</v>
      </c>
      <c r="N33" s="125"/>
    </row>
    <row r="34" spans="2:14" x14ac:dyDescent="0.25">
      <c r="B34" s="50" t="s">
        <v>103</v>
      </c>
      <c r="C34" s="101">
        <f>+'LISTA TRABAJADORES'!F34</f>
        <v>0</v>
      </c>
      <c r="D34" s="101">
        <f>+'LISTA TRABAJADORES'!G34</f>
        <v>0</v>
      </c>
      <c r="E34" s="199">
        <f>+'ISR '!I35</f>
        <v>15</v>
      </c>
      <c r="F34" s="200">
        <f>+'LISTA TRABAJADORES'!H34</f>
        <v>0</v>
      </c>
      <c r="G34" s="200">
        <f>+'ISR '!J35*'ISR '!I35</f>
        <v>0</v>
      </c>
      <c r="H34" s="200">
        <f>+'OTRAS PRESTACIONES'!AE35</f>
        <v>0</v>
      </c>
      <c r="I34" s="200">
        <f>+'ISR '!T35</f>
        <v>0</v>
      </c>
      <c r="J34" s="200">
        <f>+'NOMINA FISCAL'!T34</f>
        <v>0</v>
      </c>
      <c r="K34" s="200">
        <f>+'CUOTAS IMSS'!X34</f>
        <v>0</v>
      </c>
      <c r="L34" s="200">
        <f>+'OTRAS RETENCIONES'!M34</f>
        <v>0</v>
      </c>
      <c r="M34" s="200">
        <f t="shared" si="0"/>
        <v>0</v>
      </c>
      <c r="N34" s="123"/>
    </row>
    <row r="35" spans="2:14" x14ac:dyDescent="0.25">
      <c r="B35" s="50" t="s">
        <v>104</v>
      </c>
      <c r="C35" s="101">
        <f>+'LISTA TRABAJADORES'!F35</f>
        <v>0</v>
      </c>
      <c r="D35" s="101">
        <f>+'LISTA TRABAJADORES'!G35</f>
        <v>0</v>
      </c>
      <c r="E35" s="199">
        <f>+'ISR '!I36</f>
        <v>15</v>
      </c>
      <c r="F35" s="200">
        <f>+'LISTA TRABAJADORES'!H35</f>
        <v>0</v>
      </c>
      <c r="G35" s="200">
        <f>+'ISR '!J36*'ISR '!I36</f>
        <v>0</v>
      </c>
      <c r="H35" s="200">
        <f>+'OTRAS PRESTACIONES'!AE36</f>
        <v>0</v>
      </c>
      <c r="I35" s="200">
        <f>+'ISR '!T36</f>
        <v>0</v>
      </c>
      <c r="J35" s="200">
        <f>+'NOMINA FISCAL'!T35</f>
        <v>0</v>
      </c>
      <c r="K35" s="200">
        <f>+'CUOTAS IMSS'!X35</f>
        <v>0</v>
      </c>
      <c r="L35" s="200">
        <f>+'OTRAS RETENCIONES'!M35</f>
        <v>0</v>
      </c>
      <c r="M35" s="200">
        <f t="shared" si="0"/>
        <v>0</v>
      </c>
      <c r="N35" s="125"/>
    </row>
    <row r="36" spans="2:14" x14ac:dyDescent="0.25">
      <c r="B36" s="50" t="s">
        <v>105</v>
      </c>
      <c r="C36" s="101">
        <f>+'LISTA TRABAJADORES'!F36</f>
        <v>0</v>
      </c>
      <c r="D36" s="101">
        <f>+'LISTA TRABAJADORES'!G36</f>
        <v>0</v>
      </c>
      <c r="E36" s="199">
        <f>+'ISR '!I37</f>
        <v>15</v>
      </c>
      <c r="F36" s="200">
        <f>+'LISTA TRABAJADORES'!H36</f>
        <v>0</v>
      </c>
      <c r="G36" s="200">
        <f>+'ISR '!J37*'ISR '!I37</f>
        <v>0</v>
      </c>
      <c r="H36" s="200">
        <f>+'OTRAS PRESTACIONES'!AE37</f>
        <v>0</v>
      </c>
      <c r="I36" s="200">
        <f>+'ISR '!T37</f>
        <v>0</v>
      </c>
      <c r="J36" s="200">
        <f>+'NOMINA FISCAL'!T36</f>
        <v>0</v>
      </c>
      <c r="K36" s="200">
        <f>+'CUOTAS IMSS'!X36</f>
        <v>0</v>
      </c>
      <c r="L36" s="200">
        <f>+'OTRAS RETENCIONES'!M36</f>
        <v>0</v>
      </c>
      <c r="M36" s="200">
        <f t="shared" si="0"/>
        <v>0</v>
      </c>
      <c r="N36" s="125"/>
    </row>
    <row r="37" spans="2:14" x14ac:dyDescent="0.25">
      <c r="B37" s="50" t="s">
        <v>106</v>
      </c>
      <c r="C37" s="101">
        <f>+'LISTA TRABAJADORES'!F37</f>
        <v>0</v>
      </c>
      <c r="D37" s="101">
        <f>+'LISTA TRABAJADORES'!G37</f>
        <v>0</v>
      </c>
      <c r="E37" s="199">
        <f>+'ISR '!I38</f>
        <v>15</v>
      </c>
      <c r="F37" s="200">
        <f>+'LISTA TRABAJADORES'!H37</f>
        <v>0</v>
      </c>
      <c r="G37" s="200">
        <f>+'ISR '!J38*'ISR '!I38</f>
        <v>0</v>
      </c>
      <c r="H37" s="200">
        <f>+'OTRAS PRESTACIONES'!AE38</f>
        <v>0</v>
      </c>
      <c r="I37" s="200">
        <f>+'ISR '!T38</f>
        <v>0</v>
      </c>
      <c r="J37" s="200">
        <f>+'NOMINA FISCAL'!T37</f>
        <v>0</v>
      </c>
      <c r="K37" s="200">
        <f>+'CUOTAS IMSS'!X37</f>
        <v>0</v>
      </c>
      <c r="L37" s="200">
        <f>+'OTRAS RETENCIONES'!M37</f>
        <v>0</v>
      </c>
      <c r="M37" s="200">
        <f t="shared" si="0"/>
        <v>0</v>
      </c>
      <c r="N37" s="123"/>
    </row>
    <row r="38" spans="2:14" x14ac:dyDescent="0.25">
      <c r="B38" s="50" t="s">
        <v>107</v>
      </c>
      <c r="C38" s="101">
        <f>+'LISTA TRABAJADORES'!F38</f>
        <v>0</v>
      </c>
      <c r="D38" s="101">
        <f>+'LISTA TRABAJADORES'!G38</f>
        <v>0</v>
      </c>
      <c r="E38" s="199">
        <f>+'ISR '!I39</f>
        <v>15</v>
      </c>
      <c r="F38" s="200">
        <f>+'LISTA TRABAJADORES'!H38</f>
        <v>0</v>
      </c>
      <c r="G38" s="200">
        <f>+'ISR '!J39*'ISR '!I39</f>
        <v>0</v>
      </c>
      <c r="H38" s="200">
        <f>+'OTRAS PRESTACIONES'!AE39</f>
        <v>0</v>
      </c>
      <c r="I38" s="200">
        <f>+'ISR '!T39</f>
        <v>0</v>
      </c>
      <c r="J38" s="200">
        <f>+'NOMINA FISCAL'!T38</f>
        <v>0</v>
      </c>
      <c r="K38" s="200">
        <f>+'CUOTAS IMSS'!X38</f>
        <v>0</v>
      </c>
      <c r="L38" s="200">
        <f>+'OTRAS RETENCIONES'!M38</f>
        <v>0</v>
      </c>
      <c r="M38" s="200">
        <f t="shared" si="0"/>
        <v>0</v>
      </c>
      <c r="N38" s="125"/>
    </row>
    <row r="39" spans="2:14" x14ac:dyDescent="0.25">
      <c r="B39" s="50" t="s">
        <v>108</v>
      </c>
      <c r="C39" s="101">
        <f>+'LISTA TRABAJADORES'!F39</f>
        <v>0</v>
      </c>
      <c r="D39" s="101">
        <f>+'LISTA TRABAJADORES'!G39</f>
        <v>0</v>
      </c>
      <c r="E39" s="199">
        <f>+'ISR '!I40</f>
        <v>15</v>
      </c>
      <c r="F39" s="200">
        <f>+'LISTA TRABAJADORES'!H39</f>
        <v>0</v>
      </c>
      <c r="G39" s="200">
        <f>+'ISR '!J40*'ISR '!I40</f>
        <v>0</v>
      </c>
      <c r="H39" s="200">
        <f>+'OTRAS PRESTACIONES'!AE40</f>
        <v>0</v>
      </c>
      <c r="I39" s="200">
        <f>+'ISR '!T40</f>
        <v>0</v>
      </c>
      <c r="J39" s="200">
        <f>+'NOMINA FISCAL'!T39</f>
        <v>0</v>
      </c>
      <c r="K39" s="200">
        <f>+'CUOTAS IMSS'!X39</f>
        <v>0</v>
      </c>
      <c r="L39" s="200">
        <f>+'OTRAS RETENCIONES'!M39</f>
        <v>0</v>
      </c>
      <c r="M39" s="200">
        <f t="shared" si="0"/>
        <v>0</v>
      </c>
      <c r="N39" s="125"/>
    </row>
    <row r="40" spans="2:14" x14ac:dyDescent="0.25">
      <c r="B40" s="50" t="s">
        <v>109</v>
      </c>
      <c r="C40" s="101">
        <f>+'LISTA TRABAJADORES'!F40</f>
        <v>0</v>
      </c>
      <c r="D40" s="101">
        <f>+'LISTA TRABAJADORES'!G40</f>
        <v>0</v>
      </c>
      <c r="E40" s="199">
        <f>+'ISR '!I41</f>
        <v>15</v>
      </c>
      <c r="F40" s="200">
        <f>+'LISTA TRABAJADORES'!H40</f>
        <v>0</v>
      </c>
      <c r="G40" s="200">
        <f>+'ISR '!J41*'ISR '!I41</f>
        <v>0</v>
      </c>
      <c r="H40" s="200">
        <f>+'OTRAS PRESTACIONES'!AE41</f>
        <v>0</v>
      </c>
      <c r="I40" s="200">
        <f>+'ISR '!T41</f>
        <v>0</v>
      </c>
      <c r="J40" s="200">
        <f>+'NOMINA FISCAL'!T40</f>
        <v>0</v>
      </c>
      <c r="K40" s="200">
        <f>+'CUOTAS IMSS'!X40</f>
        <v>0</v>
      </c>
      <c r="L40" s="200">
        <f>+'OTRAS RETENCIONES'!M40</f>
        <v>0</v>
      </c>
      <c r="M40" s="200">
        <f t="shared" si="0"/>
        <v>0</v>
      </c>
      <c r="N40" s="123"/>
    </row>
    <row r="41" spans="2:14" x14ac:dyDescent="0.25">
      <c r="B41" s="50" t="s">
        <v>110</v>
      </c>
      <c r="C41" s="101">
        <f>+'LISTA TRABAJADORES'!F41</f>
        <v>0</v>
      </c>
      <c r="D41" s="101">
        <f>+'LISTA TRABAJADORES'!G41</f>
        <v>0</v>
      </c>
      <c r="E41" s="199">
        <f>+'ISR '!I42</f>
        <v>15</v>
      </c>
      <c r="F41" s="200">
        <f>+'LISTA TRABAJADORES'!H41</f>
        <v>0</v>
      </c>
      <c r="G41" s="200">
        <f>+'ISR '!J42*'ISR '!I42</f>
        <v>0</v>
      </c>
      <c r="H41" s="200">
        <f>+'OTRAS PRESTACIONES'!AE42</f>
        <v>0</v>
      </c>
      <c r="I41" s="200">
        <f>+'ISR '!T42</f>
        <v>0</v>
      </c>
      <c r="J41" s="200">
        <f>+'NOMINA FISCAL'!T41</f>
        <v>0</v>
      </c>
      <c r="K41" s="200">
        <f>+'CUOTAS IMSS'!X41</f>
        <v>0</v>
      </c>
      <c r="L41" s="200">
        <f>+'OTRAS RETENCIONES'!M41</f>
        <v>0</v>
      </c>
      <c r="M41" s="200">
        <f t="shared" si="0"/>
        <v>0</v>
      </c>
      <c r="N41" s="125"/>
    </row>
    <row r="42" spans="2:14" x14ac:dyDescent="0.25">
      <c r="B42" s="50" t="s">
        <v>111</v>
      </c>
      <c r="C42" s="101">
        <f>+'LISTA TRABAJADORES'!F42</f>
        <v>0</v>
      </c>
      <c r="D42" s="101">
        <f>+'LISTA TRABAJADORES'!G42</f>
        <v>0</v>
      </c>
      <c r="E42" s="199">
        <f>+'ISR '!I43</f>
        <v>15</v>
      </c>
      <c r="F42" s="200">
        <f>+'LISTA TRABAJADORES'!H42</f>
        <v>0</v>
      </c>
      <c r="G42" s="200">
        <f>+'ISR '!J43*'ISR '!I43</f>
        <v>0</v>
      </c>
      <c r="H42" s="200">
        <f>+'OTRAS PRESTACIONES'!AE43</f>
        <v>0</v>
      </c>
      <c r="I42" s="200">
        <f>+'ISR '!T43</f>
        <v>0</v>
      </c>
      <c r="J42" s="200">
        <f>+'NOMINA FISCAL'!T42</f>
        <v>0</v>
      </c>
      <c r="K42" s="200">
        <f>+'CUOTAS IMSS'!X42</f>
        <v>0</v>
      </c>
      <c r="L42" s="200">
        <f>+'OTRAS RETENCIONES'!M42</f>
        <v>0</v>
      </c>
      <c r="M42" s="200">
        <f t="shared" si="0"/>
        <v>0</v>
      </c>
      <c r="N42" s="125"/>
    </row>
    <row r="43" spans="2:14" x14ac:dyDescent="0.25">
      <c r="B43" s="50" t="s">
        <v>112</v>
      </c>
      <c r="C43" s="101">
        <f>+'LISTA TRABAJADORES'!F43</f>
        <v>0</v>
      </c>
      <c r="D43" s="101">
        <f>+'LISTA TRABAJADORES'!G43</f>
        <v>0</v>
      </c>
      <c r="E43" s="199">
        <f>+'ISR '!I44</f>
        <v>15</v>
      </c>
      <c r="F43" s="200">
        <f>+'LISTA TRABAJADORES'!H43</f>
        <v>0</v>
      </c>
      <c r="G43" s="200">
        <f>+'ISR '!J44*'ISR '!I44</f>
        <v>0</v>
      </c>
      <c r="H43" s="200">
        <f>+'OTRAS PRESTACIONES'!AE44</f>
        <v>0</v>
      </c>
      <c r="I43" s="200">
        <f>+'ISR '!T44</f>
        <v>0</v>
      </c>
      <c r="J43" s="200">
        <f>+'NOMINA FISCAL'!T43</f>
        <v>0</v>
      </c>
      <c r="K43" s="200">
        <f>+'CUOTAS IMSS'!X43</f>
        <v>0</v>
      </c>
      <c r="L43" s="200">
        <f>+'OTRAS RETENCIONES'!M43</f>
        <v>0</v>
      </c>
      <c r="M43" s="200">
        <f t="shared" si="0"/>
        <v>0</v>
      </c>
      <c r="N43" s="123"/>
    </row>
    <row r="44" spans="2:14" x14ac:dyDescent="0.25">
      <c r="B44" s="50" t="s">
        <v>114</v>
      </c>
      <c r="C44" s="101">
        <f>+'LISTA TRABAJADORES'!F44</f>
        <v>0</v>
      </c>
      <c r="D44" s="101">
        <f>+'LISTA TRABAJADORES'!G44</f>
        <v>0</v>
      </c>
      <c r="E44" s="199">
        <f>+'ISR '!I45</f>
        <v>15</v>
      </c>
      <c r="F44" s="200">
        <f>+'LISTA TRABAJADORES'!H44</f>
        <v>0</v>
      </c>
      <c r="G44" s="200">
        <f>+'ISR '!J45*'ISR '!I45</f>
        <v>0</v>
      </c>
      <c r="H44" s="200">
        <f>+'OTRAS PRESTACIONES'!AE45</f>
        <v>0</v>
      </c>
      <c r="I44" s="200">
        <f>+'ISR '!T45</f>
        <v>0</v>
      </c>
      <c r="J44" s="200">
        <f>+'NOMINA FISCAL'!T44</f>
        <v>0</v>
      </c>
      <c r="K44" s="200">
        <f>+'CUOTAS IMSS'!X44</f>
        <v>0</v>
      </c>
      <c r="L44" s="200">
        <f>+'OTRAS RETENCIONES'!M44</f>
        <v>0</v>
      </c>
      <c r="M44" s="200">
        <f t="shared" si="0"/>
        <v>0</v>
      </c>
      <c r="N44" s="125"/>
    </row>
    <row r="45" spans="2:14" x14ac:dyDescent="0.25">
      <c r="B45" s="50" t="s">
        <v>115</v>
      </c>
      <c r="C45" s="101">
        <f>+'LISTA TRABAJADORES'!F45</f>
        <v>0</v>
      </c>
      <c r="D45" s="101">
        <f>+'LISTA TRABAJADORES'!G45</f>
        <v>0</v>
      </c>
      <c r="E45" s="199">
        <f>+'ISR '!I46</f>
        <v>15</v>
      </c>
      <c r="F45" s="200">
        <f>+'LISTA TRABAJADORES'!H45</f>
        <v>0</v>
      </c>
      <c r="G45" s="200">
        <f>+'ISR '!J46*'ISR '!I46</f>
        <v>0</v>
      </c>
      <c r="H45" s="200">
        <f>+'OTRAS PRESTACIONES'!AE46</f>
        <v>0</v>
      </c>
      <c r="I45" s="200">
        <f>+'ISR '!T46</f>
        <v>0</v>
      </c>
      <c r="J45" s="200">
        <f>+'NOMINA FISCAL'!T45</f>
        <v>0</v>
      </c>
      <c r="K45" s="200">
        <f>+'CUOTAS IMSS'!X45</f>
        <v>0</v>
      </c>
      <c r="L45" s="200">
        <f>+'OTRAS RETENCIONES'!M45</f>
        <v>0</v>
      </c>
      <c r="M45" s="200">
        <f t="shared" si="0"/>
        <v>0</v>
      </c>
      <c r="N45" s="125"/>
    </row>
    <row r="46" spans="2:14" x14ac:dyDescent="0.25">
      <c r="B46" s="50" t="s">
        <v>116</v>
      </c>
      <c r="C46" s="101">
        <f>+'LISTA TRABAJADORES'!F46</f>
        <v>0</v>
      </c>
      <c r="D46" s="101">
        <f>+'LISTA TRABAJADORES'!G46</f>
        <v>0</v>
      </c>
      <c r="E46" s="199">
        <f>+'ISR '!I47</f>
        <v>15</v>
      </c>
      <c r="F46" s="200">
        <f>+'LISTA TRABAJADORES'!H46</f>
        <v>0</v>
      </c>
      <c r="G46" s="200">
        <f>+'ISR '!J47*'ISR '!I47</f>
        <v>0</v>
      </c>
      <c r="H46" s="200">
        <f>+'OTRAS PRESTACIONES'!AE47</f>
        <v>0</v>
      </c>
      <c r="I46" s="200">
        <f>+'ISR '!T47</f>
        <v>0</v>
      </c>
      <c r="J46" s="200">
        <f>+'NOMINA FISCAL'!T46</f>
        <v>0</v>
      </c>
      <c r="K46" s="200">
        <f>+'CUOTAS IMSS'!X46</f>
        <v>0</v>
      </c>
      <c r="L46" s="200">
        <f>+'OTRAS RETENCIONES'!M46</f>
        <v>0</v>
      </c>
      <c r="M46" s="200">
        <f t="shared" si="0"/>
        <v>0</v>
      </c>
      <c r="N46" s="123"/>
    </row>
    <row r="47" spans="2:14" x14ac:dyDescent="0.25">
      <c r="B47" s="50" t="s">
        <v>117</v>
      </c>
      <c r="C47" s="101">
        <f>+'LISTA TRABAJADORES'!F47</f>
        <v>0</v>
      </c>
      <c r="D47" s="101">
        <f>+'LISTA TRABAJADORES'!G47</f>
        <v>0</v>
      </c>
      <c r="E47" s="199">
        <f>+'ISR '!I48</f>
        <v>15</v>
      </c>
      <c r="F47" s="200">
        <f>+'LISTA TRABAJADORES'!H47</f>
        <v>0</v>
      </c>
      <c r="G47" s="200">
        <f>+'ISR '!J48*'ISR '!I48</f>
        <v>0</v>
      </c>
      <c r="H47" s="200">
        <f>+'OTRAS PRESTACIONES'!AE48</f>
        <v>0</v>
      </c>
      <c r="I47" s="200">
        <f>+'ISR '!T48</f>
        <v>0</v>
      </c>
      <c r="J47" s="200">
        <f>+'NOMINA FISCAL'!T47</f>
        <v>0</v>
      </c>
      <c r="K47" s="200">
        <f>+'CUOTAS IMSS'!X47</f>
        <v>0</v>
      </c>
      <c r="L47" s="200">
        <f>+'OTRAS RETENCIONES'!M47</f>
        <v>0</v>
      </c>
      <c r="M47" s="200">
        <f t="shared" si="0"/>
        <v>0</v>
      </c>
      <c r="N47" s="125"/>
    </row>
    <row r="48" spans="2:14" x14ac:dyDescent="0.25">
      <c r="B48" s="50" t="s">
        <v>118</v>
      </c>
      <c r="C48" s="101">
        <f>+'LISTA TRABAJADORES'!F48</f>
        <v>0</v>
      </c>
      <c r="D48" s="101">
        <f>+'LISTA TRABAJADORES'!G48</f>
        <v>0</v>
      </c>
      <c r="E48" s="199">
        <f>+'ISR '!I49</f>
        <v>15</v>
      </c>
      <c r="F48" s="200">
        <f>+'LISTA TRABAJADORES'!H48</f>
        <v>0</v>
      </c>
      <c r="G48" s="200">
        <f>+'ISR '!J49*'ISR '!I49</f>
        <v>0</v>
      </c>
      <c r="H48" s="200">
        <f>+'OTRAS PRESTACIONES'!AE49</f>
        <v>0</v>
      </c>
      <c r="I48" s="200">
        <f>+'ISR '!T49</f>
        <v>0</v>
      </c>
      <c r="J48" s="200">
        <f>+'NOMINA FISCAL'!T48</f>
        <v>0</v>
      </c>
      <c r="K48" s="200">
        <f>+'CUOTAS IMSS'!X48</f>
        <v>0</v>
      </c>
      <c r="L48" s="200">
        <f>+'OTRAS RETENCIONES'!M48</f>
        <v>0</v>
      </c>
      <c r="M48" s="200">
        <f t="shared" si="0"/>
        <v>0</v>
      </c>
      <c r="N48" s="125"/>
    </row>
    <row r="49" spans="2:14" x14ac:dyDescent="0.25">
      <c r="B49" s="50" t="s">
        <v>119</v>
      </c>
      <c r="C49" s="101">
        <f>+'LISTA TRABAJADORES'!F49</f>
        <v>0</v>
      </c>
      <c r="D49" s="101">
        <f>+'LISTA TRABAJADORES'!G49</f>
        <v>0</v>
      </c>
      <c r="E49" s="199">
        <f>+'ISR '!I50</f>
        <v>15</v>
      </c>
      <c r="F49" s="200">
        <f>+'LISTA TRABAJADORES'!H49</f>
        <v>0</v>
      </c>
      <c r="G49" s="200">
        <f>+'ISR '!J50*'ISR '!I50</f>
        <v>0</v>
      </c>
      <c r="H49" s="200">
        <f>+'OTRAS PRESTACIONES'!AE50</f>
        <v>0</v>
      </c>
      <c r="I49" s="200">
        <f>+'ISR '!T50</f>
        <v>0</v>
      </c>
      <c r="J49" s="200">
        <f>+'NOMINA FISCAL'!T49</f>
        <v>0</v>
      </c>
      <c r="K49" s="200">
        <f>+'CUOTAS IMSS'!X49</f>
        <v>0</v>
      </c>
      <c r="L49" s="200">
        <f>+'OTRAS RETENCIONES'!M49</f>
        <v>0</v>
      </c>
      <c r="M49" s="200">
        <f t="shared" si="0"/>
        <v>0</v>
      </c>
      <c r="N49" s="123"/>
    </row>
    <row r="50" spans="2:14" x14ac:dyDescent="0.25">
      <c r="B50" s="50" t="s">
        <v>120</v>
      </c>
      <c r="C50" s="101">
        <f>+'LISTA TRABAJADORES'!F50</f>
        <v>0</v>
      </c>
      <c r="D50" s="101">
        <f>+'LISTA TRABAJADORES'!G50</f>
        <v>0</v>
      </c>
      <c r="E50" s="199">
        <f>+'ISR '!I51</f>
        <v>15</v>
      </c>
      <c r="F50" s="200">
        <f>+'LISTA TRABAJADORES'!H50</f>
        <v>0</v>
      </c>
      <c r="G50" s="200">
        <f>+'ISR '!J51*'ISR '!I51</f>
        <v>0</v>
      </c>
      <c r="H50" s="200">
        <f>+'OTRAS PRESTACIONES'!AE51</f>
        <v>0</v>
      </c>
      <c r="I50" s="200">
        <f>+'ISR '!T51</f>
        <v>0</v>
      </c>
      <c r="J50" s="200">
        <f>+'NOMINA FISCAL'!T50</f>
        <v>0</v>
      </c>
      <c r="K50" s="200">
        <f>+'CUOTAS IMSS'!X50</f>
        <v>0</v>
      </c>
      <c r="L50" s="200">
        <f>+'OTRAS RETENCIONES'!M50</f>
        <v>0</v>
      </c>
      <c r="M50" s="200">
        <f t="shared" si="0"/>
        <v>0</v>
      </c>
      <c r="N50" s="125"/>
    </row>
    <row r="51" spans="2:14" x14ac:dyDescent="0.25">
      <c r="B51" s="50" t="s">
        <v>121</v>
      </c>
      <c r="C51" s="101">
        <f>+'LISTA TRABAJADORES'!F51</f>
        <v>0</v>
      </c>
      <c r="D51" s="101">
        <f>+'LISTA TRABAJADORES'!G51</f>
        <v>0</v>
      </c>
      <c r="E51" s="199">
        <f>+'ISR '!I52</f>
        <v>15</v>
      </c>
      <c r="F51" s="200">
        <f>+'LISTA TRABAJADORES'!H51</f>
        <v>0</v>
      </c>
      <c r="G51" s="200">
        <f>+'ISR '!J52*'ISR '!I52</f>
        <v>0</v>
      </c>
      <c r="H51" s="200">
        <f>+'OTRAS PRESTACIONES'!AE52</f>
        <v>0</v>
      </c>
      <c r="I51" s="200">
        <f>+'ISR '!T52</f>
        <v>0</v>
      </c>
      <c r="J51" s="200">
        <f>+'NOMINA FISCAL'!T51</f>
        <v>0</v>
      </c>
      <c r="K51" s="200">
        <f>+'CUOTAS IMSS'!X51</f>
        <v>0</v>
      </c>
      <c r="L51" s="200">
        <f>+'OTRAS RETENCIONES'!M51</f>
        <v>0</v>
      </c>
      <c r="M51" s="200">
        <f t="shared" si="0"/>
        <v>0</v>
      </c>
      <c r="N51" s="125"/>
    </row>
    <row r="52" spans="2:14" x14ac:dyDescent="0.25">
      <c r="B52" s="50" t="s">
        <v>122</v>
      </c>
      <c r="C52" s="101">
        <f>+'LISTA TRABAJADORES'!F52</f>
        <v>0</v>
      </c>
      <c r="D52" s="101">
        <f>+'LISTA TRABAJADORES'!G52</f>
        <v>0</v>
      </c>
      <c r="E52" s="199">
        <f>+'ISR '!I53</f>
        <v>15</v>
      </c>
      <c r="F52" s="200">
        <f>+'LISTA TRABAJADORES'!H52</f>
        <v>0</v>
      </c>
      <c r="G52" s="200">
        <f>+'ISR '!J53*'ISR '!I53</f>
        <v>0</v>
      </c>
      <c r="H52" s="200">
        <f>+'OTRAS PRESTACIONES'!AE53</f>
        <v>0</v>
      </c>
      <c r="I52" s="200">
        <f>+'ISR '!T53</f>
        <v>0</v>
      </c>
      <c r="J52" s="200">
        <f>+'NOMINA FISCAL'!T52</f>
        <v>0</v>
      </c>
      <c r="K52" s="200">
        <f>+'CUOTAS IMSS'!X52</f>
        <v>0</v>
      </c>
      <c r="L52" s="200">
        <f>+'OTRAS RETENCIONES'!M52</f>
        <v>0</v>
      </c>
      <c r="M52" s="200">
        <f t="shared" si="0"/>
        <v>0</v>
      </c>
      <c r="N52" s="123"/>
    </row>
    <row r="53" spans="2:14" x14ac:dyDescent="0.25">
      <c r="B53" s="50" t="s">
        <v>123</v>
      </c>
      <c r="C53" s="101">
        <f>+'LISTA TRABAJADORES'!F53</f>
        <v>0</v>
      </c>
      <c r="D53" s="101">
        <f>+'LISTA TRABAJADORES'!G53</f>
        <v>0</v>
      </c>
      <c r="E53" s="199">
        <f>+'ISR '!I54</f>
        <v>15</v>
      </c>
      <c r="F53" s="200">
        <f>+'LISTA TRABAJADORES'!H53</f>
        <v>0</v>
      </c>
      <c r="G53" s="200">
        <f>+'ISR '!J54*'ISR '!I54</f>
        <v>0</v>
      </c>
      <c r="H53" s="200">
        <f>+'OTRAS PRESTACIONES'!AE54</f>
        <v>0</v>
      </c>
      <c r="I53" s="200">
        <f>+'ISR '!T54</f>
        <v>0</v>
      </c>
      <c r="J53" s="200">
        <f>+'NOMINA FISCAL'!T53</f>
        <v>0</v>
      </c>
      <c r="K53" s="200">
        <f>+'CUOTAS IMSS'!X53</f>
        <v>0</v>
      </c>
      <c r="L53" s="200">
        <f>+'OTRAS RETENCIONES'!M53</f>
        <v>0</v>
      </c>
      <c r="M53" s="200">
        <f t="shared" si="0"/>
        <v>0</v>
      </c>
      <c r="N53" s="125"/>
    </row>
    <row r="54" spans="2:14" x14ac:dyDescent="0.25">
      <c r="B54" s="50" t="s">
        <v>124</v>
      </c>
      <c r="C54" s="101">
        <f>+'LISTA TRABAJADORES'!F54</f>
        <v>0</v>
      </c>
      <c r="D54" s="101">
        <f>+'LISTA TRABAJADORES'!G54</f>
        <v>0</v>
      </c>
      <c r="E54" s="199">
        <f>+'ISR '!I55</f>
        <v>15</v>
      </c>
      <c r="F54" s="200">
        <f>+'LISTA TRABAJADORES'!H54</f>
        <v>0</v>
      </c>
      <c r="G54" s="200">
        <f>+'ISR '!J55*'ISR '!I55</f>
        <v>0</v>
      </c>
      <c r="H54" s="200">
        <f>+'OTRAS PRESTACIONES'!AE55</f>
        <v>0</v>
      </c>
      <c r="I54" s="200">
        <f>+'ISR '!T55</f>
        <v>0</v>
      </c>
      <c r="J54" s="200">
        <f>+'NOMINA FISCAL'!T54</f>
        <v>0</v>
      </c>
      <c r="K54" s="200">
        <f>+'CUOTAS IMSS'!X54</f>
        <v>0</v>
      </c>
      <c r="L54" s="200">
        <f>+'OTRAS RETENCIONES'!M54</f>
        <v>0</v>
      </c>
      <c r="M54" s="200">
        <f t="shared" si="0"/>
        <v>0</v>
      </c>
      <c r="N54" s="125"/>
    </row>
    <row r="55" spans="2:14" x14ac:dyDescent="0.25">
      <c r="B55" s="50" t="s">
        <v>125</v>
      </c>
      <c r="C55" s="101">
        <f>+'LISTA TRABAJADORES'!F55</f>
        <v>0</v>
      </c>
      <c r="D55" s="101">
        <f>+'LISTA TRABAJADORES'!G55</f>
        <v>0</v>
      </c>
      <c r="E55" s="199">
        <f>+'ISR '!I56</f>
        <v>15</v>
      </c>
      <c r="F55" s="200">
        <f>+'LISTA TRABAJADORES'!H55</f>
        <v>0</v>
      </c>
      <c r="G55" s="200">
        <f>+'ISR '!J56*'ISR '!I56</f>
        <v>0</v>
      </c>
      <c r="H55" s="200">
        <f>+'OTRAS PRESTACIONES'!AE56</f>
        <v>0</v>
      </c>
      <c r="I55" s="200">
        <f>+'ISR '!T56</f>
        <v>0</v>
      </c>
      <c r="J55" s="200">
        <f>+'NOMINA FISCAL'!T55</f>
        <v>0</v>
      </c>
      <c r="K55" s="200">
        <f>+'CUOTAS IMSS'!X55</f>
        <v>0</v>
      </c>
      <c r="L55" s="200">
        <f>+'OTRAS RETENCIONES'!M55</f>
        <v>0</v>
      </c>
      <c r="M55" s="200">
        <f t="shared" si="0"/>
        <v>0</v>
      </c>
      <c r="N55" s="123"/>
    </row>
    <row r="56" spans="2:14" x14ac:dyDescent="0.25">
      <c r="B56" s="51" t="s">
        <v>126</v>
      </c>
      <c r="C56" s="101">
        <f>+'LISTA TRABAJADORES'!F56</f>
        <v>0</v>
      </c>
      <c r="D56" s="101">
        <f>+'LISTA TRABAJADORES'!G56</f>
        <v>0</v>
      </c>
      <c r="E56" s="199">
        <f>+'ISR '!I57</f>
        <v>15</v>
      </c>
      <c r="F56" s="200">
        <f>+'LISTA TRABAJADORES'!H56</f>
        <v>0</v>
      </c>
      <c r="G56" s="200">
        <f>+'ISR '!J57*'ISR '!I57</f>
        <v>0</v>
      </c>
      <c r="H56" s="200">
        <f>+'OTRAS PRESTACIONES'!AE57</f>
        <v>0</v>
      </c>
      <c r="I56" s="200">
        <f>+'ISR '!T57</f>
        <v>0</v>
      </c>
      <c r="J56" s="200">
        <f>+'NOMINA FISCAL'!T56</f>
        <v>0</v>
      </c>
      <c r="K56" s="200">
        <f>+'CUOTAS IMSS'!X56</f>
        <v>0</v>
      </c>
      <c r="L56" s="200">
        <f>+'OTRAS RETENCIONES'!M56</f>
        <v>0</v>
      </c>
      <c r="M56" s="200">
        <f t="shared" si="0"/>
        <v>0</v>
      </c>
      <c r="N56" s="126"/>
    </row>
    <row r="57" spans="2:14" ht="15.75" thickBot="1" x14ac:dyDescent="0.3">
      <c r="B57" s="198" t="s">
        <v>126</v>
      </c>
      <c r="C57" s="191"/>
      <c r="D57" s="191"/>
      <c r="E57" s="201"/>
      <c r="F57" s="202"/>
      <c r="G57" s="194">
        <f>SUM(G7:G56)</f>
        <v>40164.15</v>
      </c>
      <c r="H57" s="194">
        <f t="shared" ref="H57:M57" si="1">SUM(H7:H56)</f>
        <v>0</v>
      </c>
      <c r="I57" s="194">
        <f t="shared" si="1"/>
        <v>0</v>
      </c>
      <c r="J57" s="194">
        <f t="shared" si="1"/>
        <v>2096.7600000000002</v>
      </c>
      <c r="K57" s="194">
        <f t="shared" si="1"/>
        <v>916.7763623812499</v>
      </c>
      <c r="L57" s="194">
        <f t="shared" si="1"/>
        <v>0</v>
      </c>
      <c r="M57" s="194">
        <f t="shared" si="1"/>
        <v>37150.61363761875</v>
      </c>
      <c r="N57" s="103"/>
    </row>
    <row r="58" spans="2:14" ht="15.75" thickTop="1" x14ac:dyDescent="0.25"/>
    <row r="80" spans="4:4" x14ac:dyDescent="0.25">
      <c r="D80" s="192"/>
    </row>
    <row r="81" spans="4:4" x14ac:dyDescent="0.25">
      <c r="D81" s="253"/>
    </row>
    <row r="82" spans="4:4" x14ac:dyDescent="0.25">
      <c r="D82" s="192"/>
    </row>
  </sheetData>
  <mergeCells count="25">
    <mergeCell ref="P18:Q18"/>
    <mergeCell ref="P13:Q13"/>
    <mergeCell ref="P14:Q14"/>
    <mergeCell ref="P15:Q15"/>
    <mergeCell ref="P16:Q16"/>
    <mergeCell ref="P17:Q17"/>
    <mergeCell ref="P8:Q8"/>
    <mergeCell ref="P9:Q9"/>
    <mergeCell ref="P10:Q10"/>
    <mergeCell ref="P11:Q11"/>
    <mergeCell ref="P12:Q12"/>
    <mergeCell ref="P2:Q3"/>
    <mergeCell ref="P4:Q4"/>
    <mergeCell ref="P5:Q5"/>
    <mergeCell ref="P6:Q6"/>
    <mergeCell ref="P7:Q7"/>
    <mergeCell ref="M5:M6"/>
    <mergeCell ref="N5:N6"/>
    <mergeCell ref="B4:N4"/>
    <mergeCell ref="B5:B6"/>
    <mergeCell ref="C5:C6"/>
    <mergeCell ref="D5:D6"/>
    <mergeCell ref="F5:H5"/>
    <mergeCell ref="I5:I6"/>
    <mergeCell ref="J5:L5"/>
  </mergeCells>
  <hyperlinks>
    <hyperlink ref="P4:Q4" location="'Datos y Resumen '!A1" display="DATOS Y RESUMEN" xr:uid="{22623576-DBE8-4B7B-8D09-118A4FAB63C7}"/>
    <hyperlink ref="P5:Q5" location="'LISTA TRABAJADORES'!A1" display="LISTA DE TRABAJADORES" xr:uid="{3A2F6C95-63CB-4482-A767-745022A05432}"/>
    <hyperlink ref="P6:Q6" location="'ISR '!A1" display="ISR" xr:uid="{321A4505-0A85-467F-BB65-62BBB18EC79D}"/>
    <hyperlink ref="P7:Q7" location="'OTRAS PRESTACIONES'!A1" display="OTRAS PRESTACIONES" xr:uid="{F24B15D7-2457-406F-AF83-C3A8792320A3}"/>
    <hyperlink ref="P8:Q8" location="'OTRAS RETENCIONES'!A1" display="OTRAS RETENCIONES" xr:uid="{66C042CB-E53F-476A-B883-DE047D2E8BBE}"/>
    <hyperlink ref="P12:Q12" location="'CUOTAS IMSS'!A1" display="CUOTAS IMSS" xr:uid="{FF4C63B1-35B5-40A3-BECC-09DA200E5D0C}"/>
    <hyperlink ref="P13:Q13" location="'HORAS EXTRAS'!A1" display="HORAS EXTRAS" xr:uid="{EDB9319E-7782-440E-A024-AFA75E45FAD3}"/>
    <hyperlink ref="P14:Q14" location="AGUINALDO!A1" display="AGUINALDO" xr:uid="{30AE6E9F-0893-40D0-BD6C-D786EA36AB9E}"/>
    <hyperlink ref="P15:Q15" location="'NOMINA FISCAL'!A1" display="NOMINA FISCAL " xr:uid="{F0F4B043-4C5B-4379-BD42-DCB2BFE46658}"/>
    <hyperlink ref="P16:Q16" location="CONCEN!A1" display="CONCENTRADO" xr:uid="{9C10D055-EEF8-4EE8-A210-3E55E8E368C5}"/>
    <hyperlink ref="P17:Q17" location="'TARIFAS 2025'!A1" display="TARIFAS 2025" xr:uid="{5ACE4822-DC69-4E17-B117-795D0139FA88}"/>
    <hyperlink ref="P18:Q18" location="'DATOS EXTRAS'!A1" display="DATOS EXTRAS" xr:uid="{EB4E4216-A93B-404C-B120-7498FC3A7B7A}"/>
  </hyperlinks>
  <pageMargins left="0.7" right="0.7" top="0.75" bottom="0.75" header="0.3" footer="0.3"/>
  <pageSetup orientation="portrait" r:id="rId1"/>
  <ignoredErrors>
    <ignoredError sqref="B7:B57" numberStoredAsText="1"/>
    <ignoredError sqref="E7:J7 E57:M57 E8:I10 K8:M56 E12:I56 E11:H11 I11:J11 K7:M7 J8:J10 J12:J22 J23:J42 J43:J5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1AAF-9AA3-4D33-A57A-39F8B9F5C370}">
  <sheetPr codeName="Hoja14">
    <tabColor theme="3" tint="-0.499984740745262"/>
  </sheetPr>
  <dimension ref="B1:O92"/>
  <sheetViews>
    <sheetView zoomScaleNormal="100" workbookViewId="0">
      <selection activeCell="N3" sqref="N3:O4"/>
    </sheetView>
  </sheetViews>
  <sheetFormatPr baseColWidth="10" defaultColWidth="11.42578125" defaultRowHeight="16.5" x14ac:dyDescent="0.3"/>
  <cols>
    <col min="1" max="9" width="11.42578125" style="234" customWidth="1"/>
    <col min="10" max="16384" width="11.42578125" style="234"/>
  </cols>
  <sheetData>
    <row r="1" spans="2:15" ht="17.25" thickBot="1" x14ac:dyDescent="0.35"/>
    <row r="2" spans="2:15" ht="17.25" thickBot="1" x14ac:dyDescent="0.35">
      <c r="B2" s="241" t="s">
        <v>14</v>
      </c>
      <c r="C2" s="242"/>
      <c r="D2" s="242"/>
      <c r="E2" s="242"/>
      <c r="F2" s="243"/>
      <c r="H2" s="432" t="s">
        <v>256</v>
      </c>
      <c r="I2" s="433"/>
      <c r="J2" s="434"/>
    </row>
    <row r="3" spans="2:15" x14ac:dyDescent="0.3">
      <c r="B3" s="235" t="s">
        <v>10</v>
      </c>
      <c r="F3" s="236"/>
      <c r="H3" s="235">
        <v>1</v>
      </c>
      <c r="I3" s="234" t="s">
        <v>251</v>
      </c>
      <c r="J3" s="236"/>
      <c r="N3" s="300" t="s">
        <v>352</v>
      </c>
      <c r="O3" s="301"/>
    </row>
    <row r="4" spans="2:15" x14ac:dyDescent="0.3">
      <c r="B4" s="235" t="s">
        <v>11</v>
      </c>
      <c r="F4" s="236"/>
      <c r="H4" s="235">
        <v>0</v>
      </c>
      <c r="I4" s="234" t="s">
        <v>250</v>
      </c>
      <c r="J4" s="236"/>
      <c r="N4" s="302"/>
      <c r="O4" s="303"/>
    </row>
    <row r="5" spans="2:15" x14ac:dyDescent="0.3">
      <c r="B5" s="235" t="s">
        <v>12</v>
      </c>
      <c r="F5" s="236"/>
      <c r="H5" s="235" t="s">
        <v>257</v>
      </c>
      <c r="J5" s="236" t="s">
        <v>259</v>
      </c>
      <c r="N5" s="304" t="s">
        <v>312</v>
      </c>
      <c r="O5" s="305"/>
    </row>
    <row r="6" spans="2:15" ht="17.25" thickBot="1" x14ac:dyDescent="0.35">
      <c r="B6" s="237" t="s">
        <v>13</v>
      </c>
      <c r="C6" s="238"/>
      <c r="D6" s="238"/>
      <c r="E6" s="238"/>
      <c r="F6" s="239"/>
      <c r="H6" s="235"/>
      <c r="J6" s="236" t="s">
        <v>258</v>
      </c>
      <c r="N6" s="304" t="s">
        <v>233</v>
      </c>
      <c r="O6" s="305"/>
    </row>
    <row r="7" spans="2:15" ht="17.25" thickBot="1" x14ac:dyDescent="0.35">
      <c r="H7" s="237"/>
      <c r="I7" s="238"/>
      <c r="J7" s="239"/>
      <c r="N7" s="304" t="s">
        <v>62</v>
      </c>
      <c r="O7" s="305"/>
    </row>
    <row r="8" spans="2:15" x14ac:dyDescent="0.3">
      <c r="B8" s="435" t="s">
        <v>15</v>
      </c>
      <c r="C8" s="436"/>
      <c r="D8" s="436"/>
      <c r="E8" s="436"/>
      <c r="F8" s="437"/>
      <c r="N8" s="306" t="s">
        <v>313</v>
      </c>
      <c r="O8" s="307"/>
    </row>
    <row r="9" spans="2:15" ht="17.25" thickBot="1" x14ac:dyDescent="0.35">
      <c r="B9" s="244" t="s">
        <v>332</v>
      </c>
      <c r="C9" s="245"/>
      <c r="D9" s="245"/>
      <c r="E9" s="245"/>
      <c r="F9" s="246"/>
      <c r="N9" s="304" t="s">
        <v>243</v>
      </c>
      <c r="O9" s="305"/>
    </row>
    <row r="10" spans="2:15" x14ac:dyDescent="0.3">
      <c r="B10" s="244" t="s">
        <v>331</v>
      </c>
      <c r="C10" s="245"/>
      <c r="D10" s="245"/>
      <c r="E10" s="245"/>
      <c r="F10" s="246"/>
      <c r="N10" s="310" t="s">
        <v>344</v>
      </c>
      <c r="O10" s="311"/>
    </row>
    <row r="11" spans="2:15" x14ac:dyDescent="0.3">
      <c r="B11" s="244" t="s">
        <v>333</v>
      </c>
      <c r="C11" s="245"/>
      <c r="D11" s="245"/>
      <c r="E11" s="245"/>
      <c r="F11" s="246"/>
      <c r="H11" s="240"/>
      <c r="N11" s="312" t="s">
        <v>345</v>
      </c>
      <c r="O11" s="313"/>
    </row>
    <row r="12" spans="2:15" ht="17.25" thickBot="1" x14ac:dyDescent="0.35">
      <c r="B12" s="244"/>
      <c r="C12" s="245"/>
      <c r="D12" s="245"/>
      <c r="E12" s="245"/>
      <c r="F12" s="246"/>
      <c r="H12" s="240"/>
      <c r="N12" s="314" t="s">
        <v>346</v>
      </c>
      <c r="O12" s="315"/>
    </row>
    <row r="13" spans="2:15" x14ac:dyDescent="0.3">
      <c r="B13" s="244"/>
      <c r="C13" s="245"/>
      <c r="D13" s="245"/>
      <c r="E13" s="245"/>
      <c r="F13" s="246"/>
      <c r="H13" s="240"/>
      <c r="N13" s="304" t="s">
        <v>315</v>
      </c>
      <c r="O13" s="305"/>
    </row>
    <row r="14" spans="2:15" x14ac:dyDescent="0.3">
      <c r="B14" s="244"/>
      <c r="C14" s="245"/>
      <c r="D14" s="245"/>
      <c r="E14" s="245"/>
      <c r="F14" s="246"/>
      <c r="H14" s="240"/>
      <c r="N14" s="304" t="s">
        <v>192</v>
      </c>
      <c r="O14" s="305"/>
    </row>
    <row r="15" spans="2:15" x14ac:dyDescent="0.3">
      <c r="B15" s="244"/>
      <c r="C15" s="245"/>
      <c r="D15" s="245"/>
      <c r="E15" s="245"/>
      <c r="F15" s="246"/>
      <c r="H15" s="240"/>
      <c r="N15" s="306" t="s">
        <v>236</v>
      </c>
      <c r="O15" s="307"/>
    </row>
    <row r="16" spans="2:15" x14ac:dyDescent="0.3">
      <c r="B16" s="244"/>
      <c r="C16" s="245"/>
      <c r="D16" s="245"/>
      <c r="E16" s="245"/>
      <c r="F16" s="246"/>
      <c r="N16" s="304" t="s">
        <v>316</v>
      </c>
      <c r="O16" s="305"/>
    </row>
    <row r="17" spans="2:15" x14ac:dyDescent="0.3">
      <c r="B17" s="244"/>
      <c r="C17" s="245"/>
      <c r="D17" s="245"/>
      <c r="E17" s="245"/>
      <c r="F17" s="246"/>
      <c r="N17" s="306" t="s">
        <v>244</v>
      </c>
      <c r="O17" s="307"/>
    </row>
    <row r="18" spans="2:15" x14ac:dyDescent="0.3">
      <c r="B18" s="244"/>
      <c r="C18" s="245"/>
      <c r="D18" s="245"/>
      <c r="E18" s="245"/>
      <c r="F18" s="246"/>
      <c r="N18" s="320" t="s">
        <v>356</v>
      </c>
      <c r="O18" s="321"/>
    </row>
    <row r="19" spans="2:15" ht="17.25" thickBot="1" x14ac:dyDescent="0.35">
      <c r="B19" s="244"/>
      <c r="C19" s="245"/>
      <c r="D19" s="245"/>
      <c r="E19" s="245"/>
      <c r="F19" s="246"/>
      <c r="N19" s="318" t="s">
        <v>330</v>
      </c>
      <c r="O19" s="319"/>
    </row>
    <row r="20" spans="2:15" x14ac:dyDescent="0.3">
      <c r="B20" s="244"/>
      <c r="C20" s="245"/>
      <c r="D20" s="245"/>
      <c r="E20" s="245"/>
      <c r="F20" s="246"/>
    </row>
    <row r="21" spans="2:15" x14ac:dyDescent="0.3">
      <c r="B21" s="244"/>
      <c r="C21" s="245"/>
      <c r="D21" s="245"/>
      <c r="E21" s="245"/>
      <c r="F21" s="246"/>
    </row>
    <row r="22" spans="2:15" x14ac:dyDescent="0.3">
      <c r="B22" s="244"/>
      <c r="C22" s="245"/>
      <c r="D22" s="245"/>
      <c r="E22" s="245"/>
      <c r="F22" s="246"/>
    </row>
    <row r="23" spans="2:15" x14ac:dyDescent="0.3">
      <c r="B23" s="244"/>
      <c r="C23" s="245"/>
      <c r="D23" s="245"/>
      <c r="E23" s="245"/>
      <c r="F23" s="246"/>
    </row>
    <row r="24" spans="2:15" x14ac:dyDescent="0.3">
      <c r="B24" s="244"/>
      <c r="C24" s="245"/>
      <c r="D24" s="245"/>
      <c r="E24" s="245"/>
      <c r="F24" s="246"/>
    </row>
    <row r="25" spans="2:15" x14ac:dyDescent="0.3">
      <c r="B25" s="244"/>
      <c r="C25" s="245"/>
      <c r="D25" s="245"/>
      <c r="E25" s="245"/>
      <c r="F25" s="246"/>
    </row>
    <row r="26" spans="2:15" x14ac:dyDescent="0.3">
      <c r="B26" s="244"/>
      <c r="C26" s="245"/>
      <c r="D26" s="245"/>
      <c r="E26" s="245"/>
      <c r="F26" s="246"/>
    </row>
    <row r="27" spans="2:15" x14ac:dyDescent="0.3">
      <c r="B27" s="244"/>
      <c r="C27" s="245"/>
      <c r="D27" s="245"/>
      <c r="E27" s="245"/>
      <c r="F27" s="246"/>
    </row>
    <row r="28" spans="2:15" x14ac:dyDescent="0.3">
      <c r="B28" s="244"/>
      <c r="C28" s="245"/>
      <c r="D28" s="245"/>
      <c r="E28" s="245"/>
      <c r="F28" s="246"/>
    </row>
    <row r="29" spans="2:15" x14ac:dyDescent="0.3">
      <c r="B29" s="244"/>
      <c r="C29" s="245"/>
      <c r="D29" s="245"/>
      <c r="E29" s="245"/>
      <c r="F29" s="246"/>
    </row>
    <row r="30" spans="2:15" x14ac:dyDescent="0.3">
      <c r="B30" s="244"/>
      <c r="C30" s="245"/>
      <c r="D30" s="245"/>
      <c r="E30" s="245"/>
      <c r="F30" s="246"/>
    </row>
    <row r="31" spans="2:15" x14ac:dyDescent="0.3">
      <c r="B31" s="244"/>
      <c r="C31" s="245"/>
      <c r="D31" s="245"/>
      <c r="E31" s="245"/>
      <c r="F31" s="246"/>
    </row>
    <row r="32" spans="2:15" x14ac:dyDescent="0.3">
      <c r="B32" s="244"/>
      <c r="C32" s="245"/>
      <c r="D32" s="245"/>
      <c r="E32" s="245"/>
      <c r="F32" s="246"/>
    </row>
    <row r="33" spans="2:6" x14ac:dyDescent="0.3">
      <c r="B33" s="244"/>
      <c r="C33" s="245"/>
      <c r="D33" s="245"/>
      <c r="E33" s="245"/>
      <c r="F33" s="246"/>
    </row>
    <row r="34" spans="2:6" x14ac:dyDescent="0.3">
      <c r="B34" s="244"/>
      <c r="C34" s="245"/>
      <c r="D34" s="245"/>
      <c r="E34" s="245"/>
      <c r="F34" s="246"/>
    </row>
    <row r="35" spans="2:6" x14ac:dyDescent="0.3">
      <c r="B35" s="244"/>
      <c r="C35" s="245"/>
      <c r="D35" s="245"/>
      <c r="E35" s="245"/>
      <c r="F35" s="246"/>
    </row>
    <row r="36" spans="2:6" x14ac:dyDescent="0.3">
      <c r="B36" s="244"/>
      <c r="C36" s="245"/>
      <c r="D36" s="245"/>
      <c r="E36" s="245"/>
      <c r="F36" s="246"/>
    </row>
    <row r="37" spans="2:6" x14ac:dyDescent="0.3">
      <c r="B37" s="244"/>
      <c r="C37" s="245"/>
      <c r="D37" s="245"/>
      <c r="E37" s="245"/>
      <c r="F37" s="246"/>
    </row>
    <row r="38" spans="2:6" x14ac:dyDescent="0.3">
      <c r="B38" s="244"/>
      <c r="C38" s="245"/>
      <c r="D38" s="245"/>
      <c r="E38" s="245"/>
      <c r="F38" s="246"/>
    </row>
    <row r="39" spans="2:6" x14ac:dyDescent="0.3">
      <c r="B39" s="244"/>
      <c r="C39" s="245"/>
      <c r="D39" s="245"/>
      <c r="E39" s="245"/>
      <c r="F39" s="246"/>
    </row>
    <row r="40" spans="2:6" x14ac:dyDescent="0.3">
      <c r="B40" s="244"/>
      <c r="C40" s="245"/>
      <c r="D40" s="245"/>
      <c r="E40" s="245"/>
      <c r="F40" s="246"/>
    </row>
    <row r="41" spans="2:6" x14ac:dyDescent="0.3">
      <c r="B41" s="244"/>
      <c r="C41" s="245"/>
      <c r="D41" s="245"/>
      <c r="E41" s="245"/>
      <c r="F41" s="246"/>
    </row>
    <row r="42" spans="2:6" x14ac:dyDescent="0.3">
      <c r="B42" s="244"/>
      <c r="C42" s="245"/>
      <c r="D42" s="245"/>
      <c r="E42" s="245"/>
      <c r="F42" s="246"/>
    </row>
    <row r="43" spans="2:6" x14ac:dyDescent="0.3">
      <c r="B43" s="244"/>
      <c r="C43" s="245"/>
      <c r="D43" s="245"/>
      <c r="E43" s="245"/>
      <c r="F43" s="246"/>
    </row>
    <row r="44" spans="2:6" x14ac:dyDescent="0.3">
      <c r="B44" s="244"/>
      <c r="C44" s="245"/>
      <c r="D44" s="245"/>
      <c r="E44" s="245"/>
      <c r="F44" s="246"/>
    </row>
    <row r="45" spans="2:6" x14ac:dyDescent="0.3">
      <c r="B45" s="244"/>
      <c r="C45" s="245"/>
      <c r="D45" s="245"/>
      <c r="E45" s="245"/>
      <c r="F45" s="246"/>
    </row>
    <row r="46" spans="2:6" x14ac:dyDescent="0.3">
      <c r="B46" s="244"/>
      <c r="C46" s="245"/>
      <c r="D46" s="245"/>
      <c r="E46" s="245"/>
      <c r="F46" s="246"/>
    </row>
    <row r="47" spans="2:6" x14ac:dyDescent="0.3">
      <c r="B47" s="244"/>
      <c r="C47" s="245"/>
      <c r="D47" s="245"/>
      <c r="E47" s="245"/>
      <c r="F47" s="246"/>
    </row>
    <row r="48" spans="2:6" ht="17.25" thickBot="1" x14ac:dyDescent="0.35">
      <c r="B48" s="247"/>
      <c r="C48" s="248"/>
      <c r="D48" s="248"/>
      <c r="E48" s="248"/>
      <c r="F48" s="249"/>
    </row>
    <row r="49" spans="2:6" x14ac:dyDescent="0.3">
      <c r="B49" s="245"/>
      <c r="C49" s="245"/>
      <c r="D49" s="245"/>
      <c r="E49" s="245"/>
      <c r="F49" s="245"/>
    </row>
    <row r="50" spans="2:6" x14ac:dyDescent="0.3">
      <c r="B50" s="245"/>
      <c r="C50" s="245"/>
      <c r="D50" s="245"/>
      <c r="E50" s="245"/>
      <c r="F50" s="245"/>
    </row>
    <row r="51" spans="2:6" x14ac:dyDescent="0.3">
      <c r="B51" s="245"/>
      <c r="C51" s="245"/>
      <c r="D51" s="245"/>
      <c r="E51" s="245"/>
      <c r="F51" s="245"/>
    </row>
    <row r="52" spans="2:6" x14ac:dyDescent="0.3">
      <c r="B52" s="245"/>
      <c r="C52" s="245"/>
      <c r="D52" s="245"/>
      <c r="E52" s="245"/>
      <c r="F52" s="245"/>
    </row>
    <row r="53" spans="2:6" x14ac:dyDescent="0.3">
      <c r="B53" s="245"/>
      <c r="C53" s="245"/>
      <c r="D53" s="245"/>
      <c r="E53" s="245"/>
      <c r="F53" s="245"/>
    </row>
    <row r="54" spans="2:6" x14ac:dyDescent="0.3">
      <c r="B54" s="245"/>
      <c r="C54" s="245"/>
      <c r="D54" s="245"/>
      <c r="E54" s="245"/>
      <c r="F54" s="245"/>
    </row>
    <row r="55" spans="2:6" x14ac:dyDescent="0.3">
      <c r="B55" s="245"/>
      <c r="C55" s="245"/>
      <c r="D55" s="245"/>
      <c r="E55" s="245"/>
      <c r="F55" s="245"/>
    </row>
    <row r="56" spans="2:6" x14ac:dyDescent="0.3">
      <c r="B56" s="245"/>
      <c r="C56" s="245"/>
      <c r="D56" s="245"/>
      <c r="E56" s="245"/>
      <c r="F56" s="245"/>
    </row>
    <row r="57" spans="2:6" x14ac:dyDescent="0.3">
      <c r="B57" s="245"/>
      <c r="C57" s="245"/>
      <c r="D57" s="245"/>
      <c r="E57" s="245"/>
      <c r="F57" s="245"/>
    </row>
    <row r="58" spans="2:6" x14ac:dyDescent="0.3">
      <c r="B58" s="245"/>
      <c r="C58" s="245"/>
      <c r="D58" s="245"/>
      <c r="E58" s="245"/>
      <c r="F58" s="245"/>
    </row>
    <row r="59" spans="2:6" x14ac:dyDescent="0.3">
      <c r="B59" s="245"/>
      <c r="C59" s="245"/>
      <c r="D59" s="245"/>
      <c r="E59" s="245"/>
      <c r="F59" s="245"/>
    </row>
    <row r="60" spans="2:6" x14ac:dyDescent="0.3">
      <c r="B60" s="245"/>
      <c r="C60" s="245"/>
      <c r="D60" s="245"/>
      <c r="E60" s="245"/>
      <c r="F60" s="245"/>
    </row>
    <row r="61" spans="2:6" x14ac:dyDescent="0.3">
      <c r="B61" s="245"/>
      <c r="C61" s="245"/>
      <c r="D61" s="245"/>
      <c r="E61" s="245"/>
      <c r="F61" s="245"/>
    </row>
    <row r="62" spans="2:6" x14ac:dyDescent="0.3">
      <c r="B62" s="245"/>
      <c r="C62" s="245"/>
      <c r="D62" s="245"/>
      <c r="E62" s="245"/>
      <c r="F62" s="245"/>
    </row>
    <row r="63" spans="2:6" x14ac:dyDescent="0.3">
      <c r="B63" s="245"/>
      <c r="C63" s="245"/>
      <c r="D63" s="245"/>
      <c r="E63" s="245"/>
      <c r="F63" s="245"/>
    </row>
    <row r="64" spans="2:6" x14ac:dyDescent="0.3">
      <c r="B64" s="245"/>
      <c r="C64" s="245"/>
      <c r="D64" s="245"/>
      <c r="E64" s="245"/>
      <c r="F64" s="245"/>
    </row>
    <row r="65" spans="2:6" x14ac:dyDescent="0.3">
      <c r="B65" s="245"/>
      <c r="C65" s="245"/>
      <c r="D65" s="245"/>
      <c r="E65" s="245"/>
      <c r="F65" s="245"/>
    </row>
    <row r="66" spans="2:6" x14ac:dyDescent="0.3">
      <c r="B66" s="245"/>
      <c r="C66" s="245"/>
      <c r="D66" s="245"/>
      <c r="E66" s="245"/>
      <c r="F66" s="245"/>
    </row>
    <row r="67" spans="2:6" x14ac:dyDescent="0.3">
      <c r="B67" s="245"/>
      <c r="C67" s="245"/>
      <c r="D67" s="245"/>
      <c r="E67" s="245"/>
      <c r="F67" s="245"/>
    </row>
    <row r="68" spans="2:6" x14ac:dyDescent="0.3">
      <c r="B68" s="245"/>
      <c r="C68" s="245"/>
      <c r="D68" s="245"/>
      <c r="E68" s="245"/>
      <c r="F68" s="245"/>
    </row>
    <row r="69" spans="2:6" x14ac:dyDescent="0.3">
      <c r="B69" s="245"/>
      <c r="C69" s="245"/>
      <c r="D69" s="245"/>
      <c r="E69" s="245"/>
      <c r="F69" s="245"/>
    </row>
    <row r="70" spans="2:6" x14ac:dyDescent="0.3">
      <c r="B70" s="245"/>
      <c r="C70" s="245"/>
      <c r="D70" s="245"/>
      <c r="E70" s="245"/>
      <c r="F70" s="245"/>
    </row>
    <row r="71" spans="2:6" x14ac:dyDescent="0.3">
      <c r="B71" s="245"/>
      <c r="C71" s="245"/>
      <c r="D71" s="245"/>
      <c r="E71" s="245"/>
      <c r="F71" s="245"/>
    </row>
    <row r="72" spans="2:6" x14ac:dyDescent="0.3">
      <c r="B72" s="245"/>
      <c r="C72" s="245"/>
      <c r="D72" s="245"/>
      <c r="E72" s="245"/>
      <c r="F72" s="245"/>
    </row>
    <row r="73" spans="2:6" x14ac:dyDescent="0.3">
      <c r="B73" s="245"/>
      <c r="C73" s="245"/>
      <c r="D73" s="245"/>
      <c r="E73" s="245"/>
      <c r="F73" s="245"/>
    </row>
    <row r="74" spans="2:6" x14ac:dyDescent="0.3">
      <c r="B74" s="245"/>
      <c r="C74" s="245"/>
      <c r="D74" s="245"/>
      <c r="E74" s="245"/>
      <c r="F74" s="245"/>
    </row>
    <row r="75" spans="2:6" x14ac:dyDescent="0.3">
      <c r="B75" s="245"/>
      <c r="C75" s="245"/>
      <c r="D75" s="245"/>
      <c r="E75" s="245"/>
      <c r="F75" s="245"/>
    </row>
    <row r="76" spans="2:6" x14ac:dyDescent="0.3">
      <c r="B76" s="245"/>
      <c r="C76" s="245"/>
      <c r="D76" s="245"/>
      <c r="E76" s="245"/>
      <c r="F76" s="245"/>
    </row>
    <row r="77" spans="2:6" x14ac:dyDescent="0.3">
      <c r="B77" s="245"/>
      <c r="C77" s="245"/>
      <c r="D77" s="245"/>
      <c r="E77" s="245"/>
      <c r="F77" s="245"/>
    </row>
    <row r="78" spans="2:6" x14ac:dyDescent="0.3">
      <c r="B78" s="245"/>
      <c r="C78" s="245"/>
      <c r="D78" s="245"/>
      <c r="E78" s="245"/>
      <c r="F78" s="245"/>
    </row>
    <row r="79" spans="2:6" x14ac:dyDescent="0.3">
      <c r="B79" s="245"/>
      <c r="C79" s="245"/>
      <c r="D79" s="245"/>
      <c r="E79" s="245"/>
      <c r="F79" s="245"/>
    </row>
    <row r="80" spans="2:6" x14ac:dyDescent="0.3">
      <c r="B80" s="245"/>
      <c r="C80" s="245"/>
      <c r="D80" s="245"/>
      <c r="E80" s="245"/>
      <c r="F80" s="245"/>
    </row>
    <row r="81" spans="2:6" x14ac:dyDescent="0.3">
      <c r="B81" s="245"/>
      <c r="C81" s="245"/>
      <c r="D81" s="245"/>
      <c r="E81" s="245"/>
      <c r="F81" s="245"/>
    </row>
    <row r="82" spans="2:6" x14ac:dyDescent="0.3">
      <c r="B82" s="245"/>
      <c r="C82" s="245"/>
      <c r="D82" s="245"/>
      <c r="E82" s="245"/>
      <c r="F82" s="245"/>
    </row>
    <row r="83" spans="2:6" x14ac:dyDescent="0.3">
      <c r="B83" s="245"/>
      <c r="C83" s="245"/>
      <c r="D83" s="245"/>
      <c r="E83" s="245"/>
      <c r="F83" s="245"/>
    </row>
    <row r="84" spans="2:6" x14ac:dyDescent="0.3">
      <c r="B84" s="245"/>
      <c r="C84" s="245"/>
      <c r="D84" s="245"/>
      <c r="E84" s="245"/>
      <c r="F84" s="245"/>
    </row>
    <row r="85" spans="2:6" x14ac:dyDescent="0.3">
      <c r="B85" s="245"/>
      <c r="C85" s="245"/>
      <c r="D85" s="245"/>
      <c r="E85" s="245"/>
      <c r="F85" s="245"/>
    </row>
    <row r="86" spans="2:6" x14ac:dyDescent="0.3">
      <c r="B86" s="245"/>
      <c r="C86" s="245"/>
      <c r="D86" s="245"/>
      <c r="E86" s="245"/>
      <c r="F86" s="245"/>
    </row>
    <row r="87" spans="2:6" x14ac:dyDescent="0.3">
      <c r="B87" s="245"/>
      <c r="C87" s="245"/>
      <c r="D87" s="245"/>
      <c r="E87" s="245"/>
      <c r="F87" s="245"/>
    </row>
    <row r="88" spans="2:6" x14ac:dyDescent="0.3">
      <c r="B88" s="245"/>
      <c r="C88" s="245"/>
      <c r="D88" s="245"/>
      <c r="E88" s="245"/>
      <c r="F88" s="245"/>
    </row>
    <row r="89" spans="2:6" x14ac:dyDescent="0.3">
      <c r="B89" s="245"/>
      <c r="C89" s="245"/>
      <c r="D89" s="245"/>
      <c r="E89" s="245"/>
      <c r="F89" s="245"/>
    </row>
    <row r="90" spans="2:6" x14ac:dyDescent="0.3">
      <c r="B90" s="245"/>
      <c r="C90" s="245"/>
      <c r="D90" s="245"/>
      <c r="E90" s="245"/>
      <c r="F90" s="245"/>
    </row>
    <row r="91" spans="2:6" x14ac:dyDescent="0.3">
      <c r="B91" s="245"/>
      <c r="C91" s="245"/>
      <c r="D91" s="245"/>
      <c r="E91" s="245"/>
      <c r="F91" s="245"/>
    </row>
    <row r="92" spans="2:6" x14ac:dyDescent="0.3">
      <c r="B92" s="245"/>
      <c r="C92" s="245"/>
      <c r="D92" s="245"/>
      <c r="E92" s="245"/>
      <c r="F92" s="245"/>
    </row>
  </sheetData>
  <mergeCells count="18">
    <mergeCell ref="N19:O19"/>
    <mergeCell ref="N14:O14"/>
    <mergeCell ref="N15:O15"/>
    <mergeCell ref="N16:O16"/>
    <mergeCell ref="N17:O17"/>
    <mergeCell ref="N18:O18"/>
    <mergeCell ref="N9:O9"/>
    <mergeCell ref="N10:O10"/>
    <mergeCell ref="N11:O11"/>
    <mergeCell ref="N12:O12"/>
    <mergeCell ref="N13:O13"/>
    <mergeCell ref="H2:J2"/>
    <mergeCell ref="B8:F8"/>
    <mergeCell ref="N3:O4"/>
    <mergeCell ref="N5:O5"/>
    <mergeCell ref="N6:O6"/>
    <mergeCell ref="N7:O7"/>
    <mergeCell ref="N8:O8"/>
  </mergeCells>
  <hyperlinks>
    <hyperlink ref="N5:O5" location="'Datos y Resumen '!A1" display="DATOS Y RESUMEN" xr:uid="{367DDFC9-A193-49A8-AA84-4D71245B92A1}"/>
    <hyperlink ref="N6:O6" location="'LISTA TRABAJADORES'!A1" display="LISTA DE TRABAJADORES" xr:uid="{8AE471EE-3DDB-407A-8248-BDF01C3FD367}"/>
    <hyperlink ref="N7:O7" location="'ISR '!A1" display="ISR" xr:uid="{D7F52889-841B-4189-A182-36C21AD6E30D}"/>
    <hyperlink ref="N8:O8" location="'OTRAS PRESTACIONES'!A1" display="OTRAS PRESTACIONES" xr:uid="{565DD356-C8EC-4146-B86C-F6BA0D8B4261}"/>
    <hyperlink ref="N9:O9" location="'OTRAS RETENCIONES'!A1" display="OTRAS RETENCIONES" xr:uid="{EC95DE16-408B-4776-96C5-4FCE27BDA08D}"/>
    <hyperlink ref="N13:O13" location="'CUOTAS IMSS'!A1" display="CUOTAS IMSS" xr:uid="{4C4362D5-0C30-44B8-933C-C63004CFB4D7}"/>
    <hyperlink ref="N14:O14" location="'HORAS EXTRAS'!A1" display="HORAS EXTRAS" xr:uid="{4DE2244B-D6F7-4C98-8219-46EE8136E473}"/>
    <hyperlink ref="N15:O15" location="AGUINALDO!A1" display="AGUINALDO" xr:uid="{5FF48BA5-2390-4F35-B21E-0F0D997DFD69}"/>
    <hyperlink ref="N16:O16" location="'NOMINA FISCAL'!A1" display="NOMINA FISCAL " xr:uid="{2C8081D7-B97D-4C26-AEB0-B47F13F99CEE}"/>
    <hyperlink ref="N17:O17" location="CONCEN!A1" display="CONCENTRADO" xr:uid="{2A2C2121-BC03-45CD-ABD9-445738AB9EB4}"/>
    <hyperlink ref="N18:O18" location="'TARIFAS 2025'!A1" display="TARIFAS 2025" xr:uid="{246BD7FB-C939-4961-97A2-C3F256B2F5D2}"/>
    <hyperlink ref="N19:O19" location="'DATOS EXTRAS'!A1" display="DATOS EXTRAS" xr:uid="{BFC29DC3-1AF7-4811-B559-AC0EF3D7598F}"/>
  </hyperlinks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BBB6-B655-4546-9547-33EF7AE56732}">
  <sheetPr codeName="Hoja15">
    <tabColor theme="3" tint="-0.499984740745262"/>
  </sheetPr>
  <dimension ref="A1:BJ179"/>
  <sheetViews>
    <sheetView tabSelected="1" topLeftCell="A147" zoomScale="87" zoomScaleNormal="87" workbookViewId="0">
      <selection sqref="A1:B2"/>
    </sheetView>
  </sheetViews>
  <sheetFormatPr baseColWidth="10" defaultRowHeight="12.75" x14ac:dyDescent="0.2"/>
  <cols>
    <col min="1" max="1" width="9.85546875" style="41" customWidth="1"/>
    <col min="2" max="2" width="9.42578125" style="41" customWidth="1"/>
    <col min="3" max="3" width="2.42578125" style="41" customWidth="1"/>
    <col min="4" max="4" width="12.42578125" style="41" bestFit="1" customWidth="1"/>
    <col min="5" max="5" width="13.28515625" style="41" bestFit="1" customWidth="1"/>
    <col min="6" max="6" width="10.140625" style="41" bestFit="1" customWidth="1"/>
    <col min="7" max="7" width="12.140625" style="233" bestFit="1" customWidth="1"/>
    <col min="8" max="8" width="5.7109375" style="41" bestFit="1" customWidth="1"/>
    <col min="9" max="9" width="3.28515625" style="41" customWidth="1"/>
    <col min="10" max="10" width="12.85546875" style="41" customWidth="1"/>
    <col min="11" max="11" width="12.28515625" style="41" customWidth="1"/>
    <col min="12" max="14" width="11.42578125" style="41"/>
    <col min="15" max="15" width="3.5703125" style="41" customWidth="1"/>
    <col min="16" max="20" width="11.42578125" style="41"/>
    <col min="21" max="21" width="2.5703125" style="41" customWidth="1"/>
    <col min="22" max="26" width="11.42578125" style="41"/>
    <col min="27" max="27" width="2.5703125" style="41" customWidth="1"/>
    <col min="28" max="32" width="11.42578125" style="41"/>
    <col min="33" max="33" width="2" style="41" customWidth="1"/>
    <col min="34" max="38" width="11.42578125" style="41"/>
    <col min="39" max="39" width="2.42578125" style="41" customWidth="1"/>
    <col min="40" max="44" width="11.42578125" style="41"/>
    <col min="45" max="45" width="1.85546875" style="41" customWidth="1"/>
    <col min="46" max="50" width="11.42578125" style="41"/>
    <col min="51" max="51" width="2.5703125" style="41" customWidth="1"/>
    <col min="52" max="56" width="11.42578125" style="41"/>
    <col min="57" max="57" width="3" style="41" customWidth="1"/>
    <col min="58" max="16384" width="11.42578125" style="41"/>
  </cols>
  <sheetData>
    <row r="1" spans="1:62" ht="16.5" thickBot="1" x14ac:dyDescent="0.3">
      <c r="A1" s="300" t="s">
        <v>352</v>
      </c>
      <c r="B1" s="301"/>
      <c r="D1" s="438" t="s">
        <v>138</v>
      </c>
      <c r="E1" s="438"/>
      <c r="F1" s="438"/>
      <c r="G1" s="438"/>
      <c r="H1" s="438"/>
      <c r="J1" s="438" t="s">
        <v>139</v>
      </c>
      <c r="K1" s="438"/>
      <c r="L1" s="438"/>
      <c r="M1" s="438"/>
      <c r="N1" s="438"/>
      <c r="P1" s="438" t="s">
        <v>140</v>
      </c>
      <c r="Q1" s="438"/>
      <c r="R1" s="438"/>
      <c r="S1" s="438"/>
      <c r="T1" s="438"/>
      <c r="V1" s="438" t="s">
        <v>141</v>
      </c>
      <c r="W1" s="438"/>
      <c r="X1" s="438"/>
      <c r="Y1" s="438"/>
      <c r="Z1" s="438"/>
      <c r="AB1" s="438" t="s">
        <v>142</v>
      </c>
      <c r="AC1" s="438"/>
      <c r="AD1" s="438"/>
      <c r="AE1" s="438"/>
      <c r="AF1" s="438"/>
      <c r="AH1" s="438" t="s">
        <v>143</v>
      </c>
      <c r="AI1" s="438"/>
      <c r="AJ1" s="438"/>
      <c r="AK1" s="438"/>
      <c r="AL1" s="438"/>
      <c r="AN1" s="438" t="s">
        <v>144</v>
      </c>
      <c r="AO1" s="438"/>
      <c r="AP1" s="438"/>
      <c r="AQ1" s="438"/>
      <c r="AR1" s="438"/>
      <c r="AT1" s="438" t="s">
        <v>145</v>
      </c>
      <c r="AU1" s="438"/>
      <c r="AV1" s="438"/>
      <c r="AW1" s="438"/>
      <c r="AX1" s="438"/>
      <c r="AZ1" s="438" t="s">
        <v>146</v>
      </c>
      <c r="BA1" s="438"/>
      <c r="BB1" s="438"/>
      <c r="BC1" s="438"/>
      <c r="BD1" s="438"/>
      <c r="BF1" s="438" t="s">
        <v>147</v>
      </c>
      <c r="BG1" s="438"/>
      <c r="BH1" s="438"/>
      <c r="BI1" s="438"/>
      <c r="BJ1" s="438"/>
    </row>
    <row r="2" spans="1:62" x14ac:dyDescent="0.2">
      <c r="A2" s="302"/>
      <c r="B2" s="303"/>
      <c r="D2" s="203" t="s">
        <v>354</v>
      </c>
      <c r="E2" s="204"/>
      <c r="F2" s="205"/>
      <c r="G2" s="206"/>
      <c r="H2" s="207" t="s">
        <v>129</v>
      </c>
      <c r="J2" s="203" t="s">
        <v>354</v>
      </c>
      <c r="K2" s="204"/>
      <c r="L2" s="205"/>
      <c r="M2" s="206"/>
      <c r="N2" s="207" t="s">
        <v>129</v>
      </c>
      <c r="P2" s="203" t="s">
        <v>354</v>
      </c>
      <c r="Q2" s="204"/>
      <c r="R2" s="205"/>
      <c r="S2" s="206"/>
      <c r="T2" s="207" t="s">
        <v>129</v>
      </c>
      <c r="V2" s="203" t="s">
        <v>354</v>
      </c>
      <c r="W2" s="204"/>
      <c r="X2" s="205"/>
      <c r="Y2" s="206"/>
      <c r="Z2" s="207" t="s">
        <v>129</v>
      </c>
      <c r="AB2" s="203" t="s">
        <v>354</v>
      </c>
      <c r="AC2" s="204"/>
      <c r="AD2" s="205"/>
      <c r="AE2" s="206"/>
      <c r="AF2" s="207" t="s">
        <v>129</v>
      </c>
      <c r="AH2" s="203" t="s">
        <v>354</v>
      </c>
      <c r="AI2" s="204"/>
      <c r="AJ2" s="205"/>
      <c r="AK2" s="206"/>
      <c r="AL2" s="207" t="s">
        <v>129</v>
      </c>
      <c r="AN2" s="203" t="s">
        <v>354</v>
      </c>
      <c r="AO2" s="204"/>
      <c r="AP2" s="205"/>
      <c r="AQ2" s="206"/>
      <c r="AR2" s="207" t="s">
        <v>129</v>
      </c>
      <c r="AT2" s="203" t="s">
        <v>354</v>
      </c>
      <c r="AU2" s="204"/>
      <c r="AV2" s="205"/>
      <c r="AW2" s="206"/>
      <c r="AX2" s="207" t="s">
        <v>129</v>
      </c>
      <c r="AZ2" s="203" t="s">
        <v>354</v>
      </c>
      <c r="BA2" s="204"/>
      <c r="BB2" s="205"/>
      <c r="BC2" s="206"/>
      <c r="BD2" s="207" t="s">
        <v>129</v>
      </c>
      <c r="BF2" s="203" t="s">
        <v>354</v>
      </c>
      <c r="BG2" s="204"/>
      <c r="BH2" s="205"/>
      <c r="BI2" s="206"/>
      <c r="BJ2" s="207" t="s">
        <v>129</v>
      </c>
    </row>
    <row r="3" spans="1:62" ht="13.5" x14ac:dyDescent="0.25">
      <c r="A3" s="304" t="s">
        <v>312</v>
      </c>
      <c r="B3" s="305"/>
      <c r="D3" s="208" t="s">
        <v>55</v>
      </c>
      <c r="E3" s="209" t="s">
        <v>56</v>
      </c>
      <c r="F3" s="209" t="s">
        <v>127</v>
      </c>
      <c r="G3" s="210" t="s">
        <v>128</v>
      </c>
      <c r="H3" s="211">
        <f>+'ISR '!H8</f>
        <v>15</v>
      </c>
      <c r="J3" s="208" t="s">
        <v>55</v>
      </c>
      <c r="K3" s="209" t="s">
        <v>56</v>
      </c>
      <c r="L3" s="209" t="s">
        <v>127</v>
      </c>
      <c r="M3" s="210" t="s">
        <v>128</v>
      </c>
      <c r="N3" s="211">
        <f>+'ISR '!H9</f>
        <v>15</v>
      </c>
      <c r="P3" s="208" t="s">
        <v>55</v>
      </c>
      <c r="Q3" s="209" t="s">
        <v>56</v>
      </c>
      <c r="R3" s="209" t="s">
        <v>127</v>
      </c>
      <c r="S3" s="210" t="s">
        <v>128</v>
      </c>
      <c r="T3" s="211">
        <f>+'ISR '!H10</f>
        <v>15</v>
      </c>
      <c r="V3" s="208" t="s">
        <v>55</v>
      </c>
      <c r="W3" s="209" t="s">
        <v>56</v>
      </c>
      <c r="X3" s="209" t="s">
        <v>127</v>
      </c>
      <c r="Y3" s="210" t="s">
        <v>128</v>
      </c>
      <c r="Z3" s="211">
        <f>+'ISR '!H11</f>
        <v>15</v>
      </c>
      <c r="AB3" s="208" t="s">
        <v>55</v>
      </c>
      <c r="AC3" s="209" t="s">
        <v>56</v>
      </c>
      <c r="AD3" s="209" t="s">
        <v>127</v>
      </c>
      <c r="AE3" s="210" t="s">
        <v>128</v>
      </c>
      <c r="AF3" s="211">
        <f>+'ISR '!H12</f>
        <v>15</v>
      </c>
      <c r="AH3" s="208" t="s">
        <v>55</v>
      </c>
      <c r="AI3" s="209" t="s">
        <v>56</v>
      </c>
      <c r="AJ3" s="209" t="s">
        <v>127</v>
      </c>
      <c r="AK3" s="210" t="s">
        <v>128</v>
      </c>
      <c r="AL3" s="211">
        <f>+'ISR '!H13</f>
        <v>15</v>
      </c>
      <c r="AN3" s="208" t="s">
        <v>55</v>
      </c>
      <c r="AO3" s="209" t="s">
        <v>56</v>
      </c>
      <c r="AP3" s="209" t="s">
        <v>127</v>
      </c>
      <c r="AQ3" s="210" t="s">
        <v>128</v>
      </c>
      <c r="AR3" s="211">
        <f>+'ISR '!H14</f>
        <v>15</v>
      </c>
      <c r="AT3" s="208" t="s">
        <v>55</v>
      </c>
      <c r="AU3" s="209" t="s">
        <v>56</v>
      </c>
      <c r="AV3" s="209" t="s">
        <v>127</v>
      </c>
      <c r="AW3" s="210" t="s">
        <v>128</v>
      </c>
      <c r="AX3" s="211">
        <f>+'ISR '!H15</f>
        <v>15</v>
      </c>
      <c r="AZ3" s="208" t="s">
        <v>55</v>
      </c>
      <c r="BA3" s="209" t="s">
        <v>56</v>
      </c>
      <c r="BB3" s="209" t="s">
        <v>127</v>
      </c>
      <c r="BC3" s="210" t="s">
        <v>128</v>
      </c>
      <c r="BD3" s="211">
        <f>+'ISR '!H16</f>
        <v>15</v>
      </c>
      <c r="BF3" s="208" t="s">
        <v>55</v>
      </c>
      <c r="BG3" s="209" t="s">
        <v>56</v>
      </c>
      <c r="BH3" s="209" t="s">
        <v>127</v>
      </c>
      <c r="BI3" s="210" t="s">
        <v>128</v>
      </c>
      <c r="BJ3" s="211">
        <f>+'ISR '!H17</f>
        <v>15</v>
      </c>
    </row>
    <row r="4" spans="1:62" ht="13.5" x14ac:dyDescent="0.25">
      <c r="A4" s="304" t="s">
        <v>233</v>
      </c>
      <c r="B4" s="305"/>
      <c r="D4" s="212" t="s">
        <v>57</v>
      </c>
      <c r="E4" s="41" t="s">
        <v>57</v>
      </c>
      <c r="F4" s="41" t="s">
        <v>57</v>
      </c>
      <c r="G4" s="41" t="s">
        <v>54</v>
      </c>
      <c r="H4" s="213"/>
      <c r="J4" s="212" t="s">
        <v>57</v>
      </c>
      <c r="K4" s="41" t="s">
        <v>57</v>
      </c>
      <c r="L4" s="41" t="s">
        <v>57</v>
      </c>
      <c r="M4" s="41" t="s">
        <v>54</v>
      </c>
      <c r="N4" s="213"/>
      <c r="P4" s="212" t="s">
        <v>57</v>
      </c>
      <c r="Q4" s="41" t="s">
        <v>57</v>
      </c>
      <c r="R4" s="41" t="s">
        <v>57</v>
      </c>
      <c r="S4" s="41" t="s">
        <v>54</v>
      </c>
      <c r="T4" s="213"/>
      <c r="V4" s="212" t="s">
        <v>57</v>
      </c>
      <c r="W4" s="41" t="s">
        <v>57</v>
      </c>
      <c r="X4" s="41" t="s">
        <v>57</v>
      </c>
      <c r="Y4" s="41" t="s">
        <v>54</v>
      </c>
      <c r="Z4" s="213"/>
      <c r="AB4" s="212" t="s">
        <v>57</v>
      </c>
      <c r="AC4" s="41" t="s">
        <v>57</v>
      </c>
      <c r="AD4" s="41" t="s">
        <v>57</v>
      </c>
      <c r="AE4" s="41" t="s">
        <v>54</v>
      </c>
      <c r="AF4" s="213"/>
      <c r="AH4" s="212" t="s">
        <v>57</v>
      </c>
      <c r="AI4" s="41" t="s">
        <v>57</v>
      </c>
      <c r="AJ4" s="41" t="s">
        <v>57</v>
      </c>
      <c r="AK4" s="41" t="s">
        <v>54</v>
      </c>
      <c r="AL4" s="213"/>
      <c r="AN4" s="212" t="s">
        <v>57</v>
      </c>
      <c r="AO4" s="41" t="s">
        <v>57</v>
      </c>
      <c r="AP4" s="41" t="s">
        <v>57</v>
      </c>
      <c r="AQ4" s="41" t="s">
        <v>54</v>
      </c>
      <c r="AR4" s="213"/>
      <c r="AT4" s="212" t="s">
        <v>57</v>
      </c>
      <c r="AU4" s="41" t="s">
        <v>57</v>
      </c>
      <c r="AV4" s="41" t="s">
        <v>57</v>
      </c>
      <c r="AW4" s="41" t="s">
        <v>54</v>
      </c>
      <c r="AX4" s="213"/>
      <c r="AZ4" s="212" t="s">
        <v>57</v>
      </c>
      <c r="BA4" s="41" t="s">
        <v>57</v>
      </c>
      <c r="BB4" s="41" t="s">
        <v>57</v>
      </c>
      <c r="BC4" s="41" t="s">
        <v>54</v>
      </c>
      <c r="BD4" s="213"/>
      <c r="BF4" s="212" t="s">
        <v>57</v>
      </c>
      <c r="BG4" s="41" t="s">
        <v>57</v>
      </c>
      <c r="BH4" s="41" t="s">
        <v>57</v>
      </c>
      <c r="BI4" s="41" t="s">
        <v>54</v>
      </c>
      <c r="BJ4" s="213"/>
    </row>
    <row r="5" spans="1:62" ht="13.5" x14ac:dyDescent="0.25">
      <c r="A5" s="304" t="s">
        <v>62</v>
      </c>
      <c r="B5" s="305"/>
      <c r="D5" s="212">
        <v>0.01</v>
      </c>
      <c r="E5" s="41">
        <f>24.54*H3</f>
        <v>368.09999999999997</v>
      </c>
      <c r="F5" s="41">
        <v>0</v>
      </c>
      <c r="G5" s="214">
        <f>192%/100</f>
        <v>1.9199999999999998E-2</v>
      </c>
      <c r="H5" s="213"/>
      <c r="J5" s="212">
        <v>0.01</v>
      </c>
      <c r="K5" s="41">
        <f>24.54*N3</f>
        <v>368.09999999999997</v>
      </c>
      <c r="L5" s="41">
        <v>0</v>
      </c>
      <c r="M5" s="214">
        <f>192%/100</f>
        <v>1.9199999999999998E-2</v>
      </c>
      <c r="N5" s="213"/>
      <c r="P5" s="212">
        <v>0.01</v>
      </c>
      <c r="Q5" s="41">
        <f>24.54*T3</f>
        <v>368.09999999999997</v>
      </c>
      <c r="R5" s="41">
        <v>0</v>
      </c>
      <c r="S5" s="214">
        <f>192%/100</f>
        <v>1.9199999999999998E-2</v>
      </c>
      <c r="T5" s="213"/>
      <c r="V5" s="212">
        <v>0.01</v>
      </c>
      <c r="W5" s="41">
        <f>24.54*Z3</f>
        <v>368.09999999999997</v>
      </c>
      <c r="X5" s="41">
        <v>0</v>
      </c>
      <c r="Y5" s="214">
        <f>192%/100</f>
        <v>1.9199999999999998E-2</v>
      </c>
      <c r="Z5" s="213"/>
      <c r="AB5" s="212">
        <v>0.01</v>
      </c>
      <c r="AC5" s="41">
        <f>24.54*AF3</f>
        <v>368.09999999999997</v>
      </c>
      <c r="AD5" s="41">
        <v>0</v>
      </c>
      <c r="AE5" s="214">
        <f>192%/100</f>
        <v>1.9199999999999998E-2</v>
      </c>
      <c r="AF5" s="213"/>
      <c r="AH5" s="212">
        <v>0.01</v>
      </c>
      <c r="AI5" s="41">
        <f>24.54*AL3</f>
        <v>368.09999999999997</v>
      </c>
      <c r="AJ5" s="41">
        <v>0</v>
      </c>
      <c r="AK5" s="214">
        <f>192%/100</f>
        <v>1.9199999999999998E-2</v>
      </c>
      <c r="AL5" s="213"/>
      <c r="AN5" s="212">
        <v>0.01</v>
      </c>
      <c r="AO5" s="41">
        <f>24.54*AR3</f>
        <v>368.09999999999997</v>
      </c>
      <c r="AP5" s="41">
        <v>0</v>
      </c>
      <c r="AQ5" s="214">
        <f>192%/100</f>
        <v>1.9199999999999998E-2</v>
      </c>
      <c r="AR5" s="213"/>
      <c r="AT5" s="212">
        <v>0.01</v>
      </c>
      <c r="AU5" s="41">
        <f>24.54*AX3</f>
        <v>368.09999999999997</v>
      </c>
      <c r="AV5" s="41">
        <v>0</v>
      </c>
      <c r="AW5" s="214">
        <f>192%/100</f>
        <v>1.9199999999999998E-2</v>
      </c>
      <c r="AX5" s="213"/>
      <c r="AZ5" s="212">
        <v>0.01</v>
      </c>
      <c r="BA5" s="41">
        <f>24.54*BD3</f>
        <v>368.09999999999997</v>
      </c>
      <c r="BB5" s="41">
        <v>0</v>
      </c>
      <c r="BC5" s="214">
        <f>192%/100</f>
        <v>1.9199999999999998E-2</v>
      </c>
      <c r="BD5" s="213"/>
      <c r="BF5" s="212">
        <v>0.01</v>
      </c>
      <c r="BG5" s="41">
        <f>24.54*BJ3</f>
        <v>368.09999999999997</v>
      </c>
      <c r="BH5" s="41">
        <v>0</v>
      </c>
      <c r="BI5" s="214">
        <f>192%/100</f>
        <v>1.9199999999999998E-2</v>
      </c>
      <c r="BJ5" s="213"/>
    </row>
    <row r="6" spans="1:62" ht="13.5" x14ac:dyDescent="0.25">
      <c r="A6" s="306" t="s">
        <v>313</v>
      </c>
      <c r="B6" s="307"/>
      <c r="D6" s="212">
        <f>+E5+0.01</f>
        <v>368.10999999999996</v>
      </c>
      <c r="E6" s="41">
        <f>208.29*H3</f>
        <v>3124.35</v>
      </c>
      <c r="F6" s="41">
        <f>0.47*H3</f>
        <v>7.05</v>
      </c>
      <c r="G6" s="214">
        <f>640%/100</f>
        <v>6.4000000000000001E-2</v>
      </c>
      <c r="H6" s="213"/>
      <c r="J6" s="212">
        <f>+K5+0.01</f>
        <v>368.10999999999996</v>
      </c>
      <c r="K6" s="41">
        <f>208.29*N3</f>
        <v>3124.35</v>
      </c>
      <c r="L6" s="41">
        <f>0.47*N3</f>
        <v>7.05</v>
      </c>
      <c r="M6" s="214">
        <f>640%/100</f>
        <v>6.4000000000000001E-2</v>
      </c>
      <c r="N6" s="213"/>
      <c r="P6" s="212">
        <f>+Q5+0.01</f>
        <v>368.10999999999996</v>
      </c>
      <c r="Q6" s="41">
        <f>208.29*T3</f>
        <v>3124.35</v>
      </c>
      <c r="R6" s="41">
        <f>0.47*T3</f>
        <v>7.05</v>
      </c>
      <c r="S6" s="214">
        <f>640%/100</f>
        <v>6.4000000000000001E-2</v>
      </c>
      <c r="T6" s="213"/>
      <c r="V6" s="212">
        <f>+W5+0.01</f>
        <v>368.10999999999996</v>
      </c>
      <c r="W6" s="41">
        <f>208.29*Z3</f>
        <v>3124.35</v>
      </c>
      <c r="X6" s="41">
        <f>0.47*Z3</f>
        <v>7.05</v>
      </c>
      <c r="Y6" s="214">
        <f>640%/100</f>
        <v>6.4000000000000001E-2</v>
      </c>
      <c r="Z6" s="213"/>
      <c r="AB6" s="212">
        <f>+AC5+0.01</f>
        <v>368.10999999999996</v>
      </c>
      <c r="AC6" s="41">
        <f>208.29*AF3</f>
        <v>3124.35</v>
      </c>
      <c r="AD6" s="41">
        <f>0.47*AF3</f>
        <v>7.05</v>
      </c>
      <c r="AE6" s="214">
        <f>640%/100</f>
        <v>6.4000000000000001E-2</v>
      </c>
      <c r="AF6" s="213"/>
      <c r="AH6" s="212">
        <f>+AI5+0.01</f>
        <v>368.10999999999996</v>
      </c>
      <c r="AI6" s="41">
        <f>208.29*AL3</f>
        <v>3124.35</v>
      </c>
      <c r="AJ6" s="41">
        <f>0.47*AL3</f>
        <v>7.05</v>
      </c>
      <c r="AK6" s="214">
        <f>640%/100</f>
        <v>6.4000000000000001E-2</v>
      </c>
      <c r="AL6" s="213"/>
      <c r="AN6" s="212">
        <f>+AO5+0.01</f>
        <v>368.10999999999996</v>
      </c>
      <c r="AO6" s="41">
        <f>208.29*AR3</f>
        <v>3124.35</v>
      </c>
      <c r="AP6" s="41">
        <f>0.47*AR3</f>
        <v>7.05</v>
      </c>
      <c r="AQ6" s="214">
        <f>640%/100</f>
        <v>6.4000000000000001E-2</v>
      </c>
      <c r="AR6" s="213"/>
      <c r="AT6" s="212">
        <f>+AU5+0.01</f>
        <v>368.10999999999996</v>
      </c>
      <c r="AU6" s="41">
        <f>208.29*AX3</f>
        <v>3124.35</v>
      </c>
      <c r="AV6" s="41">
        <f>0.47*AX3</f>
        <v>7.05</v>
      </c>
      <c r="AW6" s="214">
        <f>640%/100</f>
        <v>6.4000000000000001E-2</v>
      </c>
      <c r="AX6" s="213"/>
      <c r="AZ6" s="212">
        <f>+BA5+0.01</f>
        <v>368.10999999999996</v>
      </c>
      <c r="BA6" s="41">
        <f>208.29*BD3</f>
        <v>3124.35</v>
      </c>
      <c r="BB6" s="41">
        <f>0.47*BD3</f>
        <v>7.05</v>
      </c>
      <c r="BC6" s="214">
        <f>640%/100</f>
        <v>6.4000000000000001E-2</v>
      </c>
      <c r="BD6" s="213"/>
      <c r="BF6" s="212">
        <f>+BG5+0.01</f>
        <v>368.10999999999996</v>
      </c>
      <c r="BG6" s="41">
        <f>208.29*BJ3</f>
        <v>3124.35</v>
      </c>
      <c r="BH6" s="41">
        <f>0.47*BJ3</f>
        <v>7.05</v>
      </c>
      <c r="BI6" s="214">
        <f>640%/100</f>
        <v>6.4000000000000001E-2</v>
      </c>
      <c r="BJ6" s="213"/>
    </row>
    <row r="7" spans="1:62" ht="14.25" thickBot="1" x14ac:dyDescent="0.3">
      <c r="A7" s="304" t="s">
        <v>243</v>
      </c>
      <c r="B7" s="305"/>
      <c r="D7" s="212">
        <f>+E6+0.01</f>
        <v>3124.36</v>
      </c>
      <c r="E7" s="41">
        <f>366.05*H3</f>
        <v>5490.75</v>
      </c>
      <c r="F7" s="41">
        <f>12.23*H3</f>
        <v>183.45000000000002</v>
      </c>
      <c r="G7" s="214">
        <f>1088%/100</f>
        <v>0.10880000000000001</v>
      </c>
      <c r="H7" s="213"/>
      <c r="J7" s="212">
        <f>+K6+0.01</f>
        <v>3124.36</v>
      </c>
      <c r="K7" s="41">
        <f>366.05*N3</f>
        <v>5490.75</v>
      </c>
      <c r="L7" s="41">
        <f>12.23*N3</f>
        <v>183.45000000000002</v>
      </c>
      <c r="M7" s="214">
        <f>1088%/100</f>
        <v>0.10880000000000001</v>
      </c>
      <c r="N7" s="213"/>
      <c r="P7" s="212">
        <f>+Q6+0.01</f>
        <v>3124.36</v>
      </c>
      <c r="Q7" s="41">
        <f>366.05*T3</f>
        <v>5490.75</v>
      </c>
      <c r="R7" s="41">
        <f>12.23*T3</f>
        <v>183.45000000000002</v>
      </c>
      <c r="S7" s="214">
        <f>1088%/100</f>
        <v>0.10880000000000001</v>
      </c>
      <c r="T7" s="213"/>
      <c r="V7" s="212">
        <f>+W6+0.01</f>
        <v>3124.36</v>
      </c>
      <c r="W7" s="41">
        <f>366.05*Z3</f>
        <v>5490.75</v>
      </c>
      <c r="X7" s="41">
        <f>12.23*Z3</f>
        <v>183.45000000000002</v>
      </c>
      <c r="Y7" s="214">
        <f>1088%/100</f>
        <v>0.10880000000000001</v>
      </c>
      <c r="Z7" s="213"/>
      <c r="AB7" s="212">
        <f>+AC6+0.01</f>
        <v>3124.36</v>
      </c>
      <c r="AC7" s="41">
        <f>366.05*AF3</f>
        <v>5490.75</v>
      </c>
      <c r="AD7" s="41">
        <f>12.23*AF3</f>
        <v>183.45000000000002</v>
      </c>
      <c r="AE7" s="214">
        <f>1088%/100</f>
        <v>0.10880000000000001</v>
      </c>
      <c r="AF7" s="213"/>
      <c r="AH7" s="212">
        <f>+AI6+0.01</f>
        <v>3124.36</v>
      </c>
      <c r="AI7" s="41">
        <f>366.05*AL3</f>
        <v>5490.75</v>
      </c>
      <c r="AJ7" s="41">
        <f>12.23*AL3</f>
        <v>183.45000000000002</v>
      </c>
      <c r="AK7" s="214">
        <f>1088%/100</f>
        <v>0.10880000000000001</v>
      </c>
      <c r="AL7" s="213"/>
      <c r="AN7" s="212">
        <f>+AO6+0.01</f>
        <v>3124.36</v>
      </c>
      <c r="AO7" s="41">
        <f>366.05*AR3</f>
        <v>5490.75</v>
      </c>
      <c r="AP7" s="41">
        <f>12.23*AR3</f>
        <v>183.45000000000002</v>
      </c>
      <c r="AQ7" s="214">
        <f>1088%/100</f>
        <v>0.10880000000000001</v>
      </c>
      <c r="AR7" s="213"/>
      <c r="AT7" s="212">
        <f>+AU6+0.01</f>
        <v>3124.36</v>
      </c>
      <c r="AU7" s="41">
        <f>366.05*AX3</f>
        <v>5490.75</v>
      </c>
      <c r="AV7" s="41">
        <f>12.23*AX3</f>
        <v>183.45000000000002</v>
      </c>
      <c r="AW7" s="214">
        <f>1088%/100</f>
        <v>0.10880000000000001</v>
      </c>
      <c r="AX7" s="213"/>
      <c r="AZ7" s="212">
        <f>+BA6+0.01</f>
        <v>3124.36</v>
      </c>
      <c r="BA7" s="41">
        <f>366.05*BD3</f>
        <v>5490.75</v>
      </c>
      <c r="BB7" s="41">
        <f>12.23*BD3</f>
        <v>183.45000000000002</v>
      </c>
      <c r="BC7" s="214">
        <f>1088%/100</f>
        <v>0.10880000000000001</v>
      </c>
      <c r="BD7" s="213"/>
      <c r="BF7" s="212">
        <f>+BG6+0.01</f>
        <v>3124.36</v>
      </c>
      <c r="BG7" s="41">
        <f>366.05*BJ3</f>
        <v>5490.75</v>
      </c>
      <c r="BH7" s="41">
        <f>12.23*BJ3</f>
        <v>183.45000000000002</v>
      </c>
      <c r="BI7" s="214">
        <f>1088%/100</f>
        <v>0.10880000000000001</v>
      </c>
      <c r="BJ7" s="213"/>
    </row>
    <row r="8" spans="1:62" ht="13.5" x14ac:dyDescent="0.25">
      <c r="A8" s="310" t="s">
        <v>344</v>
      </c>
      <c r="B8" s="311"/>
      <c r="D8" s="212">
        <f t="shared" ref="D8:D13" si="0">+E7+0.01</f>
        <v>5490.76</v>
      </c>
      <c r="E8" s="41">
        <f>425.52*H3</f>
        <v>6382.7999999999993</v>
      </c>
      <c r="F8" s="41">
        <f>29.4*H3</f>
        <v>441</v>
      </c>
      <c r="G8" s="214">
        <f>1600%/100</f>
        <v>0.16</v>
      </c>
      <c r="H8" s="213"/>
      <c r="J8" s="212">
        <f t="shared" ref="J8:J13" si="1">+K7+0.01</f>
        <v>5490.76</v>
      </c>
      <c r="K8" s="41">
        <f>425.52*N3</f>
        <v>6382.7999999999993</v>
      </c>
      <c r="L8" s="41">
        <f>29.4*N3</f>
        <v>441</v>
      </c>
      <c r="M8" s="214">
        <f>1600%/100</f>
        <v>0.16</v>
      </c>
      <c r="N8" s="213"/>
      <c r="P8" s="212">
        <f t="shared" ref="P8:P13" si="2">+Q7+0.01</f>
        <v>5490.76</v>
      </c>
      <c r="Q8" s="41">
        <f>425.52*T3</f>
        <v>6382.7999999999993</v>
      </c>
      <c r="R8" s="41">
        <f>29.4*T3</f>
        <v>441</v>
      </c>
      <c r="S8" s="214">
        <f>1600%/100</f>
        <v>0.16</v>
      </c>
      <c r="T8" s="213"/>
      <c r="V8" s="212">
        <f t="shared" ref="V8:V13" si="3">+W7+0.01</f>
        <v>5490.76</v>
      </c>
      <c r="W8" s="41">
        <f>425.52*Z3</f>
        <v>6382.7999999999993</v>
      </c>
      <c r="X8" s="41">
        <f>29.4*Z3</f>
        <v>441</v>
      </c>
      <c r="Y8" s="214">
        <f>1600%/100</f>
        <v>0.16</v>
      </c>
      <c r="Z8" s="213"/>
      <c r="AB8" s="212">
        <f t="shared" ref="AB8:AB13" si="4">+AC7+0.01</f>
        <v>5490.76</v>
      </c>
      <c r="AC8" s="41">
        <f>425.52*AF3</f>
        <v>6382.7999999999993</v>
      </c>
      <c r="AD8" s="41">
        <f>29.4*AF3</f>
        <v>441</v>
      </c>
      <c r="AE8" s="214">
        <f>1600%/100</f>
        <v>0.16</v>
      </c>
      <c r="AF8" s="213"/>
      <c r="AH8" s="212">
        <f t="shared" ref="AH8:AH13" si="5">+AI7+0.01</f>
        <v>5490.76</v>
      </c>
      <c r="AI8" s="41">
        <f>425.52*AL3</f>
        <v>6382.7999999999993</v>
      </c>
      <c r="AJ8" s="41">
        <f>29.4*AL3</f>
        <v>441</v>
      </c>
      <c r="AK8" s="214">
        <f>1600%/100</f>
        <v>0.16</v>
      </c>
      <c r="AL8" s="213"/>
      <c r="AN8" s="212">
        <f t="shared" ref="AN8:AN13" si="6">+AO7+0.01</f>
        <v>5490.76</v>
      </c>
      <c r="AO8" s="41">
        <f>425.52*AR3</f>
        <v>6382.7999999999993</v>
      </c>
      <c r="AP8" s="41">
        <f>29.4*AR3</f>
        <v>441</v>
      </c>
      <c r="AQ8" s="214">
        <f>1600%/100</f>
        <v>0.16</v>
      </c>
      <c r="AR8" s="213"/>
      <c r="AT8" s="212">
        <f t="shared" ref="AT8:AT13" si="7">+AU7+0.01</f>
        <v>5490.76</v>
      </c>
      <c r="AU8" s="41">
        <f>425.52*AX3</f>
        <v>6382.7999999999993</v>
      </c>
      <c r="AV8" s="41">
        <f>29.4*AX3</f>
        <v>441</v>
      </c>
      <c r="AW8" s="214">
        <f>1600%/100</f>
        <v>0.16</v>
      </c>
      <c r="AX8" s="213"/>
      <c r="AZ8" s="212">
        <f t="shared" ref="AZ8:AZ13" si="8">+BA7+0.01</f>
        <v>5490.76</v>
      </c>
      <c r="BA8" s="41">
        <f>425.52*BD3</f>
        <v>6382.7999999999993</v>
      </c>
      <c r="BB8" s="41">
        <f>29.4*BD3</f>
        <v>441</v>
      </c>
      <c r="BC8" s="214">
        <f>1600%/100</f>
        <v>0.16</v>
      </c>
      <c r="BD8" s="213"/>
      <c r="BF8" s="212">
        <f t="shared" ref="BF8:BF13" si="9">+BG7+0.01</f>
        <v>5490.76</v>
      </c>
      <c r="BG8" s="41">
        <f>425.52*BJ3</f>
        <v>6382.7999999999993</v>
      </c>
      <c r="BH8" s="41">
        <f>29.4*BJ3</f>
        <v>441</v>
      </c>
      <c r="BI8" s="214">
        <f>1600%/100</f>
        <v>0.16</v>
      </c>
      <c r="BJ8" s="213"/>
    </row>
    <row r="9" spans="1:62" ht="13.5" x14ac:dyDescent="0.25">
      <c r="A9" s="312" t="s">
        <v>345</v>
      </c>
      <c r="B9" s="313"/>
      <c r="D9" s="212">
        <f t="shared" si="0"/>
        <v>6382.8099999999995</v>
      </c>
      <c r="E9" s="41">
        <f>509.46*H3</f>
        <v>7641.9</v>
      </c>
      <c r="F9" s="41">
        <f>38.91*H3</f>
        <v>583.65</v>
      </c>
      <c r="G9" s="214">
        <f>1792%/100</f>
        <v>0.17920000000000003</v>
      </c>
      <c r="H9" s="213"/>
      <c r="J9" s="212">
        <f t="shared" si="1"/>
        <v>6382.8099999999995</v>
      </c>
      <c r="K9" s="41">
        <f>509.46*N3</f>
        <v>7641.9</v>
      </c>
      <c r="L9" s="41">
        <f>38.91*N3</f>
        <v>583.65</v>
      </c>
      <c r="M9" s="214">
        <f>1792%/100</f>
        <v>0.17920000000000003</v>
      </c>
      <c r="N9" s="213"/>
      <c r="P9" s="212">
        <f t="shared" si="2"/>
        <v>6382.8099999999995</v>
      </c>
      <c r="Q9" s="41">
        <f>509.46*T3</f>
        <v>7641.9</v>
      </c>
      <c r="R9" s="41">
        <f>38.91*T3</f>
        <v>583.65</v>
      </c>
      <c r="S9" s="214">
        <f>1792%/100</f>
        <v>0.17920000000000003</v>
      </c>
      <c r="T9" s="213"/>
      <c r="V9" s="212">
        <f t="shared" si="3"/>
        <v>6382.8099999999995</v>
      </c>
      <c r="W9" s="41">
        <f>509.46*Z3</f>
        <v>7641.9</v>
      </c>
      <c r="X9" s="41">
        <f>38.91*Z3</f>
        <v>583.65</v>
      </c>
      <c r="Y9" s="214">
        <f>1792%/100</f>
        <v>0.17920000000000003</v>
      </c>
      <c r="Z9" s="213"/>
      <c r="AB9" s="212">
        <f t="shared" si="4"/>
        <v>6382.8099999999995</v>
      </c>
      <c r="AC9" s="41">
        <f>509.46*AF3</f>
        <v>7641.9</v>
      </c>
      <c r="AD9" s="41">
        <f>38.91*AF3</f>
        <v>583.65</v>
      </c>
      <c r="AE9" s="214">
        <f>1792%/100</f>
        <v>0.17920000000000003</v>
      </c>
      <c r="AF9" s="213"/>
      <c r="AH9" s="212">
        <f t="shared" si="5"/>
        <v>6382.8099999999995</v>
      </c>
      <c r="AI9" s="41">
        <f>509.46*AL3</f>
        <v>7641.9</v>
      </c>
      <c r="AJ9" s="41">
        <f>38.91*AL3</f>
        <v>583.65</v>
      </c>
      <c r="AK9" s="214">
        <f>1792%/100</f>
        <v>0.17920000000000003</v>
      </c>
      <c r="AL9" s="213"/>
      <c r="AN9" s="212">
        <f t="shared" si="6"/>
        <v>6382.8099999999995</v>
      </c>
      <c r="AO9" s="41">
        <f>509.46*AR3</f>
        <v>7641.9</v>
      </c>
      <c r="AP9" s="41">
        <f>38.91*AR3</f>
        <v>583.65</v>
      </c>
      <c r="AQ9" s="214">
        <f>1792%/100</f>
        <v>0.17920000000000003</v>
      </c>
      <c r="AR9" s="213"/>
      <c r="AT9" s="212">
        <f t="shared" si="7"/>
        <v>6382.8099999999995</v>
      </c>
      <c r="AU9" s="41">
        <f>509.46*AX3</f>
        <v>7641.9</v>
      </c>
      <c r="AV9" s="41">
        <f>38.91*AX3</f>
        <v>583.65</v>
      </c>
      <c r="AW9" s="214">
        <f>1792%/100</f>
        <v>0.17920000000000003</v>
      </c>
      <c r="AX9" s="213"/>
      <c r="AZ9" s="212">
        <f t="shared" si="8"/>
        <v>6382.8099999999995</v>
      </c>
      <c r="BA9" s="41">
        <f>509.46*BD3</f>
        <v>7641.9</v>
      </c>
      <c r="BB9" s="41">
        <f>38.91*BD3</f>
        <v>583.65</v>
      </c>
      <c r="BC9" s="214">
        <f>1792%/100</f>
        <v>0.17920000000000003</v>
      </c>
      <c r="BD9" s="213"/>
      <c r="BF9" s="212">
        <f t="shared" si="9"/>
        <v>6382.8099999999995</v>
      </c>
      <c r="BG9" s="41">
        <f>509.46*BJ3</f>
        <v>7641.9</v>
      </c>
      <c r="BH9" s="41">
        <f>38.91*BJ3</f>
        <v>583.65</v>
      </c>
      <c r="BI9" s="214">
        <f>1792%/100</f>
        <v>0.17920000000000003</v>
      </c>
      <c r="BJ9" s="213"/>
    </row>
    <row r="10" spans="1:62" ht="14.25" thickBot="1" x14ac:dyDescent="0.3">
      <c r="A10" s="314" t="s">
        <v>346</v>
      </c>
      <c r="B10" s="315"/>
      <c r="D10" s="212">
        <f t="shared" si="0"/>
        <v>7641.91</v>
      </c>
      <c r="E10" s="41">
        <f>1027.52*H3</f>
        <v>15412.8</v>
      </c>
      <c r="F10" s="41">
        <f>53.95*H3</f>
        <v>809.25</v>
      </c>
      <c r="G10" s="214">
        <f>2136%/100</f>
        <v>0.21359999999999998</v>
      </c>
      <c r="H10" s="213"/>
      <c r="J10" s="212">
        <f t="shared" si="1"/>
        <v>7641.91</v>
      </c>
      <c r="K10" s="41">
        <f>1027.52*N3</f>
        <v>15412.8</v>
      </c>
      <c r="L10" s="41">
        <f>53.95*N3</f>
        <v>809.25</v>
      </c>
      <c r="M10" s="214">
        <f>2136%/100</f>
        <v>0.21359999999999998</v>
      </c>
      <c r="N10" s="213"/>
      <c r="P10" s="212">
        <f t="shared" si="2"/>
        <v>7641.91</v>
      </c>
      <c r="Q10" s="41">
        <f>1027.52*T3</f>
        <v>15412.8</v>
      </c>
      <c r="R10" s="41">
        <f>53.95*T3</f>
        <v>809.25</v>
      </c>
      <c r="S10" s="214">
        <f>2136%/100</f>
        <v>0.21359999999999998</v>
      </c>
      <c r="T10" s="213"/>
      <c r="V10" s="212">
        <f t="shared" si="3"/>
        <v>7641.91</v>
      </c>
      <c r="W10" s="41">
        <f>1027.52*Z3</f>
        <v>15412.8</v>
      </c>
      <c r="X10" s="41">
        <f>53.95*Z3</f>
        <v>809.25</v>
      </c>
      <c r="Y10" s="214">
        <f>2136%/100</f>
        <v>0.21359999999999998</v>
      </c>
      <c r="Z10" s="213"/>
      <c r="AB10" s="212">
        <f t="shared" si="4"/>
        <v>7641.91</v>
      </c>
      <c r="AC10" s="41">
        <f>1027.52*AF3</f>
        <v>15412.8</v>
      </c>
      <c r="AD10" s="41">
        <f>53.95*AF3</f>
        <v>809.25</v>
      </c>
      <c r="AE10" s="214">
        <f>2136%/100</f>
        <v>0.21359999999999998</v>
      </c>
      <c r="AF10" s="213"/>
      <c r="AH10" s="212">
        <f t="shared" si="5"/>
        <v>7641.91</v>
      </c>
      <c r="AI10" s="41">
        <f>1027.52*AL3</f>
        <v>15412.8</v>
      </c>
      <c r="AJ10" s="41">
        <f>53.95*AL3</f>
        <v>809.25</v>
      </c>
      <c r="AK10" s="214">
        <f>2136%/100</f>
        <v>0.21359999999999998</v>
      </c>
      <c r="AL10" s="213"/>
      <c r="AN10" s="212">
        <f t="shared" si="6"/>
        <v>7641.91</v>
      </c>
      <c r="AO10" s="41">
        <f>1027.52*AR3</f>
        <v>15412.8</v>
      </c>
      <c r="AP10" s="41">
        <f>53.95*AR3</f>
        <v>809.25</v>
      </c>
      <c r="AQ10" s="214">
        <f>2136%/100</f>
        <v>0.21359999999999998</v>
      </c>
      <c r="AR10" s="213"/>
      <c r="AT10" s="212">
        <f t="shared" si="7"/>
        <v>7641.91</v>
      </c>
      <c r="AU10" s="41">
        <f>1027.52*AX3</f>
        <v>15412.8</v>
      </c>
      <c r="AV10" s="41">
        <f>53.95*AX3</f>
        <v>809.25</v>
      </c>
      <c r="AW10" s="214">
        <f>2136%/100</f>
        <v>0.21359999999999998</v>
      </c>
      <c r="AX10" s="213"/>
      <c r="AZ10" s="212">
        <f t="shared" si="8"/>
        <v>7641.91</v>
      </c>
      <c r="BA10" s="41">
        <f>1027.52*BD3</f>
        <v>15412.8</v>
      </c>
      <c r="BB10" s="41">
        <f>53.95*BD3</f>
        <v>809.25</v>
      </c>
      <c r="BC10" s="214">
        <f>2136%/100</f>
        <v>0.21359999999999998</v>
      </c>
      <c r="BD10" s="213"/>
      <c r="BF10" s="212">
        <f t="shared" si="9"/>
        <v>7641.91</v>
      </c>
      <c r="BG10" s="41">
        <f>1027.52*BJ3</f>
        <v>15412.8</v>
      </c>
      <c r="BH10" s="41">
        <f>53.95*BJ3</f>
        <v>809.25</v>
      </c>
      <c r="BI10" s="214">
        <f>2136%/100</f>
        <v>0.21359999999999998</v>
      </c>
      <c r="BJ10" s="213"/>
    </row>
    <row r="11" spans="1:62" ht="13.5" x14ac:dyDescent="0.25">
      <c r="A11" s="304" t="s">
        <v>315</v>
      </c>
      <c r="B11" s="305"/>
      <c r="D11" s="212">
        <f t="shared" si="0"/>
        <v>15412.81</v>
      </c>
      <c r="E11" s="41">
        <f>1619.51*H3</f>
        <v>24292.65</v>
      </c>
      <c r="F11" s="41">
        <f>164.61*H3</f>
        <v>2469.15</v>
      </c>
      <c r="G11" s="214">
        <f>2352%/100</f>
        <v>0.23519999999999999</v>
      </c>
      <c r="H11" s="213"/>
      <c r="J11" s="212">
        <f t="shared" si="1"/>
        <v>15412.81</v>
      </c>
      <c r="K11" s="41">
        <f>1619.51*N3</f>
        <v>24292.65</v>
      </c>
      <c r="L11" s="41">
        <f>164.61*N3</f>
        <v>2469.15</v>
      </c>
      <c r="M11" s="214">
        <f>2352%/100</f>
        <v>0.23519999999999999</v>
      </c>
      <c r="N11" s="213"/>
      <c r="P11" s="212">
        <f t="shared" si="2"/>
        <v>15412.81</v>
      </c>
      <c r="Q11" s="41">
        <f>1619.51*T3</f>
        <v>24292.65</v>
      </c>
      <c r="R11" s="41">
        <f>164.61*T3</f>
        <v>2469.15</v>
      </c>
      <c r="S11" s="214">
        <f>2352%/100</f>
        <v>0.23519999999999999</v>
      </c>
      <c r="T11" s="213"/>
      <c r="V11" s="212">
        <f t="shared" si="3"/>
        <v>15412.81</v>
      </c>
      <c r="W11" s="41">
        <f>1619.51*Z3</f>
        <v>24292.65</v>
      </c>
      <c r="X11" s="41">
        <f>164.61*Z3</f>
        <v>2469.15</v>
      </c>
      <c r="Y11" s="214">
        <f>2352%/100</f>
        <v>0.23519999999999999</v>
      </c>
      <c r="Z11" s="213"/>
      <c r="AB11" s="212">
        <f t="shared" si="4"/>
        <v>15412.81</v>
      </c>
      <c r="AC11" s="41">
        <f>1619.51*AF3</f>
        <v>24292.65</v>
      </c>
      <c r="AD11" s="41">
        <f>164.61*AF3</f>
        <v>2469.15</v>
      </c>
      <c r="AE11" s="214">
        <f>2352%/100</f>
        <v>0.23519999999999999</v>
      </c>
      <c r="AF11" s="213"/>
      <c r="AH11" s="212">
        <f t="shared" si="5"/>
        <v>15412.81</v>
      </c>
      <c r="AI11" s="41">
        <f>1619.51*AL3</f>
        <v>24292.65</v>
      </c>
      <c r="AJ11" s="41">
        <f>164.61*AL3</f>
        <v>2469.15</v>
      </c>
      <c r="AK11" s="214">
        <f>2352%/100</f>
        <v>0.23519999999999999</v>
      </c>
      <c r="AL11" s="213"/>
      <c r="AN11" s="212">
        <f t="shared" si="6"/>
        <v>15412.81</v>
      </c>
      <c r="AO11" s="41">
        <f>1619.51*AR3</f>
        <v>24292.65</v>
      </c>
      <c r="AP11" s="41">
        <f>164.61*AR3</f>
        <v>2469.15</v>
      </c>
      <c r="AQ11" s="214">
        <f>2352%/100</f>
        <v>0.23519999999999999</v>
      </c>
      <c r="AR11" s="213"/>
      <c r="AT11" s="212">
        <f t="shared" si="7"/>
        <v>15412.81</v>
      </c>
      <c r="AU11" s="41">
        <f>1619.51*AX3</f>
        <v>24292.65</v>
      </c>
      <c r="AV11" s="41">
        <f>164.61*AX3</f>
        <v>2469.15</v>
      </c>
      <c r="AW11" s="214">
        <f>2352%/100</f>
        <v>0.23519999999999999</v>
      </c>
      <c r="AX11" s="213"/>
      <c r="AZ11" s="212">
        <f t="shared" si="8"/>
        <v>15412.81</v>
      </c>
      <c r="BA11" s="41">
        <f>1619.51*BD3</f>
        <v>24292.65</v>
      </c>
      <c r="BB11" s="41">
        <f>164.61*BD3</f>
        <v>2469.15</v>
      </c>
      <c r="BC11" s="214">
        <f>2352%/100</f>
        <v>0.23519999999999999</v>
      </c>
      <c r="BD11" s="213"/>
      <c r="BF11" s="212">
        <f t="shared" si="9"/>
        <v>15412.81</v>
      </c>
      <c r="BG11" s="41">
        <f>1619.51*BJ3</f>
        <v>24292.65</v>
      </c>
      <c r="BH11" s="41">
        <f>164.61*BJ3</f>
        <v>2469.15</v>
      </c>
      <c r="BI11" s="214">
        <f>2352%/100</f>
        <v>0.23519999999999999</v>
      </c>
      <c r="BJ11" s="213"/>
    </row>
    <row r="12" spans="1:62" ht="13.5" x14ac:dyDescent="0.25">
      <c r="A12" s="304" t="s">
        <v>192</v>
      </c>
      <c r="B12" s="305"/>
      <c r="D12" s="212">
        <f t="shared" si="0"/>
        <v>24292.66</v>
      </c>
      <c r="E12" s="41">
        <f>3091.9*H3</f>
        <v>46378.5</v>
      </c>
      <c r="F12" s="41">
        <f>303.85*H3</f>
        <v>4557.75</v>
      </c>
      <c r="G12" s="214">
        <f>3000%/100</f>
        <v>0.3</v>
      </c>
      <c r="H12" s="213"/>
      <c r="J12" s="212">
        <f t="shared" si="1"/>
        <v>24292.66</v>
      </c>
      <c r="K12" s="41">
        <f>3091.9*N3</f>
        <v>46378.5</v>
      </c>
      <c r="L12" s="41">
        <f>303.85*N3</f>
        <v>4557.75</v>
      </c>
      <c r="M12" s="214">
        <f>3000%/100</f>
        <v>0.3</v>
      </c>
      <c r="N12" s="213"/>
      <c r="P12" s="212">
        <f t="shared" si="2"/>
        <v>24292.66</v>
      </c>
      <c r="Q12" s="41">
        <f>3091.9*T3</f>
        <v>46378.5</v>
      </c>
      <c r="R12" s="41">
        <f>303.85*T3</f>
        <v>4557.75</v>
      </c>
      <c r="S12" s="214">
        <f>3000%/100</f>
        <v>0.3</v>
      </c>
      <c r="T12" s="213"/>
      <c r="V12" s="212">
        <f t="shared" si="3"/>
        <v>24292.66</v>
      </c>
      <c r="W12" s="41">
        <f>3091.9*Z3</f>
        <v>46378.5</v>
      </c>
      <c r="X12" s="41">
        <f>303.85*Z3</f>
        <v>4557.75</v>
      </c>
      <c r="Y12" s="214">
        <f>3000%/100</f>
        <v>0.3</v>
      </c>
      <c r="Z12" s="213"/>
      <c r="AB12" s="212">
        <f t="shared" si="4"/>
        <v>24292.66</v>
      </c>
      <c r="AC12" s="41">
        <f>3091.9*AF3</f>
        <v>46378.5</v>
      </c>
      <c r="AD12" s="41">
        <f>303.85*AF3</f>
        <v>4557.75</v>
      </c>
      <c r="AE12" s="214">
        <f>3000%/100</f>
        <v>0.3</v>
      </c>
      <c r="AF12" s="213"/>
      <c r="AH12" s="212">
        <f t="shared" si="5"/>
        <v>24292.66</v>
      </c>
      <c r="AI12" s="41">
        <f>3091.9*AL3</f>
        <v>46378.5</v>
      </c>
      <c r="AJ12" s="41">
        <f>303.85*AL3</f>
        <v>4557.75</v>
      </c>
      <c r="AK12" s="214">
        <f>3000%/100</f>
        <v>0.3</v>
      </c>
      <c r="AL12" s="213"/>
      <c r="AN12" s="212">
        <f t="shared" si="6"/>
        <v>24292.66</v>
      </c>
      <c r="AO12" s="41">
        <f>3091.9*AR3</f>
        <v>46378.5</v>
      </c>
      <c r="AP12" s="41">
        <f>303.85*AR3</f>
        <v>4557.75</v>
      </c>
      <c r="AQ12" s="214">
        <f>3000%/100</f>
        <v>0.3</v>
      </c>
      <c r="AR12" s="213"/>
      <c r="AT12" s="212">
        <f t="shared" si="7"/>
        <v>24292.66</v>
      </c>
      <c r="AU12" s="41">
        <f>3091.9*AX3</f>
        <v>46378.5</v>
      </c>
      <c r="AV12" s="41">
        <f>303.85*AX3</f>
        <v>4557.75</v>
      </c>
      <c r="AW12" s="214">
        <f>3000%/100</f>
        <v>0.3</v>
      </c>
      <c r="AX12" s="213"/>
      <c r="AZ12" s="212">
        <f t="shared" si="8"/>
        <v>24292.66</v>
      </c>
      <c r="BA12" s="41">
        <f>3091.9*BD3</f>
        <v>46378.5</v>
      </c>
      <c r="BB12" s="41">
        <f>303.85*BD3</f>
        <v>4557.75</v>
      </c>
      <c r="BC12" s="214">
        <f>3000%/100</f>
        <v>0.3</v>
      </c>
      <c r="BD12" s="213"/>
      <c r="BF12" s="212">
        <f t="shared" si="9"/>
        <v>24292.66</v>
      </c>
      <c r="BG12" s="41">
        <f>3091.9*BJ3</f>
        <v>46378.5</v>
      </c>
      <c r="BH12" s="41">
        <f>303.85*BJ3</f>
        <v>4557.75</v>
      </c>
      <c r="BI12" s="214">
        <f>3000%/100</f>
        <v>0.3</v>
      </c>
      <c r="BJ12" s="213"/>
    </row>
    <row r="13" spans="1:62" ht="13.5" x14ac:dyDescent="0.25">
      <c r="A13" s="306" t="s">
        <v>236</v>
      </c>
      <c r="B13" s="307"/>
      <c r="D13" s="212">
        <f t="shared" si="0"/>
        <v>46378.51</v>
      </c>
      <c r="E13" s="41">
        <f>4122.54*H3</f>
        <v>61838.1</v>
      </c>
      <c r="F13" s="41">
        <f>745.56*H3</f>
        <v>11183.4</v>
      </c>
      <c r="G13" s="214">
        <f>3200%/100</f>
        <v>0.32</v>
      </c>
      <c r="H13" s="213"/>
      <c r="J13" s="212">
        <f t="shared" si="1"/>
        <v>46378.51</v>
      </c>
      <c r="K13" s="41">
        <f>4122.54*N3</f>
        <v>61838.1</v>
      </c>
      <c r="L13" s="41">
        <f>745.56*N3</f>
        <v>11183.4</v>
      </c>
      <c r="M13" s="214">
        <f>3200%/100</f>
        <v>0.32</v>
      </c>
      <c r="N13" s="213"/>
      <c r="P13" s="212">
        <f t="shared" si="2"/>
        <v>46378.51</v>
      </c>
      <c r="Q13" s="41">
        <f>4122.54*T3</f>
        <v>61838.1</v>
      </c>
      <c r="R13" s="41">
        <f>745.56*T3</f>
        <v>11183.4</v>
      </c>
      <c r="S13" s="214">
        <f>3200%/100</f>
        <v>0.32</v>
      </c>
      <c r="T13" s="213"/>
      <c r="V13" s="212">
        <f t="shared" si="3"/>
        <v>46378.51</v>
      </c>
      <c r="W13" s="41">
        <f>4122.54*Z3</f>
        <v>61838.1</v>
      </c>
      <c r="X13" s="41">
        <f>745.56*Z3</f>
        <v>11183.4</v>
      </c>
      <c r="Y13" s="214">
        <f>3200%/100</f>
        <v>0.32</v>
      </c>
      <c r="Z13" s="213"/>
      <c r="AB13" s="212">
        <f t="shared" si="4"/>
        <v>46378.51</v>
      </c>
      <c r="AC13" s="41">
        <f>4122.54*AF3</f>
        <v>61838.1</v>
      </c>
      <c r="AD13" s="41">
        <f>745.56*AF3</f>
        <v>11183.4</v>
      </c>
      <c r="AE13" s="214">
        <f>3200%/100</f>
        <v>0.32</v>
      </c>
      <c r="AF13" s="213"/>
      <c r="AH13" s="212">
        <f t="shared" si="5"/>
        <v>46378.51</v>
      </c>
      <c r="AI13" s="41">
        <f>4122.54*AL3</f>
        <v>61838.1</v>
      </c>
      <c r="AJ13" s="41">
        <f>745.56*AL3</f>
        <v>11183.4</v>
      </c>
      <c r="AK13" s="214">
        <f>3200%/100</f>
        <v>0.32</v>
      </c>
      <c r="AL13" s="213"/>
      <c r="AN13" s="212">
        <f t="shared" si="6"/>
        <v>46378.51</v>
      </c>
      <c r="AO13" s="41">
        <f>4122.54*AR3</f>
        <v>61838.1</v>
      </c>
      <c r="AP13" s="41">
        <f>745.56*AR3</f>
        <v>11183.4</v>
      </c>
      <c r="AQ13" s="214">
        <f>3200%/100</f>
        <v>0.32</v>
      </c>
      <c r="AR13" s="213"/>
      <c r="AT13" s="212">
        <f t="shared" si="7"/>
        <v>46378.51</v>
      </c>
      <c r="AU13" s="41">
        <f>4122.54*AX3</f>
        <v>61838.1</v>
      </c>
      <c r="AV13" s="41">
        <f>745.56*AX3</f>
        <v>11183.4</v>
      </c>
      <c r="AW13" s="214">
        <f>3200%/100</f>
        <v>0.32</v>
      </c>
      <c r="AX13" s="213"/>
      <c r="AZ13" s="212">
        <f t="shared" si="8"/>
        <v>46378.51</v>
      </c>
      <c r="BA13" s="41">
        <f>4122.54*BD3</f>
        <v>61838.1</v>
      </c>
      <c r="BB13" s="41">
        <f>745.56*BD3</f>
        <v>11183.4</v>
      </c>
      <c r="BC13" s="214">
        <f>3200%/100</f>
        <v>0.32</v>
      </c>
      <c r="BD13" s="213"/>
      <c r="BF13" s="212">
        <f t="shared" si="9"/>
        <v>46378.51</v>
      </c>
      <c r="BG13" s="41">
        <f>4122.54*BJ3</f>
        <v>61838.1</v>
      </c>
      <c r="BH13" s="41">
        <f>745.56*BJ3</f>
        <v>11183.4</v>
      </c>
      <c r="BI13" s="214">
        <f>3200%/100</f>
        <v>0.32</v>
      </c>
      <c r="BJ13" s="213"/>
    </row>
    <row r="14" spans="1:62" ht="13.5" x14ac:dyDescent="0.25">
      <c r="A14" s="304" t="s">
        <v>316</v>
      </c>
      <c r="B14" s="305"/>
      <c r="D14" s="212">
        <f>+E13+0.01</f>
        <v>61838.11</v>
      </c>
      <c r="E14" s="41">
        <f>12367.62*H3</f>
        <v>185514.30000000002</v>
      </c>
      <c r="F14" s="41">
        <f>1075.37*H3</f>
        <v>16130.55</v>
      </c>
      <c r="G14" s="214">
        <f>3400%/100</f>
        <v>0.34</v>
      </c>
      <c r="H14" s="213"/>
      <c r="J14" s="212">
        <f>+K13+0.01</f>
        <v>61838.11</v>
      </c>
      <c r="K14" s="41">
        <f>12367.62*N3</f>
        <v>185514.30000000002</v>
      </c>
      <c r="L14" s="41">
        <f>1075.37*N3</f>
        <v>16130.55</v>
      </c>
      <c r="M14" s="214">
        <f>3400%/100</f>
        <v>0.34</v>
      </c>
      <c r="N14" s="213"/>
      <c r="P14" s="212">
        <f>+Q13+0.01</f>
        <v>61838.11</v>
      </c>
      <c r="Q14" s="41">
        <f>12367.62*T3</f>
        <v>185514.30000000002</v>
      </c>
      <c r="R14" s="41">
        <f>1075.37*T3</f>
        <v>16130.55</v>
      </c>
      <c r="S14" s="214">
        <f>3400%/100</f>
        <v>0.34</v>
      </c>
      <c r="T14" s="213"/>
      <c r="V14" s="212">
        <f>+W13+0.01</f>
        <v>61838.11</v>
      </c>
      <c r="W14" s="41">
        <f>12367.62*Z3</f>
        <v>185514.30000000002</v>
      </c>
      <c r="X14" s="41">
        <f>1075.37*Z3</f>
        <v>16130.55</v>
      </c>
      <c r="Y14" s="214">
        <f>3400%/100</f>
        <v>0.34</v>
      </c>
      <c r="Z14" s="213"/>
      <c r="AB14" s="212">
        <f>+AC13+0.01</f>
        <v>61838.11</v>
      </c>
      <c r="AC14" s="41">
        <f>12367.62*AF3</f>
        <v>185514.30000000002</v>
      </c>
      <c r="AD14" s="41">
        <f>1075.37*AF3</f>
        <v>16130.55</v>
      </c>
      <c r="AE14" s="214">
        <f>3400%/100</f>
        <v>0.34</v>
      </c>
      <c r="AF14" s="213"/>
      <c r="AH14" s="212">
        <f>+AI13+0.01</f>
        <v>61838.11</v>
      </c>
      <c r="AI14" s="41">
        <f>12367.62*AL3</f>
        <v>185514.30000000002</v>
      </c>
      <c r="AJ14" s="41">
        <f>1075.37*AL3</f>
        <v>16130.55</v>
      </c>
      <c r="AK14" s="214">
        <f>3400%/100</f>
        <v>0.34</v>
      </c>
      <c r="AL14" s="213"/>
      <c r="AN14" s="212">
        <f>+AO13+0.01</f>
        <v>61838.11</v>
      </c>
      <c r="AO14" s="41">
        <f>12367.62*AR3</f>
        <v>185514.30000000002</v>
      </c>
      <c r="AP14" s="41">
        <f>1075.37*AR3</f>
        <v>16130.55</v>
      </c>
      <c r="AQ14" s="214">
        <f>3400%/100</f>
        <v>0.34</v>
      </c>
      <c r="AR14" s="213"/>
      <c r="AT14" s="212">
        <f>+AU13+0.01</f>
        <v>61838.11</v>
      </c>
      <c r="AU14" s="41">
        <f>12367.62*AX3</f>
        <v>185514.30000000002</v>
      </c>
      <c r="AV14" s="41">
        <f>1075.37*AX3</f>
        <v>16130.55</v>
      </c>
      <c r="AW14" s="214">
        <f>3400%/100</f>
        <v>0.34</v>
      </c>
      <c r="AX14" s="213"/>
      <c r="AZ14" s="212">
        <f>+BA13+0.01</f>
        <v>61838.11</v>
      </c>
      <c r="BA14" s="41">
        <f>12367.62*BD3</f>
        <v>185514.30000000002</v>
      </c>
      <c r="BB14" s="41">
        <f>1075.37*BD3</f>
        <v>16130.55</v>
      </c>
      <c r="BC14" s="214">
        <f>3400%/100</f>
        <v>0.34</v>
      </c>
      <c r="BD14" s="213"/>
      <c r="BF14" s="212">
        <f>+BG13+0.01</f>
        <v>61838.11</v>
      </c>
      <c r="BG14" s="41">
        <f>12367.62*BJ3</f>
        <v>185514.30000000002</v>
      </c>
      <c r="BH14" s="41">
        <f>1075.37*BJ3</f>
        <v>16130.55</v>
      </c>
      <c r="BI14" s="214">
        <f>3400%/100</f>
        <v>0.34</v>
      </c>
      <c r="BJ14" s="213"/>
    </row>
    <row r="15" spans="1:62" ht="13.5" x14ac:dyDescent="0.25">
      <c r="A15" s="306" t="s">
        <v>244</v>
      </c>
      <c r="B15" s="307"/>
      <c r="D15" s="212">
        <f>+E14+0.01</f>
        <v>185514.31000000003</v>
      </c>
      <c r="E15" s="41" t="s">
        <v>58</v>
      </c>
      <c r="F15" s="41">
        <f>3878.69*H3</f>
        <v>58180.35</v>
      </c>
      <c r="G15" s="214">
        <f>3500%/100</f>
        <v>0.35</v>
      </c>
      <c r="H15" s="213"/>
      <c r="J15" s="212">
        <f>+K14+0.01</f>
        <v>185514.31000000003</v>
      </c>
      <c r="K15" s="41" t="s">
        <v>58</v>
      </c>
      <c r="L15" s="41">
        <f>3878.69*N3</f>
        <v>58180.35</v>
      </c>
      <c r="M15" s="214">
        <f>3500%/100</f>
        <v>0.35</v>
      </c>
      <c r="N15" s="213"/>
      <c r="P15" s="212">
        <f>+Q14+0.01</f>
        <v>185514.31000000003</v>
      </c>
      <c r="Q15" s="41" t="s">
        <v>58</v>
      </c>
      <c r="R15" s="41">
        <f>3878.69*T3</f>
        <v>58180.35</v>
      </c>
      <c r="S15" s="214">
        <f>3500%/100</f>
        <v>0.35</v>
      </c>
      <c r="T15" s="213"/>
      <c r="V15" s="212">
        <f>+W14+0.01</f>
        <v>185514.31000000003</v>
      </c>
      <c r="W15" s="41" t="s">
        <v>58</v>
      </c>
      <c r="X15" s="41">
        <f>3878.69*Z3</f>
        <v>58180.35</v>
      </c>
      <c r="Y15" s="214">
        <f>3500%/100</f>
        <v>0.35</v>
      </c>
      <c r="Z15" s="213"/>
      <c r="AB15" s="212">
        <f>+AC14+0.01</f>
        <v>185514.31000000003</v>
      </c>
      <c r="AC15" s="41" t="s">
        <v>58</v>
      </c>
      <c r="AD15" s="41">
        <f>3878.69*AF3</f>
        <v>58180.35</v>
      </c>
      <c r="AE15" s="214">
        <f>3500%/100</f>
        <v>0.35</v>
      </c>
      <c r="AF15" s="213"/>
      <c r="AH15" s="212">
        <f>+AI14+0.01</f>
        <v>185514.31000000003</v>
      </c>
      <c r="AI15" s="41" t="s">
        <v>58</v>
      </c>
      <c r="AJ15" s="41">
        <f>3878.69*AL3</f>
        <v>58180.35</v>
      </c>
      <c r="AK15" s="214">
        <f>3500%/100</f>
        <v>0.35</v>
      </c>
      <c r="AL15" s="213"/>
      <c r="AN15" s="212">
        <f>+AO14+0.01</f>
        <v>185514.31000000003</v>
      </c>
      <c r="AO15" s="41" t="s">
        <v>58</v>
      </c>
      <c r="AP15" s="41">
        <f>3878.69*AR3</f>
        <v>58180.35</v>
      </c>
      <c r="AQ15" s="214">
        <f>3500%/100</f>
        <v>0.35</v>
      </c>
      <c r="AR15" s="213"/>
      <c r="AT15" s="212">
        <f>+AU14+0.01</f>
        <v>185514.31000000003</v>
      </c>
      <c r="AU15" s="41" t="s">
        <v>58</v>
      </c>
      <c r="AV15" s="41">
        <f>3878.69*AX3</f>
        <v>58180.35</v>
      </c>
      <c r="AW15" s="214">
        <f>3500%/100</f>
        <v>0.35</v>
      </c>
      <c r="AX15" s="213"/>
      <c r="AZ15" s="212">
        <f>+BA14+0.01</f>
        <v>185514.31000000003</v>
      </c>
      <c r="BA15" s="41" t="s">
        <v>58</v>
      </c>
      <c r="BB15" s="41">
        <f>3878.69*BD3</f>
        <v>58180.35</v>
      </c>
      <c r="BC15" s="214">
        <f>3500%/100</f>
        <v>0.35</v>
      </c>
      <c r="BD15" s="213"/>
      <c r="BF15" s="212">
        <f>+BG14+0.01</f>
        <v>185514.31000000003</v>
      </c>
      <c r="BG15" s="41" t="s">
        <v>58</v>
      </c>
      <c r="BH15" s="41">
        <f>3878.69*BJ3</f>
        <v>58180.35</v>
      </c>
      <c r="BI15" s="214">
        <f>3500%/100</f>
        <v>0.35</v>
      </c>
      <c r="BJ15" s="213"/>
    </row>
    <row r="16" spans="1:62" ht="13.5" x14ac:dyDescent="0.25">
      <c r="A16" s="306" t="s">
        <v>356</v>
      </c>
      <c r="B16" s="307"/>
      <c r="D16" s="212"/>
      <c r="G16" s="214"/>
      <c r="H16" s="213"/>
      <c r="J16" s="212"/>
      <c r="M16" s="214"/>
      <c r="N16" s="213"/>
      <c r="P16" s="212"/>
      <c r="S16" s="214"/>
      <c r="T16" s="213"/>
      <c r="V16" s="212"/>
      <c r="Y16" s="214"/>
      <c r="Z16" s="213"/>
      <c r="AB16" s="212"/>
      <c r="AE16" s="214"/>
      <c r="AF16" s="213"/>
      <c r="AH16" s="212"/>
      <c r="AK16" s="214"/>
      <c r="AL16" s="213"/>
      <c r="AN16" s="212"/>
      <c r="AQ16" s="214"/>
      <c r="AR16" s="213"/>
      <c r="AT16" s="212"/>
      <c r="AW16" s="214"/>
      <c r="AX16" s="213"/>
      <c r="AZ16" s="212"/>
      <c r="BC16" s="214"/>
      <c r="BD16" s="213"/>
      <c r="BF16" s="212"/>
      <c r="BI16" s="214"/>
      <c r="BJ16" s="213"/>
    </row>
    <row r="17" spans="1:62" ht="14.25" thickBot="1" x14ac:dyDescent="0.3">
      <c r="A17" s="318" t="s">
        <v>330</v>
      </c>
      <c r="B17" s="319"/>
      <c r="D17" s="208" t="s">
        <v>355</v>
      </c>
      <c r="E17" s="209"/>
      <c r="F17" s="209"/>
      <c r="G17" s="210"/>
      <c r="H17" s="215" t="s">
        <v>130</v>
      </c>
      <c r="J17" s="208" t="s">
        <v>355</v>
      </c>
      <c r="K17" s="209"/>
      <c r="L17" s="209"/>
      <c r="M17" s="210"/>
      <c r="N17" s="215" t="s">
        <v>130</v>
      </c>
      <c r="P17" s="208" t="s">
        <v>355</v>
      </c>
      <c r="Q17" s="209"/>
      <c r="R17" s="209"/>
      <c r="S17" s="210"/>
      <c r="T17" s="215" t="s">
        <v>130</v>
      </c>
      <c r="V17" s="208" t="s">
        <v>355</v>
      </c>
      <c r="W17" s="209"/>
      <c r="X17" s="209"/>
      <c r="Y17" s="210"/>
      <c r="Z17" s="215" t="s">
        <v>130</v>
      </c>
      <c r="AB17" s="208" t="s">
        <v>355</v>
      </c>
      <c r="AC17" s="209"/>
      <c r="AD17" s="209"/>
      <c r="AE17" s="210"/>
      <c r="AF17" s="215" t="s">
        <v>130</v>
      </c>
      <c r="AH17" s="208" t="s">
        <v>355</v>
      </c>
      <c r="AI17" s="209"/>
      <c r="AJ17" s="209"/>
      <c r="AK17" s="210"/>
      <c r="AL17" s="215" t="s">
        <v>130</v>
      </c>
      <c r="AN17" s="208" t="s">
        <v>355</v>
      </c>
      <c r="AO17" s="209"/>
      <c r="AP17" s="209"/>
      <c r="AQ17" s="210"/>
      <c r="AR17" s="215" t="s">
        <v>130</v>
      </c>
      <c r="AT17" s="208" t="s">
        <v>355</v>
      </c>
      <c r="AU17" s="209"/>
      <c r="AV17" s="209"/>
      <c r="AW17" s="210"/>
      <c r="AX17" s="215" t="s">
        <v>130</v>
      </c>
      <c r="AZ17" s="208" t="s">
        <v>355</v>
      </c>
      <c r="BA17" s="209"/>
      <c r="BB17" s="209"/>
      <c r="BC17" s="210"/>
      <c r="BD17" s="215" t="s">
        <v>130</v>
      </c>
      <c r="BF17" s="208" t="s">
        <v>355</v>
      </c>
      <c r="BG17" s="209"/>
      <c r="BH17" s="209"/>
      <c r="BI17" s="210"/>
      <c r="BJ17" s="215" t="s">
        <v>130</v>
      </c>
    </row>
    <row r="18" spans="1:62" x14ac:dyDescent="0.2">
      <c r="D18" s="212"/>
      <c r="G18" s="214"/>
      <c r="H18" s="213"/>
      <c r="J18" s="212"/>
      <c r="M18" s="214"/>
      <c r="N18" s="213"/>
      <c r="P18" s="212"/>
      <c r="S18" s="214"/>
      <c r="T18" s="213"/>
      <c r="V18" s="212"/>
      <c r="Y18" s="214"/>
      <c r="Z18" s="213"/>
      <c r="AB18" s="212"/>
      <c r="AE18" s="214"/>
      <c r="AF18" s="213"/>
      <c r="AH18" s="212"/>
      <c r="AK18" s="214"/>
      <c r="AL18" s="213"/>
      <c r="AN18" s="212"/>
      <c r="AQ18" s="214"/>
      <c r="AR18" s="213"/>
      <c r="AT18" s="212"/>
      <c r="AW18" s="214"/>
      <c r="AX18" s="213"/>
      <c r="AZ18" s="212"/>
      <c r="BC18" s="214"/>
      <c r="BD18" s="213"/>
      <c r="BF18" s="212"/>
      <c r="BI18" s="214"/>
      <c r="BJ18" s="213"/>
    </row>
    <row r="19" spans="1:62" ht="25.5" customHeight="1" x14ac:dyDescent="0.2">
      <c r="D19" s="216" t="s">
        <v>133</v>
      </c>
      <c r="E19" s="217" t="s">
        <v>132</v>
      </c>
      <c r="F19" s="217" t="s">
        <v>131</v>
      </c>
      <c r="G19" s="218"/>
      <c r="H19" s="211">
        <f>+'ISR '!H8</f>
        <v>15</v>
      </c>
      <c r="J19" s="216" t="s">
        <v>133</v>
      </c>
      <c r="K19" s="217" t="s">
        <v>132</v>
      </c>
      <c r="L19" s="217" t="s">
        <v>131</v>
      </c>
      <c r="M19" s="218"/>
      <c r="N19" s="211">
        <f>+N3</f>
        <v>15</v>
      </c>
      <c r="P19" s="216" t="s">
        <v>133</v>
      </c>
      <c r="Q19" s="217" t="s">
        <v>132</v>
      </c>
      <c r="R19" s="217" t="s">
        <v>131</v>
      </c>
      <c r="S19" s="218"/>
      <c r="T19" s="211">
        <f>+T3</f>
        <v>15</v>
      </c>
      <c r="V19" s="216" t="s">
        <v>133</v>
      </c>
      <c r="W19" s="217" t="s">
        <v>132</v>
      </c>
      <c r="X19" s="217" t="s">
        <v>131</v>
      </c>
      <c r="Y19" s="218"/>
      <c r="Z19" s="211">
        <f>+Z3</f>
        <v>15</v>
      </c>
      <c r="AB19" s="216" t="s">
        <v>133</v>
      </c>
      <c r="AC19" s="217" t="s">
        <v>132</v>
      </c>
      <c r="AD19" s="217" t="s">
        <v>131</v>
      </c>
      <c r="AE19" s="218"/>
      <c r="AF19" s="211">
        <f>+AF3</f>
        <v>15</v>
      </c>
      <c r="AH19" s="216" t="s">
        <v>133</v>
      </c>
      <c r="AI19" s="217" t="s">
        <v>132</v>
      </c>
      <c r="AJ19" s="217" t="s">
        <v>131</v>
      </c>
      <c r="AK19" s="218"/>
      <c r="AL19" s="211">
        <f>+AL3</f>
        <v>15</v>
      </c>
      <c r="AN19" s="216" t="s">
        <v>133</v>
      </c>
      <c r="AO19" s="217" t="s">
        <v>132</v>
      </c>
      <c r="AP19" s="217" t="s">
        <v>131</v>
      </c>
      <c r="AQ19" s="218"/>
      <c r="AR19" s="211">
        <f>+AR3</f>
        <v>15</v>
      </c>
      <c r="AT19" s="216" t="s">
        <v>133</v>
      </c>
      <c r="AU19" s="217" t="s">
        <v>132</v>
      </c>
      <c r="AV19" s="217" t="s">
        <v>131</v>
      </c>
      <c r="AW19" s="218"/>
      <c r="AX19" s="211">
        <f>+AX3</f>
        <v>15</v>
      </c>
      <c r="AZ19" s="216" t="s">
        <v>133</v>
      </c>
      <c r="BA19" s="217" t="s">
        <v>132</v>
      </c>
      <c r="BB19" s="217" t="s">
        <v>131</v>
      </c>
      <c r="BC19" s="218"/>
      <c r="BD19" s="211">
        <f>+BD3</f>
        <v>15</v>
      </c>
      <c r="BF19" s="216" t="s">
        <v>133</v>
      </c>
      <c r="BG19" s="217" t="s">
        <v>132</v>
      </c>
      <c r="BH19" s="217" t="s">
        <v>131</v>
      </c>
      <c r="BI19" s="218"/>
      <c r="BJ19" s="211">
        <f>+BJ3</f>
        <v>15</v>
      </c>
    </row>
    <row r="20" spans="1:62" x14ac:dyDescent="0.2">
      <c r="D20" s="212" t="s">
        <v>57</v>
      </c>
      <c r="E20" s="41" t="s">
        <v>57</v>
      </c>
      <c r="F20" s="41" t="s">
        <v>57</v>
      </c>
      <c r="G20" s="41"/>
      <c r="H20" s="213"/>
      <c r="J20" s="212" t="s">
        <v>57</v>
      </c>
      <c r="K20" s="41" t="s">
        <v>57</v>
      </c>
      <c r="L20" s="41" t="s">
        <v>57</v>
      </c>
      <c r="N20" s="213"/>
      <c r="P20" s="212" t="s">
        <v>57</v>
      </c>
      <c r="Q20" s="41" t="s">
        <v>57</v>
      </c>
      <c r="R20" s="41" t="s">
        <v>57</v>
      </c>
      <c r="T20" s="213"/>
      <c r="V20" s="212" t="s">
        <v>57</v>
      </c>
      <c r="W20" s="41" t="s">
        <v>57</v>
      </c>
      <c r="X20" s="41" t="s">
        <v>57</v>
      </c>
      <c r="Z20" s="213"/>
      <c r="AB20" s="212" t="s">
        <v>57</v>
      </c>
      <c r="AC20" s="41" t="s">
        <v>57</v>
      </c>
      <c r="AD20" s="41" t="s">
        <v>57</v>
      </c>
      <c r="AF20" s="213"/>
      <c r="AH20" s="212" t="s">
        <v>57</v>
      </c>
      <c r="AI20" s="41" t="s">
        <v>57</v>
      </c>
      <c r="AJ20" s="41" t="s">
        <v>57</v>
      </c>
      <c r="AL20" s="213"/>
      <c r="AN20" s="212" t="s">
        <v>57</v>
      </c>
      <c r="AO20" s="41" t="s">
        <v>57</v>
      </c>
      <c r="AP20" s="41" t="s">
        <v>57</v>
      </c>
      <c r="AR20" s="213"/>
      <c r="AT20" s="212" t="s">
        <v>57</v>
      </c>
      <c r="AU20" s="41" t="s">
        <v>57</v>
      </c>
      <c r="AV20" s="41" t="s">
        <v>57</v>
      </c>
      <c r="AX20" s="213"/>
      <c r="AZ20" s="212" t="s">
        <v>57</v>
      </c>
      <c r="BA20" s="41" t="s">
        <v>57</v>
      </c>
      <c r="BB20" s="41" t="s">
        <v>57</v>
      </c>
      <c r="BD20" s="213"/>
      <c r="BF20" s="212" t="s">
        <v>57</v>
      </c>
      <c r="BG20" s="41" t="s">
        <v>57</v>
      </c>
      <c r="BH20" s="41" t="s">
        <v>57</v>
      </c>
      <c r="BJ20" s="213"/>
    </row>
    <row r="21" spans="1:62" x14ac:dyDescent="0.2">
      <c r="D21" s="262">
        <v>0.01</v>
      </c>
      <c r="E21" s="41">
        <f>334.5723*H19</f>
        <v>5018.5844999999999</v>
      </c>
      <c r="F21" s="41">
        <f>15.6233*H19</f>
        <v>234.34950000000001</v>
      </c>
      <c r="G21" s="41"/>
      <c r="H21" s="213"/>
      <c r="J21" s="262">
        <v>0.01</v>
      </c>
      <c r="K21" s="41">
        <f>334.5723*N19</f>
        <v>5018.5844999999999</v>
      </c>
      <c r="L21" s="41">
        <f>15.6233*N19</f>
        <v>234.34950000000001</v>
      </c>
      <c r="N21" s="213"/>
      <c r="P21" s="262">
        <v>0.01</v>
      </c>
      <c r="Q21" s="41">
        <f>334.5723*T19</f>
        <v>5018.5844999999999</v>
      </c>
      <c r="R21" s="41">
        <f>15.6233*T19</f>
        <v>234.34950000000001</v>
      </c>
      <c r="T21" s="213"/>
      <c r="V21" s="262">
        <v>0.01</v>
      </c>
      <c r="W21" s="41">
        <f>334.5723*Z19</f>
        <v>5018.5844999999999</v>
      </c>
      <c r="X21" s="41">
        <f>15.6233*Z19</f>
        <v>234.34950000000001</v>
      </c>
      <c r="Z21" s="213"/>
      <c r="AB21" s="262">
        <v>0.01</v>
      </c>
      <c r="AC21" s="41">
        <f>334.5723*AF19</f>
        <v>5018.5844999999999</v>
      </c>
      <c r="AD21" s="41">
        <f>15.6233*AF19</f>
        <v>234.34950000000001</v>
      </c>
      <c r="AF21" s="213"/>
      <c r="AH21" s="262">
        <v>0.01</v>
      </c>
      <c r="AI21" s="41">
        <f>334.5723*AL19</f>
        <v>5018.5844999999999</v>
      </c>
      <c r="AJ21" s="41">
        <f>15.6233*AL19</f>
        <v>234.34950000000001</v>
      </c>
      <c r="AL21" s="213"/>
      <c r="AN21" s="262">
        <v>0.01</v>
      </c>
      <c r="AO21" s="41">
        <f>334.5723*AR19</f>
        <v>5018.5844999999999</v>
      </c>
      <c r="AP21" s="41">
        <f>15.6233*AR19</f>
        <v>234.34950000000001</v>
      </c>
      <c r="AR21" s="213"/>
      <c r="AT21" s="262">
        <v>0.01</v>
      </c>
      <c r="AU21" s="41">
        <f>334.5723*AX19</f>
        <v>5018.5844999999999</v>
      </c>
      <c r="AV21" s="41">
        <f>15.6233*AX19</f>
        <v>234.34950000000001</v>
      </c>
      <c r="AX21" s="213"/>
      <c r="AZ21" s="262">
        <v>0.01</v>
      </c>
      <c r="BA21" s="41">
        <f>334.5723*BD19</f>
        <v>5018.5844999999999</v>
      </c>
      <c r="BB21" s="41">
        <f>15.6233*BD19</f>
        <v>234.34950000000001</v>
      </c>
      <c r="BD21" s="213"/>
      <c r="BF21" s="262">
        <v>0.01</v>
      </c>
      <c r="BG21" s="41">
        <f>334.5723*BJ19</f>
        <v>5018.5844999999999</v>
      </c>
      <c r="BH21" s="41">
        <f>15.6233*BJ19</f>
        <v>234.34950000000001</v>
      </c>
      <c r="BJ21" s="213"/>
    </row>
    <row r="22" spans="1:62" x14ac:dyDescent="0.2">
      <c r="D22" s="212">
        <f>E21+0.01</f>
        <v>5018.5945000000002</v>
      </c>
      <c r="E22" s="41">
        <v>10171.02</v>
      </c>
      <c r="F22" s="213">
        <v>0</v>
      </c>
      <c r="G22" s="41"/>
      <c r="H22" s="213"/>
      <c r="J22" s="212">
        <f>K21+0.01</f>
        <v>5018.5945000000002</v>
      </c>
      <c r="K22" s="41">
        <v>10171.02</v>
      </c>
      <c r="L22" s="213">
        <v>0</v>
      </c>
      <c r="N22" s="213"/>
      <c r="P22" s="212">
        <f>Q21+0.01</f>
        <v>5018.5945000000002</v>
      </c>
      <c r="Q22" s="41">
        <v>10171.02</v>
      </c>
      <c r="R22" s="213">
        <v>0</v>
      </c>
      <c r="T22" s="213"/>
      <c r="V22" s="212">
        <f>W21+0.01</f>
        <v>5018.5945000000002</v>
      </c>
      <c r="W22" s="41">
        <v>10171.02</v>
      </c>
      <c r="X22" s="213">
        <v>0</v>
      </c>
      <c r="Z22" s="213"/>
      <c r="AB22" s="212">
        <f>AC21+0.01</f>
        <v>5018.5945000000002</v>
      </c>
      <c r="AC22" s="41">
        <v>10171.02</v>
      </c>
      <c r="AD22" s="213">
        <v>0</v>
      </c>
      <c r="AF22" s="213"/>
      <c r="AH22" s="212">
        <f>AI21+0.01</f>
        <v>5018.5945000000002</v>
      </c>
      <c r="AI22" s="41">
        <v>10171.02</v>
      </c>
      <c r="AJ22" s="213">
        <v>0</v>
      </c>
      <c r="AL22" s="213"/>
      <c r="AN22" s="212">
        <f>AO21+0.01</f>
        <v>5018.5945000000002</v>
      </c>
      <c r="AO22" s="41">
        <v>10171.02</v>
      </c>
      <c r="AP22" s="213">
        <v>0</v>
      </c>
      <c r="AR22" s="213"/>
      <c r="AT22" s="212">
        <f>AU21+0.01</f>
        <v>5018.5945000000002</v>
      </c>
      <c r="AU22" s="41">
        <v>10171.02</v>
      </c>
      <c r="AV22" s="213">
        <v>0</v>
      </c>
      <c r="AX22" s="213"/>
      <c r="AZ22" s="212">
        <f>BA21+0.01</f>
        <v>5018.5945000000002</v>
      </c>
      <c r="BA22" s="41">
        <v>10171.02</v>
      </c>
      <c r="BB22" s="213">
        <v>0</v>
      </c>
      <c r="BD22" s="213"/>
      <c r="BF22" s="212">
        <f>BG21+0.01</f>
        <v>5018.5945000000002</v>
      </c>
      <c r="BG22" s="41">
        <v>10171.02</v>
      </c>
      <c r="BH22" s="213">
        <v>0</v>
      </c>
      <c r="BJ22" s="213"/>
    </row>
    <row r="23" spans="1:62" x14ac:dyDescent="0.2">
      <c r="D23" s="212">
        <v>10171.030000000001</v>
      </c>
      <c r="E23" s="212">
        <v>10171.040000000001</v>
      </c>
      <c r="F23" s="213">
        <v>0</v>
      </c>
      <c r="G23" s="41"/>
      <c r="H23" s="213"/>
      <c r="J23" s="212">
        <v>10171.030000000001</v>
      </c>
      <c r="K23" s="212">
        <v>10171.040000000001</v>
      </c>
      <c r="L23" s="213">
        <v>0</v>
      </c>
      <c r="N23" s="213"/>
      <c r="P23" s="212">
        <v>10171.030000000001</v>
      </c>
      <c r="Q23" s="212">
        <v>10171.040000000001</v>
      </c>
      <c r="R23" s="213">
        <v>0</v>
      </c>
      <c r="T23" s="213"/>
      <c r="V23" s="212">
        <v>10171.030000000001</v>
      </c>
      <c r="W23" s="212">
        <v>10171.040000000001</v>
      </c>
      <c r="X23" s="213">
        <v>0</v>
      </c>
      <c r="Z23" s="213"/>
      <c r="AB23" s="212">
        <v>10171.030000000001</v>
      </c>
      <c r="AC23" s="212">
        <v>10171.040000000001</v>
      </c>
      <c r="AD23" s="213">
        <v>0</v>
      </c>
      <c r="AF23" s="213"/>
      <c r="AH23" s="212">
        <v>10171.030000000001</v>
      </c>
      <c r="AI23" s="212">
        <v>10171.040000000001</v>
      </c>
      <c r="AJ23" s="213">
        <v>0</v>
      </c>
      <c r="AL23" s="213"/>
      <c r="AN23" s="212">
        <v>10171.030000000001</v>
      </c>
      <c r="AO23" s="212">
        <v>10171.040000000001</v>
      </c>
      <c r="AP23" s="213">
        <v>0</v>
      </c>
      <c r="AR23" s="213"/>
      <c r="AT23" s="212">
        <v>10171.030000000001</v>
      </c>
      <c r="AU23" s="212">
        <v>10171.040000000001</v>
      </c>
      <c r="AV23" s="213">
        <v>0</v>
      </c>
      <c r="AX23" s="213"/>
      <c r="AZ23" s="212">
        <v>10171.030000000001</v>
      </c>
      <c r="BA23" s="212">
        <v>10171.040000000001</v>
      </c>
      <c r="BB23" s="213">
        <v>0</v>
      </c>
      <c r="BD23" s="213"/>
      <c r="BF23" s="212">
        <v>10171.030000000001</v>
      </c>
      <c r="BG23" s="212">
        <v>10171.040000000001</v>
      </c>
      <c r="BH23" s="213">
        <v>0</v>
      </c>
      <c r="BJ23" s="213"/>
    </row>
    <row r="24" spans="1:62" x14ac:dyDescent="0.2">
      <c r="D24" s="212">
        <v>10171.049999999999</v>
      </c>
      <c r="E24" s="212">
        <v>10171.06</v>
      </c>
      <c r="F24" s="213">
        <v>0</v>
      </c>
      <c r="G24" s="41"/>
      <c r="H24" s="213"/>
      <c r="J24" s="212">
        <v>10171.049999999999</v>
      </c>
      <c r="K24" s="212">
        <v>10171.06</v>
      </c>
      <c r="L24" s="213">
        <v>0</v>
      </c>
      <c r="N24" s="213"/>
      <c r="P24" s="212">
        <v>10171.049999999999</v>
      </c>
      <c r="Q24" s="212">
        <v>10171.06</v>
      </c>
      <c r="R24" s="213">
        <v>0</v>
      </c>
      <c r="T24" s="213"/>
      <c r="V24" s="212">
        <v>10171.049999999999</v>
      </c>
      <c r="W24" s="212">
        <v>10171.06</v>
      </c>
      <c r="X24" s="213">
        <v>0</v>
      </c>
      <c r="Z24" s="213"/>
      <c r="AB24" s="212">
        <v>10171.049999999999</v>
      </c>
      <c r="AC24" s="212">
        <v>10171.06</v>
      </c>
      <c r="AD24" s="213">
        <v>0</v>
      </c>
      <c r="AF24" s="213"/>
      <c r="AH24" s="212">
        <v>10171.049999999999</v>
      </c>
      <c r="AI24" s="212">
        <v>10171.06</v>
      </c>
      <c r="AJ24" s="213">
        <v>0</v>
      </c>
      <c r="AL24" s="213"/>
      <c r="AN24" s="212">
        <v>10171.049999999999</v>
      </c>
      <c r="AO24" s="212">
        <v>10171.06</v>
      </c>
      <c r="AP24" s="213">
        <v>0</v>
      </c>
      <c r="AR24" s="213"/>
      <c r="AT24" s="212">
        <v>10171.049999999999</v>
      </c>
      <c r="AU24" s="212">
        <v>10171.06</v>
      </c>
      <c r="AV24" s="213">
        <v>0</v>
      </c>
      <c r="AX24" s="213"/>
      <c r="AZ24" s="212">
        <v>10171.049999999999</v>
      </c>
      <c r="BA24" s="212">
        <v>10171.06</v>
      </c>
      <c r="BB24" s="213">
        <v>0</v>
      </c>
      <c r="BD24" s="213"/>
      <c r="BF24" s="212">
        <v>10171.049999999999</v>
      </c>
      <c r="BG24" s="212">
        <v>10171.06</v>
      </c>
      <c r="BH24" s="213">
        <v>0</v>
      </c>
      <c r="BJ24" s="213"/>
    </row>
    <row r="25" spans="1:62" x14ac:dyDescent="0.2">
      <c r="D25" s="212">
        <v>10171.07</v>
      </c>
      <c r="E25" s="212">
        <v>10171.08</v>
      </c>
      <c r="F25" s="213">
        <v>0</v>
      </c>
      <c r="G25" s="41"/>
      <c r="H25" s="213"/>
      <c r="J25" s="212">
        <v>10171.07</v>
      </c>
      <c r="K25" s="212">
        <v>10171.08</v>
      </c>
      <c r="L25" s="213">
        <v>0</v>
      </c>
      <c r="N25" s="213"/>
      <c r="P25" s="212">
        <v>10171.07</v>
      </c>
      <c r="Q25" s="212">
        <v>10171.08</v>
      </c>
      <c r="R25" s="213">
        <v>0</v>
      </c>
      <c r="T25" s="213"/>
      <c r="V25" s="212">
        <v>10171.07</v>
      </c>
      <c r="W25" s="212">
        <v>10171.08</v>
      </c>
      <c r="X25" s="213">
        <v>0</v>
      </c>
      <c r="Z25" s="213"/>
      <c r="AB25" s="212">
        <v>10171.07</v>
      </c>
      <c r="AC25" s="212">
        <v>10171.08</v>
      </c>
      <c r="AD25" s="213">
        <v>0</v>
      </c>
      <c r="AF25" s="213"/>
      <c r="AH25" s="212">
        <v>10171.07</v>
      </c>
      <c r="AI25" s="212">
        <v>10171.08</v>
      </c>
      <c r="AJ25" s="213">
        <v>0</v>
      </c>
      <c r="AL25" s="213"/>
      <c r="AN25" s="212">
        <v>10171.07</v>
      </c>
      <c r="AO25" s="212">
        <v>10171.08</v>
      </c>
      <c r="AP25" s="213">
        <v>0</v>
      </c>
      <c r="AR25" s="213"/>
      <c r="AT25" s="212">
        <v>10171.07</v>
      </c>
      <c r="AU25" s="212">
        <v>10171.08</v>
      </c>
      <c r="AV25" s="213">
        <v>0</v>
      </c>
      <c r="AX25" s="213"/>
      <c r="AZ25" s="212">
        <v>10171.07</v>
      </c>
      <c r="BA25" s="212">
        <v>10171.08</v>
      </c>
      <c r="BB25" s="213">
        <v>0</v>
      </c>
      <c r="BD25" s="213"/>
      <c r="BF25" s="212">
        <v>10171.07</v>
      </c>
      <c r="BG25" s="212">
        <v>10171.08</v>
      </c>
      <c r="BH25" s="213">
        <v>0</v>
      </c>
      <c r="BJ25" s="213"/>
    </row>
    <row r="26" spans="1:62" x14ac:dyDescent="0.2">
      <c r="D26" s="212">
        <v>10171.09</v>
      </c>
      <c r="E26" s="212">
        <v>10171.1</v>
      </c>
      <c r="F26" s="213">
        <v>0</v>
      </c>
      <c r="G26" s="41"/>
      <c r="H26" s="213"/>
      <c r="J26" s="212">
        <v>10171.09</v>
      </c>
      <c r="K26" s="212">
        <v>10171.1</v>
      </c>
      <c r="L26" s="213">
        <v>0</v>
      </c>
      <c r="N26" s="213"/>
      <c r="P26" s="212">
        <v>10171.09</v>
      </c>
      <c r="Q26" s="212">
        <v>10171.1</v>
      </c>
      <c r="R26" s="213">
        <v>0</v>
      </c>
      <c r="T26" s="213"/>
      <c r="V26" s="212">
        <v>10171.09</v>
      </c>
      <c r="W26" s="212">
        <v>10171.1</v>
      </c>
      <c r="X26" s="213">
        <v>0</v>
      </c>
      <c r="Z26" s="213"/>
      <c r="AB26" s="212">
        <v>10171.09</v>
      </c>
      <c r="AC26" s="212">
        <v>10171.1</v>
      </c>
      <c r="AD26" s="213">
        <v>0</v>
      </c>
      <c r="AF26" s="213"/>
      <c r="AH26" s="212">
        <v>10171.09</v>
      </c>
      <c r="AI26" s="212">
        <v>10171.1</v>
      </c>
      <c r="AJ26" s="213">
        <v>0</v>
      </c>
      <c r="AL26" s="213"/>
      <c r="AN26" s="212">
        <v>10171.09</v>
      </c>
      <c r="AO26" s="212">
        <v>10171.1</v>
      </c>
      <c r="AP26" s="213">
        <v>0</v>
      </c>
      <c r="AR26" s="213"/>
      <c r="AT26" s="212">
        <v>10171.09</v>
      </c>
      <c r="AU26" s="212">
        <v>10171.1</v>
      </c>
      <c r="AV26" s="213">
        <v>0</v>
      </c>
      <c r="AX26" s="213"/>
      <c r="AZ26" s="212">
        <v>10171.09</v>
      </c>
      <c r="BA26" s="212">
        <v>10171.1</v>
      </c>
      <c r="BB26" s="213">
        <v>0</v>
      </c>
      <c r="BD26" s="213"/>
      <c r="BF26" s="212">
        <v>10171.09</v>
      </c>
      <c r="BG26" s="212">
        <v>10171.1</v>
      </c>
      <c r="BH26" s="213">
        <v>0</v>
      </c>
      <c r="BJ26" s="213"/>
    </row>
    <row r="27" spans="1:62" x14ac:dyDescent="0.2">
      <c r="D27" s="212">
        <v>10171.11</v>
      </c>
      <c r="E27" s="212">
        <v>10171.120000000001</v>
      </c>
      <c r="F27" s="213">
        <v>0</v>
      </c>
      <c r="G27" s="41"/>
      <c r="H27" s="213"/>
      <c r="J27" s="212">
        <v>10171.11</v>
      </c>
      <c r="K27" s="212">
        <v>10171.120000000001</v>
      </c>
      <c r="L27" s="213">
        <v>0</v>
      </c>
      <c r="N27" s="213"/>
      <c r="P27" s="212">
        <v>10171.11</v>
      </c>
      <c r="Q27" s="212">
        <v>10171.120000000001</v>
      </c>
      <c r="R27" s="213">
        <v>0</v>
      </c>
      <c r="T27" s="213"/>
      <c r="V27" s="212">
        <v>10171.11</v>
      </c>
      <c r="W27" s="212">
        <v>10171.120000000001</v>
      </c>
      <c r="X27" s="213">
        <v>0</v>
      </c>
      <c r="Z27" s="213"/>
      <c r="AB27" s="212">
        <v>10171.11</v>
      </c>
      <c r="AC27" s="212">
        <v>10171.120000000001</v>
      </c>
      <c r="AD27" s="213">
        <v>0</v>
      </c>
      <c r="AF27" s="213"/>
      <c r="AH27" s="212">
        <v>10171.11</v>
      </c>
      <c r="AI27" s="212">
        <v>10171.120000000001</v>
      </c>
      <c r="AJ27" s="213">
        <v>0</v>
      </c>
      <c r="AL27" s="213"/>
      <c r="AN27" s="212">
        <v>10171.11</v>
      </c>
      <c r="AO27" s="212">
        <v>10171.120000000001</v>
      </c>
      <c r="AP27" s="213">
        <v>0</v>
      </c>
      <c r="AR27" s="213"/>
      <c r="AT27" s="212">
        <v>10171.11</v>
      </c>
      <c r="AU27" s="212">
        <v>10171.120000000001</v>
      </c>
      <c r="AV27" s="213">
        <v>0</v>
      </c>
      <c r="AX27" s="213"/>
      <c r="AZ27" s="212">
        <v>10171.11</v>
      </c>
      <c r="BA27" s="212">
        <v>10171.120000000001</v>
      </c>
      <c r="BB27" s="213">
        <v>0</v>
      </c>
      <c r="BD27" s="213"/>
      <c r="BF27" s="212">
        <v>10171.11</v>
      </c>
      <c r="BG27" s="212">
        <v>10171.120000000001</v>
      </c>
      <c r="BH27" s="213">
        <v>0</v>
      </c>
      <c r="BJ27" s="213"/>
    </row>
    <row r="28" spans="1:62" x14ac:dyDescent="0.2">
      <c r="D28" s="212">
        <v>10171.129999999999</v>
      </c>
      <c r="E28" s="212">
        <v>10171.14</v>
      </c>
      <c r="F28" s="213">
        <v>0</v>
      </c>
      <c r="G28" s="41"/>
      <c r="H28" s="213"/>
      <c r="J28" s="212">
        <v>10171.129999999999</v>
      </c>
      <c r="K28" s="212">
        <v>10171.14</v>
      </c>
      <c r="L28" s="213">
        <v>0</v>
      </c>
      <c r="N28" s="213"/>
      <c r="P28" s="212">
        <v>10171.129999999999</v>
      </c>
      <c r="Q28" s="212">
        <v>10171.14</v>
      </c>
      <c r="R28" s="213">
        <v>0</v>
      </c>
      <c r="T28" s="213"/>
      <c r="V28" s="212">
        <v>10171.129999999999</v>
      </c>
      <c r="W28" s="212">
        <v>10171.14</v>
      </c>
      <c r="X28" s="213">
        <v>0</v>
      </c>
      <c r="Z28" s="213"/>
      <c r="AB28" s="212">
        <v>10171.129999999999</v>
      </c>
      <c r="AC28" s="212">
        <v>10171.14</v>
      </c>
      <c r="AD28" s="213">
        <v>0</v>
      </c>
      <c r="AF28" s="213"/>
      <c r="AH28" s="212">
        <v>10171.129999999999</v>
      </c>
      <c r="AI28" s="212">
        <v>10171.14</v>
      </c>
      <c r="AJ28" s="213">
        <v>0</v>
      </c>
      <c r="AL28" s="213"/>
      <c r="AN28" s="212">
        <v>10171.129999999999</v>
      </c>
      <c r="AO28" s="212">
        <v>10171.14</v>
      </c>
      <c r="AP28" s="213">
        <v>0</v>
      </c>
      <c r="AR28" s="213"/>
      <c r="AT28" s="212">
        <v>10171.129999999999</v>
      </c>
      <c r="AU28" s="212">
        <v>10171.14</v>
      </c>
      <c r="AV28" s="213">
        <v>0</v>
      </c>
      <c r="AX28" s="213"/>
      <c r="AZ28" s="212">
        <v>10171.129999999999</v>
      </c>
      <c r="BA28" s="212">
        <v>10171.14</v>
      </c>
      <c r="BB28" s="213">
        <v>0</v>
      </c>
      <c r="BD28" s="213"/>
      <c r="BF28" s="212">
        <v>10171.129999999999</v>
      </c>
      <c r="BG28" s="212">
        <v>10171.14</v>
      </c>
      <c r="BH28" s="213">
        <v>0</v>
      </c>
      <c r="BJ28" s="213"/>
    </row>
    <row r="29" spans="1:62" x14ac:dyDescent="0.2">
      <c r="D29" s="212">
        <v>10171.15</v>
      </c>
      <c r="E29" s="212">
        <v>10171.16</v>
      </c>
      <c r="F29" s="213">
        <v>0</v>
      </c>
      <c r="G29" s="41"/>
      <c r="H29" s="213"/>
      <c r="J29" s="212">
        <v>10171.15</v>
      </c>
      <c r="K29" s="212">
        <v>10171.16</v>
      </c>
      <c r="L29" s="213">
        <v>0</v>
      </c>
      <c r="N29" s="213"/>
      <c r="P29" s="212">
        <v>10171.15</v>
      </c>
      <c r="Q29" s="212">
        <v>10171.16</v>
      </c>
      <c r="R29" s="213">
        <v>0</v>
      </c>
      <c r="T29" s="213"/>
      <c r="V29" s="212">
        <v>10171.15</v>
      </c>
      <c r="W29" s="212">
        <v>10171.16</v>
      </c>
      <c r="X29" s="213">
        <v>0</v>
      </c>
      <c r="Z29" s="213"/>
      <c r="AB29" s="212">
        <v>10171.15</v>
      </c>
      <c r="AC29" s="212">
        <v>10171.16</v>
      </c>
      <c r="AD29" s="213">
        <v>0</v>
      </c>
      <c r="AF29" s="213"/>
      <c r="AH29" s="212">
        <v>10171.15</v>
      </c>
      <c r="AI29" s="212">
        <v>10171.16</v>
      </c>
      <c r="AJ29" s="213">
        <v>0</v>
      </c>
      <c r="AL29" s="213"/>
      <c r="AN29" s="212">
        <v>10171.15</v>
      </c>
      <c r="AO29" s="212">
        <v>10171.16</v>
      </c>
      <c r="AP29" s="213">
        <v>0</v>
      </c>
      <c r="AR29" s="213"/>
      <c r="AT29" s="212">
        <v>10171.15</v>
      </c>
      <c r="AU29" s="212">
        <v>10171.16</v>
      </c>
      <c r="AV29" s="213">
        <v>0</v>
      </c>
      <c r="AX29" s="213"/>
      <c r="AZ29" s="212">
        <v>10171.15</v>
      </c>
      <c r="BA29" s="212">
        <v>10171.16</v>
      </c>
      <c r="BB29" s="213">
        <v>0</v>
      </c>
      <c r="BD29" s="213"/>
      <c r="BF29" s="212">
        <v>10171.15</v>
      </c>
      <c r="BG29" s="212">
        <v>10171.16</v>
      </c>
      <c r="BH29" s="213">
        <v>0</v>
      </c>
      <c r="BJ29" s="213"/>
    </row>
    <row r="30" spans="1:62" x14ac:dyDescent="0.2">
      <c r="D30" s="212">
        <v>10171.17</v>
      </c>
      <c r="E30" s="212">
        <v>10171.18</v>
      </c>
      <c r="F30" s="213">
        <v>0</v>
      </c>
      <c r="G30" s="41"/>
      <c r="H30" s="213"/>
      <c r="J30" s="212">
        <v>10171.17</v>
      </c>
      <c r="K30" s="212">
        <v>10171.18</v>
      </c>
      <c r="L30" s="213">
        <v>0</v>
      </c>
      <c r="N30" s="213"/>
      <c r="P30" s="212">
        <v>10171.17</v>
      </c>
      <c r="Q30" s="212">
        <v>10171.18</v>
      </c>
      <c r="R30" s="213">
        <v>0</v>
      </c>
      <c r="T30" s="213"/>
      <c r="V30" s="212">
        <v>10171.17</v>
      </c>
      <c r="W30" s="212">
        <v>10171.18</v>
      </c>
      <c r="X30" s="213">
        <v>0</v>
      </c>
      <c r="Z30" s="213"/>
      <c r="AB30" s="212">
        <v>10171.17</v>
      </c>
      <c r="AC30" s="212">
        <v>10171.18</v>
      </c>
      <c r="AD30" s="213">
        <v>0</v>
      </c>
      <c r="AF30" s="213"/>
      <c r="AH30" s="212">
        <v>10171.17</v>
      </c>
      <c r="AI30" s="212">
        <v>10171.18</v>
      </c>
      <c r="AJ30" s="213">
        <v>0</v>
      </c>
      <c r="AL30" s="213"/>
      <c r="AN30" s="212">
        <v>10171.17</v>
      </c>
      <c r="AO30" s="212">
        <v>10171.18</v>
      </c>
      <c r="AP30" s="213">
        <v>0</v>
      </c>
      <c r="AR30" s="213"/>
      <c r="AT30" s="212">
        <v>10171.17</v>
      </c>
      <c r="AU30" s="212">
        <v>10171.18</v>
      </c>
      <c r="AV30" s="213">
        <v>0</v>
      </c>
      <c r="AX30" s="213"/>
      <c r="AZ30" s="212">
        <v>10171.17</v>
      </c>
      <c r="BA30" s="212">
        <v>10171.18</v>
      </c>
      <c r="BB30" s="213">
        <v>0</v>
      </c>
      <c r="BD30" s="213"/>
      <c r="BF30" s="212">
        <v>10171.17</v>
      </c>
      <c r="BG30" s="212">
        <v>10171.18</v>
      </c>
      <c r="BH30" s="213">
        <v>0</v>
      </c>
      <c r="BJ30" s="213"/>
    </row>
    <row r="31" spans="1:62" ht="13.5" thickBot="1" x14ac:dyDescent="0.25">
      <c r="D31" s="219">
        <v>10171.19</v>
      </c>
      <c r="E31" s="219">
        <v>999999999</v>
      </c>
      <c r="F31" s="221">
        <v>0</v>
      </c>
      <c r="G31" s="220"/>
      <c r="H31" s="221"/>
      <c r="J31" s="219">
        <v>10171.19</v>
      </c>
      <c r="K31" s="219">
        <v>999999999</v>
      </c>
      <c r="L31" s="221">
        <v>0</v>
      </c>
      <c r="M31" s="220"/>
      <c r="N31" s="221"/>
      <c r="P31" s="219">
        <v>10171.19</v>
      </c>
      <c r="Q31" s="219">
        <v>999999999</v>
      </c>
      <c r="R31" s="221">
        <v>0</v>
      </c>
      <c r="S31" s="220"/>
      <c r="T31" s="221"/>
      <c r="V31" s="219">
        <v>10171.19</v>
      </c>
      <c r="W31" s="219">
        <v>999999999</v>
      </c>
      <c r="X31" s="221">
        <v>0</v>
      </c>
      <c r="Y31" s="220"/>
      <c r="Z31" s="221"/>
      <c r="AB31" s="219">
        <v>10171.19</v>
      </c>
      <c r="AC31" s="219">
        <v>999999999</v>
      </c>
      <c r="AD31" s="221">
        <v>0</v>
      </c>
      <c r="AE31" s="220"/>
      <c r="AF31" s="221"/>
      <c r="AH31" s="219">
        <v>10171.19</v>
      </c>
      <c r="AI31" s="219">
        <v>999999999</v>
      </c>
      <c r="AJ31" s="221">
        <v>0</v>
      </c>
      <c r="AK31" s="220"/>
      <c r="AL31" s="221"/>
      <c r="AN31" s="219">
        <v>10171.19</v>
      </c>
      <c r="AO31" s="219">
        <v>999999999</v>
      </c>
      <c r="AP31" s="221">
        <v>0</v>
      </c>
      <c r="AQ31" s="220"/>
      <c r="AR31" s="221"/>
      <c r="AT31" s="219">
        <v>10171.19</v>
      </c>
      <c r="AU31" s="219">
        <v>999999999</v>
      </c>
      <c r="AV31" s="221">
        <v>0</v>
      </c>
      <c r="AW31" s="220"/>
      <c r="AX31" s="221"/>
      <c r="AZ31" s="219">
        <v>10171.19</v>
      </c>
      <c r="BA31" s="219">
        <v>999999999</v>
      </c>
      <c r="BB31" s="221">
        <v>0</v>
      </c>
      <c r="BC31" s="220"/>
      <c r="BD31" s="221"/>
      <c r="BF31" s="219">
        <v>10171.19</v>
      </c>
      <c r="BG31" s="219">
        <v>999999999</v>
      </c>
      <c r="BH31" s="221">
        <v>0</v>
      </c>
      <c r="BI31" s="220"/>
      <c r="BJ31" s="221"/>
    </row>
    <row r="33" spans="4:62" ht="16.5" thickBot="1" x14ac:dyDescent="0.3">
      <c r="D33" s="438" t="s">
        <v>148</v>
      </c>
      <c r="E33" s="438"/>
      <c r="F33" s="438"/>
      <c r="G33" s="438"/>
      <c r="H33" s="438"/>
      <c r="J33" s="438" t="s">
        <v>149</v>
      </c>
      <c r="K33" s="438"/>
      <c r="L33" s="438"/>
      <c r="M33" s="438"/>
      <c r="N33" s="438"/>
      <c r="P33" s="438" t="s">
        <v>150</v>
      </c>
      <c r="Q33" s="438"/>
      <c r="R33" s="438"/>
      <c r="S33" s="438"/>
      <c r="T33" s="438"/>
      <c r="V33" s="438" t="s">
        <v>151</v>
      </c>
      <c r="W33" s="438"/>
      <c r="X33" s="438"/>
      <c r="Y33" s="438"/>
      <c r="Z33" s="438"/>
      <c r="AB33" s="438" t="s">
        <v>152</v>
      </c>
      <c r="AC33" s="438"/>
      <c r="AD33" s="438"/>
      <c r="AE33" s="438"/>
      <c r="AF33" s="438"/>
      <c r="AH33" s="438" t="s">
        <v>153</v>
      </c>
      <c r="AI33" s="438"/>
      <c r="AJ33" s="438"/>
      <c r="AK33" s="438"/>
      <c r="AL33" s="438"/>
      <c r="AN33" s="438" t="s">
        <v>154</v>
      </c>
      <c r="AO33" s="438"/>
      <c r="AP33" s="438"/>
      <c r="AQ33" s="438"/>
      <c r="AR33" s="438"/>
      <c r="AT33" s="438" t="s">
        <v>155</v>
      </c>
      <c r="AU33" s="438"/>
      <c r="AV33" s="438"/>
      <c r="AW33" s="438"/>
      <c r="AX33" s="438"/>
      <c r="AZ33" s="438" t="s">
        <v>156</v>
      </c>
      <c r="BA33" s="438"/>
      <c r="BB33" s="438"/>
      <c r="BC33" s="438"/>
      <c r="BD33" s="438"/>
      <c r="BF33" s="438" t="s">
        <v>157</v>
      </c>
      <c r="BG33" s="438"/>
      <c r="BH33" s="438"/>
      <c r="BI33" s="438"/>
      <c r="BJ33" s="438"/>
    </row>
    <row r="34" spans="4:62" x14ac:dyDescent="0.2">
      <c r="D34" s="203" t="s">
        <v>354</v>
      </c>
      <c r="E34" s="204"/>
      <c r="F34" s="205"/>
      <c r="G34" s="206"/>
      <c r="H34" s="207" t="s">
        <v>129</v>
      </c>
      <c r="J34" s="203" t="s">
        <v>354</v>
      </c>
      <c r="K34" s="204"/>
      <c r="L34" s="205"/>
      <c r="M34" s="206"/>
      <c r="N34" s="207" t="s">
        <v>129</v>
      </c>
      <c r="P34" s="203" t="s">
        <v>354</v>
      </c>
      <c r="Q34" s="204"/>
      <c r="R34" s="205"/>
      <c r="S34" s="206"/>
      <c r="T34" s="207" t="s">
        <v>129</v>
      </c>
      <c r="V34" s="203" t="s">
        <v>354</v>
      </c>
      <c r="W34" s="204"/>
      <c r="X34" s="205"/>
      <c r="Y34" s="206"/>
      <c r="Z34" s="207" t="s">
        <v>129</v>
      </c>
      <c r="AB34" s="203" t="s">
        <v>354</v>
      </c>
      <c r="AC34" s="204"/>
      <c r="AD34" s="205"/>
      <c r="AE34" s="206"/>
      <c r="AF34" s="207" t="s">
        <v>129</v>
      </c>
      <c r="AH34" s="203" t="s">
        <v>354</v>
      </c>
      <c r="AI34" s="204"/>
      <c r="AJ34" s="205"/>
      <c r="AK34" s="206"/>
      <c r="AL34" s="207" t="s">
        <v>129</v>
      </c>
      <c r="AN34" s="203" t="s">
        <v>354</v>
      </c>
      <c r="AO34" s="204"/>
      <c r="AP34" s="205"/>
      <c r="AQ34" s="206"/>
      <c r="AR34" s="207" t="s">
        <v>129</v>
      </c>
      <c r="AT34" s="203" t="s">
        <v>354</v>
      </c>
      <c r="AU34" s="204"/>
      <c r="AV34" s="205"/>
      <c r="AW34" s="206"/>
      <c r="AX34" s="207" t="s">
        <v>129</v>
      </c>
      <c r="AZ34" s="203" t="s">
        <v>354</v>
      </c>
      <c r="BA34" s="204"/>
      <c r="BB34" s="205"/>
      <c r="BC34" s="206"/>
      <c r="BD34" s="207" t="s">
        <v>129</v>
      </c>
      <c r="BF34" s="203" t="s">
        <v>354</v>
      </c>
      <c r="BG34" s="204"/>
      <c r="BH34" s="205"/>
      <c r="BI34" s="206"/>
      <c r="BJ34" s="207" t="s">
        <v>129</v>
      </c>
    </row>
    <row r="35" spans="4:62" x14ac:dyDescent="0.2">
      <c r="D35" s="208" t="s">
        <v>55</v>
      </c>
      <c r="E35" s="209" t="s">
        <v>56</v>
      </c>
      <c r="F35" s="209" t="s">
        <v>127</v>
      </c>
      <c r="G35" s="210" t="s">
        <v>128</v>
      </c>
      <c r="H35" s="211">
        <f>+'ISR '!H18</f>
        <v>15</v>
      </c>
      <c r="J35" s="208" t="s">
        <v>55</v>
      </c>
      <c r="K35" s="209" t="s">
        <v>56</v>
      </c>
      <c r="L35" s="209" t="s">
        <v>127</v>
      </c>
      <c r="M35" s="210" t="s">
        <v>128</v>
      </c>
      <c r="N35" s="211">
        <f>+'ISR '!H19</f>
        <v>15</v>
      </c>
      <c r="P35" s="208" t="s">
        <v>55</v>
      </c>
      <c r="Q35" s="209" t="s">
        <v>56</v>
      </c>
      <c r="R35" s="209" t="s">
        <v>127</v>
      </c>
      <c r="S35" s="210" t="s">
        <v>128</v>
      </c>
      <c r="T35" s="211">
        <f>+'ISR '!H20</f>
        <v>15</v>
      </c>
      <c r="V35" s="208" t="s">
        <v>55</v>
      </c>
      <c r="W35" s="209" t="s">
        <v>56</v>
      </c>
      <c r="X35" s="209" t="s">
        <v>127</v>
      </c>
      <c r="Y35" s="210" t="s">
        <v>128</v>
      </c>
      <c r="Z35" s="211">
        <f>+'ISR '!H21</f>
        <v>15</v>
      </c>
      <c r="AB35" s="208" t="s">
        <v>55</v>
      </c>
      <c r="AC35" s="209" t="s">
        <v>56</v>
      </c>
      <c r="AD35" s="209" t="s">
        <v>127</v>
      </c>
      <c r="AE35" s="210" t="s">
        <v>128</v>
      </c>
      <c r="AF35" s="211">
        <f>+'ISR '!H22</f>
        <v>15</v>
      </c>
      <c r="AH35" s="208" t="s">
        <v>55</v>
      </c>
      <c r="AI35" s="209" t="s">
        <v>56</v>
      </c>
      <c r="AJ35" s="209" t="s">
        <v>127</v>
      </c>
      <c r="AK35" s="210" t="s">
        <v>128</v>
      </c>
      <c r="AL35" s="211">
        <f>+'ISR '!H23</f>
        <v>15</v>
      </c>
      <c r="AN35" s="208" t="s">
        <v>55</v>
      </c>
      <c r="AO35" s="209" t="s">
        <v>56</v>
      </c>
      <c r="AP35" s="209" t="s">
        <v>127</v>
      </c>
      <c r="AQ35" s="210" t="s">
        <v>128</v>
      </c>
      <c r="AR35" s="211">
        <f>+'ISR '!H24</f>
        <v>15</v>
      </c>
      <c r="AT35" s="208" t="s">
        <v>55</v>
      </c>
      <c r="AU35" s="209" t="s">
        <v>56</v>
      </c>
      <c r="AV35" s="209" t="s">
        <v>127</v>
      </c>
      <c r="AW35" s="210" t="s">
        <v>128</v>
      </c>
      <c r="AX35" s="211">
        <f>+'ISR '!H25</f>
        <v>15</v>
      </c>
      <c r="AZ35" s="208" t="s">
        <v>55</v>
      </c>
      <c r="BA35" s="209" t="s">
        <v>56</v>
      </c>
      <c r="BB35" s="209" t="s">
        <v>127</v>
      </c>
      <c r="BC35" s="210" t="s">
        <v>128</v>
      </c>
      <c r="BD35" s="211">
        <f>+'ISR '!H26</f>
        <v>15</v>
      </c>
      <c r="BF35" s="208" t="s">
        <v>55</v>
      </c>
      <c r="BG35" s="209" t="s">
        <v>56</v>
      </c>
      <c r="BH35" s="209" t="s">
        <v>127</v>
      </c>
      <c r="BI35" s="210" t="s">
        <v>128</v>
      </c>
      <c r="BJ35" s="211">
        <f>+'ISR '!H27</f>
        <v>15</v>
      </c>
    </row>
    <row r="36" spans="4:62" x14ac:dyDescent="0.2">
      <c r="D36" s="212" t="s">
        <v>57</v>
      </c>
      <c r="E36" s="41" t="s">
        <v>57</v>
      </c>
      <c r="F36" s="41" t="s">
        <v>57</v>
      </c>
      <c r="G36" s="41" t="s">
        <v>54</v>
      </c>
      <c r="H36" s="213"/>
      <c r="J36" s="212" t="s">
        <v>57</v>
      </c>
      <c r="K36" s="41" t="s">
        <v>57</v>
      </c>
      <c r="L36" s="41" t="s">
        <v>57</v>
      </c>
      <c r="M36" s="41" t="s">
        <v>54</v>
      </c>
      <c r="N36" s="213"/>
      <c r="P36" s="212" t="s">
        <v>57</v>
      </c>
      <c r="Q36" s="41" t="s">
        <v>57</v>
      </c>
      <c r="R36" s="41" t="s">
        <v>57</v>
      </c>
      <c r="S36" s="41" t="s">
        <v>54</v>
      </c>
      <c r="T36" s="213"/>
      <c r="V36" s="212" t="s">
        <v>57</v>
      </c>
      <c r="W36" s="41" t="s">
        <v>57</v>
      </c>
      <c r="X36" s="41" t="s">
        <v>57</v>
      </c>
      <c r="Y36" s="41" t="s">
        <v>54</v>
      </c>
      <c r="Z36" s="213"/>
      <c r="AB36" s="212" t="s">
        <v>57</v>
      </c>
      <c r="AC36" s="41" t="s">
        <v>57</v>
      </c>
      <c r="AD36" s="41" t="s">
        <v>57</v>
      </c>
      <c r="AE36" s="41" t="s">
        <v>54</v>
      </c>
      <c r="AF36" s="213"/>
      <c r="AH36" s="212" t="s">
        <v>57</v>
      </c>
      <c r="AI36" s="41" t="s">
        <v>57</v>
      </c>
      <c r="AJ36" s="41" t="s">
        <v>57</v>
      </c>
      <c r="AK36" s="41" t="s">
        <v>54</v>
      </c>
      <c r="AL36" s="213"/>
      <c r="AN36" s="212" t="s">
        <v>57</v>
      </c>
      <c r="AO36" s="41" t="s">
        <v>57</v>
      </c>
      <c r="AP36" s="41" t="s">
        <v>57</v>
      </c>
      <c r="AQ36" s="41" t="s">
        <v>54</v>
      </c>
      <c r="AR36" s="213"/>
      <c r="AT36" s="212" t="s">
        <v>57</v>
      </c>
      <c r="AU36" s="41" t="s">
        <v>57</v>
      </c>
      <c r="AV36" s="41" t="s">
        <v>57</v>
      </c>
      <c r="AW36" s="41" t="s">
        <v>54</v>
      </c>
      <c r="AX36" s="213"/>
      <c r="AZ36" s="212" t="s">
        <v>57</v>
      </c>
      <c r="BA36" s="41" t="s">
        <v>57</v>
      </c>
      <c r="BB36" s="41" t="s">
        <v>57</v>
      </c>
      <c r="BC36" s="41" t="s">
        <v>54</v>
      </c>
      <c r="BD36" s="213"/>
      <c r="BF36" s="212" t="s">
        <v>57</v>
      </c>
      <c r="BG36" s="41" t="s">
        <v>57</v>
      </c>
      <c r="BH36" s="41" t="s">
        <v>57</v>
      </c>
      <c r="BI36" s="41" t="s">
        <v>54</v>
      </c>
      <c r="BJ36" s="213"/>
    </row>
    <row r="37" spans="4:62" x14ac:dyDescent="0.2">
      <c r="D37" s="212">
        <v>0.01</v>
      </c>
      <c r="E37" s="41">
        <f>24.54*H35</f>
        <v>368.09999999999997</v>
      </c>
      <c r="F37" s="41">
        <v>0</v>
      </c>
      <c r="G37" s="214">
        <f>192%/100</f>
        <v>1.9199999999999998E-2</v>
      </c>
      <c r="H37" s="213"/>
      <c r="J37" s="212">
        <v>0.01</v>
      </c>
      <c r="K37" s="41">
        <f>24.54*N35</f>
        <v>368.09999999999997</v>
      </c>
      <c r="L37" s="41">
        <v>0</v>
      </c>
      <c r="M37" s="214">
        <f>192%/100</f>
        <v>1.9199999999999998E-2</v>
      </c>
      <c r="N37" s="213"/>
      <c r="P37" s="212">
        <v>0.01</v>
      </c>
      <c r="Q37" s="41">
        <f>24.54*T35</f>
        <v>368.09999999999997</v>
      </c>
      <c r="R37" s="41">
        <v>0</v>
      </c>
      <c r="S37" s="214">
        <f>192%/100</f>
        <v>1.9199999999999998E-2</v>
      </c>
      <c r="T37" s="213"/>
      <c r="V37" s="212">
        <v>0.01</v>
      </c>
      <c r="W37" s="41">
        <f>24.54*Z35</f>
        <v>368.09999999999997</v>
      </c>
      <c r="X37" s="41">
        <v>0</v>
      </c>
      <c r="Y37" s="214">
        <f>192%/100</f>
        <v>1.9199999999999998E-2</v>
      </c>
      <c r="Z37" s="213"/>
      <c r="AB37" s="212">
        <v>0.01</v>
      </c>
      <c r="AC37" s="41">
        <f>24.54*AF35</f>
        <v>368.09999999999997</v>
      </c>
      <c r="AD37" s="41">
        <v>0</v>
      </c>
      <c r="AE37" s="214">
        <f>192%/100</f>
        <v>1.9199999999999998E-2</v>
      </c>
      <c r="AF37" s="213"/>
      <c r="AH37" s="212">
        <v>0.01</v>
      </c>
      <c r="AI37" s="41">
        <f>24.54*AL35</f>
        <v>368.09999999999997</v>
      </c>
      <c r="AJ37" s="41">
        <v>0</v>
      </c>
      <c r="AK37" s="214">
        <f>192%/100</f>
        <v>1.9199999999999998E-2</v>
      </c>
      <c r="AL37" s="213"/>
      <c r="AN37" s="212">
        <v>0.01</v>
      </c>
      <c r="AO37" s="41">
        <f>24.54*AR35</f>
        <v>368.09999999999997</v>
      </c>
      <c r="AP37" s="41">
        <v>0</v>
      </c>
      <c r="AQ37" s="214">
        <f>192%/100</f>
        <v>1.9199999999999998E-2</v>
      </c>
      <c r="AR37" s="213"/>
      <c r="AT37" s="212">
        <v>0.01</v>
      </c>
      <c r="AU37" s="41">
        <f>24.54*AX35</f>
        <v>368.09999999999997</v>
      </c>
      <c r="AV37" s="41">
        <v>0</v>
      </c>
      <c r="AW37" s="214">
        <f>192%/100</f>
        <v>1.9199999999999998E-2</v>
      </c>
      <c r="AX37" s="213"/>
      <c r="AZ37" s="212">
        <v>0.01</v>
      </c>
      <c r="BA37" s="41">
        <f>24.54*BD35</f>
        <v>368.09999999999997</v>
      </c>
      <c r="BB37" s="41">
        <v>0</v>
      </c>
      <c r="BC37" s="214">
        <f>192%/100</f>
        <v>1.9199999999999998E-2</v>
      </c>
      <c r="BD37" s="213"/>
      <c r="BF37" s="212">
        <v>0.01</v>
      </c>
      <c r="BG37" s="41">
        <f>24.54*BJ35</f>
        <v>368.09999999999997</v>
      </c>
      <c r="BH37" s="41">
        <v>0</v>
      </c>
      <c r="BI37" s="214">
        <f>192%/100</f>
        <v>1.9199999999999998E-2</v>
      </c>
      <c r="BJ37" s="213"/>
    </row>
    <row r="38" spans="4:62" x14ac:dyDescent="0.2">
      <c r="D38" s="212">
        <f>+E37+0.01</f>
        <v>368.10999999999996</v>
      </c>
      <c r="E38" s="41">
        <f>208.29*H35</f>
        <v>3124.35</v>
      </c>
      <c r="F38" s="41">
        <f>0.47*H35</f>
        <v>7.05</v>
      </c>
      <c r="G38" s="214">
        <f>640%/100</f>
        <v>6.4000000000000001E-2</v>
      </c>
      <c r="H38" s="213"/>
      <c r="J38" s="212">
        <f>+K37+0.01</f>
        <v>368.10999999999996</v>
      </c>
      <c r="K38" s="41">
        <f>208.29*N35</f>
        <v>3124.35</v>
      </c>
      <c r="L38" s="41">
        <f>0.47*N35</f>
        <v>7.05</v>
      </c>
      <c r="M38" s="214">
        <f>640%/100</f>
        <v>6.4000000000000001E-2</v>
      </c>
      <c r="N38" s="213"/>
      <c r="P38" s="212">
        <f>+Q37+0.01</f>
        <v>368.10999999999996</v>
      </c>
      <c r="Q38" s="41">
        <f>208.29*T35</f>
        <v>3124.35</v>
      </c>
      <c r="R38" s="41">
        <f>0.47*T35</f>
        <v>7.05</v>
      </c>
      <c r="S38" s="214">
        <f>640%/100</f>
        <v>6.4000000000000001E-2</v>
      </c>
      <c r="T38" s="213"/>
      <c r="V38" s="212">
        <f>+W37+0.01</f>
        <v>368.10999999999996</v>
      </c>
      <c r="W38" s="41">
        <f>208.29*Z35</f>
        <v>3124.35</v>
      </c>
      <c r="X38" s="41">
        <f>0.47*Z35</f>
        <v>7.05</v>
      </c>
      <c r="Y38" s="214">
        <f>640%/100</f>
        <v>6.4000000000000001E-2</v>
      </c>
      <c r="Z38" s="213"/>
      <c r="AB38" s="212">
        <f>+AC37+0.01</f>
        <v>368.10999999999996</v>
      </c>
      <c r="AC38" s="41">
        <f>208.29*AF35</f>
        <v>3124.35</v>
      </c>
      <c r="AD38" s="41">
        <f>0.47*AF35</f>
        <v>7.05</v>
      </c>
      <c r="AE38" s="214">
        <f>640%/100</f>
        <v>6.4000000000000001E-2</v>
      </c>
      <c r="AF38" s="213"/>
      <c r="AH38" s="212">
        <f>+AI37+0.01</f>
        <v>368.10999999999996</v>
      </c>
      <c r="AI38" s="41">
        <f>208.29*AL35</f>
        <v>3124.35</v>
      </c>
      <c r="AJ38" s="41">
        <f>0.47*AL35</f>
        <v>7.05</v>
      </c>
      <c r="AK38" s="214">
        <f>640%/100</f>
        <v>6.4000000000000001E-2</v>
      </c>
      <c r="AL38" s="213"/>
      <c r="AN38" s="212">
        <f>+AO37+0.01</f>
        <v>368.10999999999996</v>
      </c>
      <c r="AO38" s="41">
        <f>208.29*AR35</f>
        <v>3124.35</v>
      </c>
      <c r="AP38" s="41">
        <f>0.47*AR35</f>
        <v>7.05</v>
      </c>
      <c r="AQ38" s="214">
        <f>640%/100</f>
        <v>6.4000000000000001E-2</v>
      </c>
      <c r="AR38" s="213"/>
      <c r="AT38" s="212">
        <f>+AU37+0.01</f>
        <v>368.10999999999996</v>
      </c>
      <c r="AU38" s="41">
        <f>208.29*AX35</f>
        <v>3124.35</v>
      </c>
      <c r="AV38" s="41">
        <f>0.47*AX35</f>
        <v>7.05</v>
      </c>
      <c r="AW38" s="214">
        <f>640%/100</f>
        <v>6.4000000000000001E-2</v>
      </c>
      <c r="AX38" s="213"/>
      <c r="AZ38" s="212">
        <f>+BA37+0.01</f>
        <v>368.10999999999996</v>
      </c>
      <c r="BA38" s="41">
        <f>208.29*BD35</f>
        <v>3124.35</v>
      </c>
      <c r="BB38" s="41">
        <f>0.47*BD35</f>
        <v>7.05</v>
      </c>
      <c r="BC38" s="214">
        <f>640%/100</f>
        <v>6.4000000000000001E-2</v>
      </c>
      <c r="BD38" s="213"/>
      <c r="BF38" s="212">
        <f>+BG37+0.01</f>
        <v>368.10999999999996</v>
      </c>
      <c r="BG38" s="41">
        <f>208.29*BJ35</f>
        <v>3124.35</v>
      </c>
      <c r="BH38" s="41">
        <f>0.47*BJ35</f>
        <v>7.05</v>
      </c>
      <c r="BI38" s="214">
        <f>640%/100</f>
        <v>6.4000000000000001E-2</v>
      </c>
      <c r="BJ38" s="213"/>
    </row>
    <row r="39" spans="4:62" x14ac:dyDescent="0.2">
      <c r="D39" s="212">
        <f>+E38+0.01</f>
        <v>3124.36</v>
      </c>
      <c r="E39" s="41">
        <f>366.05*H35</f>
        <v>5490.75</v>
      </c>
      <c r="F39" s="41">
        <f>12.23*H35</f>
        <v>183.45000000000002</v>
      </c>
      <c r="G39" s="214">
        <f>1088%/100</f>
        <v>0.10880000000000001</v>
      </c>
      <c r="H39" s="213"/>
      <c r="J39" s="212">
        <f>+K38+0.01</f>
        <v>3124.36</v>
      </c>
      <c r="K39" s="41">
        <f>366.05*N35</f>
        <v>5490.75</v>
      </c>
      <c r="L39" s="41">
        <f>12.23*N35</f>
        <v>183.45000000000002</v>
      </c>
      <c r="M39" s="214">
        <f>1088%/100</f>
        <v>0.10880000000000001</v>
      </c>
      <c r="N39" s="213"/>
      <c r="P39" s="212">
        <f>+Q38+0.01</f>
        <v>3124.36</v>
      </c>
      <c r="Q39" s="41">
        <f>366.05*T35</f>
        <v>5490.75</v>
      </c>
      <c r="R39" s="41">
        <f>12.23*T35</f>
        <v>183.45000000000002</v>
      </c>
      <c r="S39" s="214">
        <f>1088%/100</f>
        <v>0.10880000000000001</v>
      </c>
      <c r="T39" s="213"/>
      <c r="V39" s="212">
        <f>+W38+0.01</f>
        <v>3124.36</v>
      </c>
      <c r="W39" s="41">
        <f>366.05*Z35</f>
        <v>5490.75</v>
      </c>
      <c r="X39" s="41">
        <f>12.23*Z35</f>
        <v>183.45000000000002</v>
      </c>
      <c r="Y39" s="214">
        <f>1088%/100</f>
        <v>0.10880000000000001</v>
      </c>
      <c r="Z39" s="213"/>
      <c r="AB39" s="212">
        <f>+AC38+0.01</f>
        <v>3124.36</v>
      </c>
      <c r="AC39" s="41">
        <f>366.05*AF35</f>
        <v>5490.75</v>
      </c>
      <c r="AD39" s="41">
        <f>12.23*AF35</f>
        <v>183.45000000000002</v>
      </c>
      <c r="AE39" s="214">
        <f>1088%/100</f>
        <v>0.10880000000000001</v>
      </c>
      <c r="AF39" s="213"/>
      <c r="AH39" s="212">
        <f>+AI38+0.01</f>
        <v>3124.36</v>
      </c>
      <c r="AI39" s="41">
        <f>366.05*AL35</f>
        <v>5490.75</v>
      </c>
      <c r="AJ39" s="41">
        <f>12.23*AL35</f>
        <v>183.45000000000002</v>
      </c>
      <c r="AK39" s="214">
        <f>1088%/100</f>
        <v>0.10880000000000001</v>
      </c>
      <c r="AL39" s="213"/>
      <c r="AN39" s="212">
        <f>+AO38+0.01</f>
        <v>3124.36</v>
      </c>
      <c r="AO39" s="41">
        <f>366.05*AR35</f>
        <v>5490.75</v>
      </c>
      <c r="AP39" s="41">
        <f>12.23*AR35</f>
        <v>183.45000000000002</v>
      </c>
      <c r="AQ39" s="214">
        <f>1088%/100</f>
        <v>0.10880000000000001</v>
      </c>
      <c r="AR39" s="213"/>
      <c r="AT39" s="212">
        <f>+AU38+0.01</f>
        <v>3124.36</v>
      </c>
      <c r="AU39" s="41">
        <f>366.05*AX35</f>
        <v>5490.75</v>
      </c>
      <c r="AV39" s="41">
        <f>12.23*AX35</f>
        <v>183.45000000000002</v>
      </c>
      <c r="AW39" s="214">
        <f>1088%/100</f>
        <v>0.10880000000000001</v>
      </c>
      <c r="AX39" s="213"/>
      <c r="AZ39" s="212">
        <f>+BA38+0.01</f>
        <v>3124.36</v>
      </c>
      <c r="BA39" s="41">
        <f>366.05*BD35</f>
        <v>5490.75</v>
      </c>
      <c r="BB39" s="41">
        <f>12.23*BD35</f>
        <v>183.45000000000002</v>
      </c>
      <c r="BC39" s="214">
        <f>1088%/100</f>
        <v>0.10880000000000001</v>
      </c>
      <c r="BD39" s="213"/>
      <c r="BF39" s="212">
        <f>+BG38+0.01</f>
        <v>3124.36</v>
      </c>
      <c r="BG39" s="41">
        <f>366.05*BJ35</f>
        <v>5490.75</v>
      </c>
      <c r="BH39" s="41">
        <f>12.23*BJ35</f>
        <v>183.45000000000002</v>
      </c>
      <c r="BI39" s="214">
        <f>1088%/100</f>
        <v>0.10880000000000001</v>
      </c>
      <c r="BJ39" s="213"/>
    </row>
    <row r="40" spans="4:62" x14ac:dyDescent="0.2">
      <c r="D40" s="212">
        <f t="shared" ref="D40:D45" si="10">+E39+0.01</f>
        <v>5490.76</v>
      </c>
      <c r="E40" s="41">
        <f>425.52*H35</f>
        <v>6382.7999999999993</v>
      </c>
      <c r="F40" s="41">
        <f>29.4*H35</f>
        <v>441</v>
      </c>
      <c r="G40" s="214">
        <f>1600%/100</f>
        <v>0.16</v>
      </c>
      <c r="H40" s="213"/>
      <c r="J40" s="212">
        <f t="shared" ref="J40:J45" si="11">+K39+0.01</f>
        <v>5490.76</v>
      </c>
      <c r="K40" s="41">
        <f>425.52*N35</f>
        <v>6382.7999999999993</v>
      </c>
      <c r="L40" s="41">
        <f>29.4*N35</f>
        <v>441</v>
      </c>
      <c r="M40" s="214">
        <f>1600%/100</f>
        <v>0.16</v>
      </c>
      <c r="N40" s="213"/>
      <c r="P40" s="212">
        <f t="shared" ref="P40:P45" si="12">+Q39+0.01</f>
        <v>5490.76</v>
      </c>
      <c r="Q40" s="41">
        <f>425.52*T35</f>
        <v>6382.7999999999993</v>
      </c>
      <c r="R40" s="41">
        <f>29.4*T35</f>
        <v>441</v>
      </c>
      <c r="S40" s="214">
        <f>1600%/100</f>
        <v>0.16</v>
      </c>
      <c r="T40" s="213"/>
      <c r="V40" s="212">
        <f t="shared" ref="V40:V45" si="13">+W39+0.01</f>
        <v>5490.76</v>
      </c>
      <c r="W40" s="41">
        <f>425.52*Z35</f>
        <v>6382.7999999999993</v>
      </c>
      <c r="X40" s="41">
        <f>29.4*Z35</f>
        <v>441</v>
      </c>
      <c r="Y40" s="214">
        <f>1600%/100</f>
        <v>0.16</v>
      </c>
      <c r="Z40" s="213"/>
      <c r="AB40" s="212">
        <f t="shared" ref="AB40:AB45" si="14">+AC39+0.01</f>
        <v>5490.76</v>
      </c>
      <c r="AC40" s="41">
        <f>425.52*AF35</f>
        <v>6382.7999999999993</v>
      </c>
      <c r="AD40" s="41">
        <f>29.4*AF35</f>
        <v>441</v>
      </c>
      <c r="AE40" s="214">
        <f>1600%/100</f>
        <v>0.16</v>
      </c>
      <c r="AF40" s="213"/>
      <c r="AH40" s="212">
        <f t="shared" ref="AH40:AH45" si="15">+AI39+0.01</f>
        <v>5490.76</v>
      </c>
      <c r="AI40" s="41">
        <f>425.52*AL35</f>
        <v>6382.7999999999993</v>
      </c>
      <c r="AJ40" s="41">
        <f>29.4*AL35</f>
        <v>441</v>
      </c>
      <c r="AK40" s="214">
        <f>1600%/100</f>
        <v>0.16</v>
      </c>
      <c r="AL40" s="213"/>
      <c r="AN40" s="212">
        <f t="shared" ref="AN40:AN45" si="16">+AO39+0.01</f>
        <v>5490.76</v>
      </c>
      <c r="AO40" s="41">
        <f>425.52*AR35</f>
        <v>6382.7999999999993</v>
      </c>
      <c r="AP40" s="41">
        <f>29.4*AR35</f>
        <v>441</v>
      </c>
      <c r="AQ40" s="214">
        <f>1600%/100</f>
        <v>0.16</v>
      </c>
      <c r="AR40" s="213"/>
      <c r="AT40" s="212">
        <f t="shared" ref="AT40:AT45" si="17">+AU39+0.01</f>
        <v>5490.76</v>
      </c>
      <c r="AU40" s="41">
        <f>425.52*AX35</f>
        <v>6382.7999999999993</v>
      </c>
      <c r="AV40" s="41">
        <f>29.4*AX35</f>
        <v>441</v>
      </c>
      <c r="AW40" s="214">
        <f>1600%/100</f>
        <v>0.16</v>
      </c>
      <c r="AX40" s="213"/>
      <c r="AZ40" s="212">
        <f t="shared" ref="AZ40:AZ45" si="18">+BA39+0.01</f>
        <v>5490.76</v>
      </c>
      <c r="BA40" s="41">
        <f>425.52*BD35</f>
        <v>6382.7999999999993</v>
      </c>
      <c r="BB40" s="41">
        <f>29.4*BD35</f>
        <v>441</v>
      </c>
      <c r="BC40" s="214">
        <f>1600%/100</f>
        <v>0.16</v>
      </c>
      <c r="BD40" s="213"/>
      <c r="BF40" s="212">
        <f t="shared" ref="BF40:BF45" si="19">+BG39+0.01</f>
        <v>5490.76</v>
      </c>
      <c r="BG40" s="41">
        <f>425.52*BJ35</f>
        <v>6382.7999999999993</v>
      </c>
      <c r="BH40" s="41">
        <f>29.4*BJ35</f>
        <v>441</v>
      </c>
      <c r="BI40" s="214">
        <f>1600%/100</f>
        <v>0.16</v>
      </c>
      <c r="BJ40" s="213"/>
    </row>
    <row r="41" spans="4:62" x14ac:dyDescent="0.2">
      <c r="D41" s="212">
        <f t="shared" si="10"/>
        <v>6382.8099999999995</v>
      </c>
      <c r="E41" s="41">
        <f>509.46*H35</f>
        <v>7641.9</v>
      </c>
      <c r="F41" s="41">
        <f>38.91*H35</f>
        <v>583.65</v>
      </c>
      <c r="G41" s="214">
        <f>1792%/100</f>
        <v>0.17920000000000003</v>
      </c>
      <c r="H41" s="213"/>
      <c r="J41" s="212">
        <f t="shared" si="11"/>
        <v>6382.8099999999995</v>
      </c>
      <c r="K41" s="41">
        <f>509.46*N35</f>
        <v>7641.9</v>
      </c>
      <c r="L41" s="41">
        <f>38.91*N35</f>
        <v>583.65</v>
      </c>
      <c r="M41" s="214">
        <f>1792%/100</f>
        <v>0.17920000000000003</v>
      </c>
      <c r="N41" s="213"/>
      <c r="P41" s="212">
        <f t="shared" si="12"/>
        <v>6382.8099999999995</v>
      </c>
      <c r="Q41" s="41">
        <f>509.46*T35</f>
        <v>7641.9</v>
      </c>
      <c r="R41" s="41">
        <f>38.91*T35</f>
        <v>583.65</v>
      </c>
      <c r="S41" s="214">
        <f>1792%/100</f>
        <v>0.17920000000000003</v>
      </c>
      <c r="T41" s="213"/>
      <c r="V41" s="212">
        <f t="shared" si="13"/>
        <v>6382.8099999999995</v>
      </c>
      <c r="W41" s="41">
        <f>509.46*Z35</f>
        <v>7641.9</v>
      </c>
      <c r="X41" s="41">
        <f>38.91*Z35</f>
        <v>583.65</v>
      </c>
      <c r="Y41" s="214">
        <f>1792%/100</f>
        <v>0.17920000000000003</v>
      </c>
      <c r="Z41" s="213"/>
      <c r="AB41" s="212">
        <f t="shared" si="14"/>
        <v>6382.8099999999995</v>
      </c>
      <c r="AC41" s="41">
        <f>509.46*AF35</f>
        <v>7641.9</v>
      </c>
      <c r="AD41" s="41">
        <f>38.91*AF35</f>
        <v>583.65</v>
      </c>
      <c r="AE41" s="214">
        <f>1792%/100</f>
        <v>0.17920000000000003</v>
      </c>
      <c r="AF41" s="213"/>
      <c r="AH41" s="212">
        <f t="shared" si="15"/>
        <v>6382.8099999999995</v>
      </c>
      <c r="AI41" s="41">
        <f>509.46*AL35</f>
        <v>7641.9</v>
      </c>
      <c r="AJ41" s="41">
        <f>38.91*AL35</f>
        <v>583.65</v>
      </c>
      <c r="AK41" s="214">
        <f>1792%/100</f>
        <v>0.17920000000000003</v>
      </c>
      <c r="AL41" s="213"/>
      <c r="AN41" s="212">
        <f t="shared" si="16"/>
        <v>6382.8099999999995</v>
      </c>
      <c r="AO41" s="41">
        <f>509.46*AR35</f>
        <v>7641.9</v>
      </c>
      <c r="AP41" s="41">
        <f>38.91*AR35</f>
        <v>583.65</v>
      </c>
      <c r="AQ41" s="214">
        <f>1792%/100</f>
        <v>0.17920000000000003</v>
      </c>
      <c r="AR41" s="213"/>
      <c r="AT41" s="212">
        <f t="shared" si="17"/>
        <v>6382.8099999999995</v>
      </c>
      <c r="AU41" s="41">
        <f>509.46*AX35</f>
        <v>7641.9</v>
      </c>
      <c r="AV41" s="41">
        <f>38.91*AX35</f>
        <v>583.65</v>
      </c>
      <c r="AW41" s="214">
        <f>1792%/100</f>
        <v>0.17920000000000003</v>
      </c>
      <c r="AX41" s="213"/>
      <c r="AZ41" s="212">
        <f t="shared" si="18"/>
        <v>6382.8099999999995</v>
      </c>
      <c r="BA41" s="41">
        <f>509.46*BD35</f>
        <v>7641.9</v>
      </c>
      <c r="BB41" s="41">
        <f>38.91*BD35</f>
        <v>583.65</v>
      </c>
      <c r="BC41" s="214">
        <f>1792%/100</f>
        <v>0.17920000000000003</v>
      </c>
      <c r="BD41" s="213"/>
      <c r="BF41" s="212">
        <f t="shared" si="19"/>
        <v>6382.8099999999995</v>
      </c>
      <c r="BG41" s="41">
        <f>509.46*BJ35</f>
        <v>7641.9</v>
      </c>
      <c r="BH41" s="41">
        <f>38.91*BJ35</f>
        <v>583.65</v>
      </c>
      <c r="BI41" s="214">
        <f>1792%/100</f>
        <v>0.17920000000000003</v>
      </c>
      <c r="BJ41" s="213"/>
    </row>
    <row r="42" spans="4:62" x14ac:dyDescent="0.2">
      <c r="D42" s="212">
        <f t="shared" si="10"/>
        <v>7641.91</v>
      </c>
      <c r="E42" s="41">
        <f>1027.52*H35</f>
        <v>15412.8</v>
      </c>
      <c r="F42" s="41">
        <f>53.95*H35</f>
        <v>809.25</v>
      </c>
      <c r="G42" s="214">
        <f>2136%/100</f>
        <v>0.21359999999999998</v>
      </c>
      <c r="H42" s="213"/>
      <c r="J42" s="212">
        <f t="shared" si="11"/>
        <v>7641.91</v>
      </c>
      <c r="K42" s="41">
        <f>1027.52*N35</f>
        <v>15412.8</v>
      </c>
      <c r="L42" s="41">
        <f>53.95*N35</f>
        <v>809.25</v>
      </c>
      <c r="M42" s="214">
        <f>2136%/100</f>
        <v>0.21359999999999998</v>
      </c>
      <c r="N42" s="213"/>
      <c r="P42" s="212">
        <f t="shared" si="12"/>
        <v>7641.91</v>
      </c>
      <c r="Q42" s="41">
        <f>1027.52*T35</f>
        <v>15412.8</v>
      </c>
      <c r="R42" s="41">
        <f>53.95*T35</f>
        <v>809.25</v>
      </c>
      <c r="S42" s="214">
        <f>2136%/100</f>
        <v>0.21359999999999998</v>
      </c>
      <c r="T42" s="213"/>
      <c r="V42" s="212">
        <f t="shared" si="13"/>
        <v>7641.91</v>
      </c>
      <c r="W42" s="41">
        <f>1027.52*Z35</f>
        <v>15412.8</v>
      </c>
      <c r="X42" s="41">
        <f>53.95*Z35</f>
        <v>809.25</v>
      </c>
      <c r="Y42" s="214">
        <f>2136%/100</f>
        <v>0.21359999999999998</v>
      </c>
      <c r="Z42" s="213"/>
      <c r="AB42" s="212">
        <f t="shared" si="14"/>
        <v>7641.91</v>
      </c>
      <c r="AC42" s="41">
        <f>1027.52*AF35</f>
        <v>15412.8</v>
      </c>
      <c r="AD42" s="41">
        <f>53.95*AF35</f>
        <v>809.25</v>
      </c>
      <c r="AE42" s="214">
        <f>2136%/100</f>
        <v>0.21359999999999998</v>
      </c>
      <c r="AF42" s="213"/>
      <c r="AH42" s="212">
        <f t="shared" si="15"/>
        <v>7641.91</v>
      </c>
      <c r="AI42" s="41">
        <f>1027.52*AL35</f>
        <v>15412.8</v>
      </c>
      <c r="AJ42" s="41">
        <f>53.95*AL35</f>
        <v>809.25</v>
      </c>
      <c r="AK42" s="214">
        <f>2136%/100</f>
        <v>0.21359999999999998</v>
      </c>
      <c r="AL42" s="213"/>
      <c r="AN42" s="212">
        <f t="shared" si="16"/>
        <v>7641.91</v>
      </c>
      <c r="AO42" s="41">
        <f>1027.52*AR35</f>
        <v>15412.8</v>
      </c>
      <c r="AP42" s="41">
        <f>53.95*AR35</f>
        <v>809.25</v>
      </c>
      <c r="AQ42" s="214">
        <f>2136%/100</f>
        <v>0.21359999999999998</v>
      </c>
      <c r="AR42" s="213"/>
      <c r="AT42" s="212">
        <f t="shared" si="17"/>
        <v>7641.91</v>
      </c>
      <c r="AU42" s="41">
        <f>1027.52*AX35</f>
        <v>15412.8</v>
      </c>
      <c r="AV42" s="41">
        <f>53.95*AX35</f>
        <v>809.25</v>
      </c>
      <c r="AW42" s="214">
        <f>2136%/100</f>
        <v>0.21359999999999998</v>
      </c>
      <c r="AX42" s="213"/>
      <c r="AZ42" s="212">
        <f t="shared" si="18"/>
        <v>7641.91</v>
      </c>
      <c r="BA42" s="41">
        <f>1027.52*BD35</f>
        <v>15412.8</v>
      </c>
      <c r="BB42" s="41">
        <f>53.95*BD35</f>
        <v>809.25</v>
      </c>
      <c r="BC42" s="214">
        <f>2136%/100</f>
        <v>0.21359999999999998</v>
      </c>
      <c r="BD42" s="213"/>
      <c r="BF42" s="212">
        <f t="shared" si="19"/>
        <v>7641.91</v>
      </c>
      <c r="BG42" s="41">
        <f>1027.52*BJ35</f>
        <v>15412.8</v>
      </c>
      <c r="BH42" s="41">
        <f>53.95*BJ35</f>
        <v>809.25</v>
      </c>
      <c r="BI42" s="214">
        <f>2136%/100</f>
        <v>0.21359999999999998</v>
      </c>
      <c r="BJ42" s="213"/>
    </row>
    <row r="43" spans="4:62" x14ac:dyDescent="0.2">
      <c r="D43" s="212">
        <f t="shared" si="10"/>
        <v>15412.81</v>
      </c>
      <c r="E43" s="41">
        <f>1619.51*H35</f>
        <v>24292.65</v>
      </c>
      <c r="F43" s="41">
        <f>164.61*H35</f>
        <v>2469.15</v>
      </c>
      <c r="G43" s="214">
        <f>2352%/100</f>
        <v>0.23519999999999999</v>
      </c>
      <c r="H43" s="213"/>
      <c r="J43" s="212">
        <f t="shared" si="11"/>
        <v>15412.81</v>
      </c>
      <c r="K43" s="41">
        <f>1619.51*N35</f>
        <v>24292.65</v>
      </c>
      <c r="L43" s="41">
        <f>164.61*N35</f>
        <v>2469.15</v>
      </c>
      <c r="M43" s="214">
        <f>2352%/100</f>
        <v>0.23519999999999999</v>
      </c>
      <c r="N43" s="213"/>
      <c r="P43" s="212">
        <f t="shared" si="12"/>
        <v>15412.81</v>
      </c>
      <c r="Q43" s="41">
        <f>1619.51*T35</f>
        <v>24292.65</v>
      </c>
      <c r="R43" s="41">
        <f>164.61*T35</f>
        <v>2469.15</v>
      </c>
      <c r="S43" s="214">
        <f>2352%/100</f>
        <v>0.23519999999999999</v>
      </c>
      <c r="T43" s="213"/>
      <c r="V43" s="212">
        <f t="shared" si="13"/>
        <v>15412.81</v>
      </c>
      <c r="W43" s="41">
        <f>1619.51*Z35</f>
        <v>24292.65</v>
      </c>
      <c r="X43" s="41">
        <f>164.61*Z35</f>
        <v>2469.15</v>
      </c>
      <c r="Y43" s="214">
        <f>2352%/100</f>
        <v>0.23519999999999999</v>
      </c>
      <c r="Z43" s="213"/>
      <c r="AB43" s="212">
        <f t="shared" si="14"/>
        <v>15412.81</v>
      </c>
      <c r="AC43" s="41">
        <f>1619.51*AF35</f>
        <v>24292.65</v>
      </c>
      <c r="AD43" s="41">
        <f>164.61*AF35</f>
        <v>2469.15</v>
      </c>
      <c r="AE43" s="214">
        <f>2352%/100</f>
        <v>0.23519999999999999</v>
      </c>
      <c r="AF43" s="213"/>
      <c r="AH43" s="212">
        <f t="shared" si="15"/>
        <v>15412.81</v>
      </c>
      <c r="AI43" s="41">
        <f>1619.51*AL35</f>
        <v>24292.65</v>
      </c>
      <c r="AJ43" s="41">
        <f>164.61*AL35</f>
        <v>2469.15</v>
      </c>
      <c r="AK43" s="214">
        <f>2352%/100</f>
        <v>0.23519999999999999</v>
      </c>
      <c r="AL43" s="213"/>
      <c r="AN43" s="212">
        <f t="shared" si="16"/>
        <v>15412.81</v>
      </c>
      <c r="AO43" s="41">
        <f>1619.51*AR35</f>
        <v>24292.65</v>
      </c>
      <c r="AP43" s="41">
        <f>164.61*AR35</f>
        <v>2469.15</v>
      </c>
      <c r="AQ43" s="214">
        <f>2352%/100</f>
        <v>0.23519999999999999</v>
      </c>
      <c r="AR43" s="213"/>
      <c r="AT43" s="212">
        <f t="shared" si="17"/>
        <v>15412.81</v>
      </c>
      <c r="AU43" s="41">
        <f>1619.51*AX35</f>
        <v>24292.65</v>
      </c>
      <c r="AV43" s="41">
        <f>164.61*AX35</f>
        <v>2469.15</v>
      </c>
      <c r="AW43" s="214">
        <f>2352%/100</f>
        <v>0.23519999999999999</v>
      </c>
      <c r="AX43" s="213"/>
      <c r="AZ43" s="212">
        <f t="shared" si="18"/>
        <v>15412.81</v>
      </c>
      <c r="BA43" s="41">
        <f>1619.51*BD35</f>
        <v>24292.65</v>
      </c>
      <c r="BB43" s="41">
        <f>164.61*BD35</f>
        <v>2469.15</v>
      </c>
      <c r="BC43" s="214">
        <f>2352%/100</f>
        <v>0.23519999999999999</v>
      </c>
      <c r="BD43" s="213"/>
      <c r="BF43" s="212">
        <f t="shared" si="19"/>
        <v>15412.81</v>
      </c>
      <c r="BG43" s="41">
        <f>1619.51*BJ35</f>
        <v>24292.65</v>
      </c>
      <c r="BH43" s="41">
        <f>164.61*BJ35</f>
        <v>2469.15</v>
      </c>
      <c r="BI43" s="214">
        <f>2352%/100</f>
        <v>0.23519999999999999</v>
      </c>
      <c r="BJ43" s="213"/>
    </row>
    <row r="44" spans="4:62" x14ac:dyDescent="0.2">
      <c r="D44" s="212">
        <f t="shared" si="10"/>
        <v>24292.66</v>
      </c>
      <c r="E44" s="41">
        <f>3091.9*H35</f>
        <v>46378.5</v>
      </c>
      <c r="F44" s="41">
        <f>303.85*H35</f>
        <v>4557.75</v>
      </c>
      <c r="G44" s="214">
        <f>3000%/100</f>
        <v>0.3</v>
      </c>
      <c r="H44" s="213"/>
      <c r="J44" s="212">
        <f t="shared" si="11"/>
        <v>24292.66</v>
      </c>
      <c r="K44" s="41">
        <f>3091.9*N35</f>
        <v>46378.5</v>
      </c>
      <c r="L44" s="41">
        <f>303.85*N35</f>
        <v>4557.75</v>
      </c>
      <c r="M44" s="214">
        <f>3000%/100</f>
        <v>0.3</v>
      </c>
      <c r="N44" s="213"/>
      <c r="P44" s="212">
        <f t="shared" si="12"/>
        <v>24292.66</v>
      </c>
      <c r="Q44" s="41">
        <f>3091.9*T35</f>
        <v>46378.5</v>
      </c>
      <c r="R44" s="41">
        <f>303.85*T35</f>
        <v>4557.75</v>
      </c>
      <c r="S44" s="214">
        <f>3000%/100</f>
        <v>0.3</v>
      </c>
      <c r="T44" s="213"/>
      <c r="V44" s="212">
        <f t="shared" si="13"/>
        <v>24292.66</v>
      </c>
      <c r="W44" s="41">
        <f>3091.9*Z35</f>
        <v>46378.5</v>
      </c>
      <c r="X44" s="41">
        <f>303.85*Z35</f>
        <v>4557.75</v>
      </c>
      <c r="Y44" s="214">
        <f>3000%/100</f>
        <v>0.3</v>
      </c>
      <c r="Z44" s="213"/>
      <c r="AB44" s="212">
        <f t="shared" si="14"/>
        <v>24292.66</v>
      </c>
      <c r="AC44" s="41">
        <f>3091.9*AF35</f>
        <v>46378.5</v>
      </c>
      <c r="AD44" s="41">
        <f>303.85*AF35</f>
        <v>4557.75</v>
      </c>
      <c r="AE44" s="214">
        <f>3000%/100</f>
        <v>0.3</v>
      </c>
      <c r="AF44" s="213"/>
      <c r="AH44" s="212">
        <f t="shared" si="15"/>
        <v>24292.66</v>
      </c>
      <c r="AI44" s="41">
        <f>3091.9*AL35</f>
        <v>46378.5</v>
      </c>
      <c r="AJ44" s="41">
        <f>303.85*AL35</f>
        <v>4557.75</v>
      </c>
      <c r="AK44" s="214">
        <f>3000%/100</f>
        <v>0.3</v>
      </c>
      <c r="AL44" s="213"/>
      <c r="AN44" s="212">
        <f t="shared" si="16"/>
        <v>24292.66</v>
      </c>
      <c r="AO44" s="41">
        <f>3091.9*AR35</f>
        <v>46378.5</v>
      </c>
      <c r="AP44" s="41">
        <f>303.85*AR35</f>
        <v>4557.75</v>
      </c>
      <c r="AQ44" s="214">
        <f>3000%/100</f>
        <v>0.3</v>
      </c>
      <c r="AR44" s="213"/>
      <c r="AT44" s="212">
        <f t="shared" si="17"/>
        <v>24292.66</v>
      </c>
      <c r="AU44" s="41">
        <f>3091.9*AX35</f>
        <v>46378.5</v>
      </c>
      <c r="AV44" s="41">
        <f>303.85*AX35</f>
        <v>4557.75</v>
      </c>
      <c r="AW44" s="214">
        <f>3000%/100</f>
        <v>0.3</v>
      </c>
      <c r="AX44" s="213"/>
      <c r="AZ44" s="212">
        <f t="shared" si="18"/>
        <v>24292.66</v>
      </c>
      <c r="BA44" s="41">
        <f>3091.9*BD35</f>
        <v>46378.5</v>
      </c>
      <c r="BB44" s="41">
        <f>303.85*BD35</f>
        <v>4557.75</v>
      </c>
      <c r="BC44" s="214">
        <f>3000%/100</f>
        <v>0.3</v>
      </c>
      <c r="BD44" s="213"/>
      <c r="BF44" s="212">
        <f t="shared" si="19"/>
        <v>24292.66</v>
      </c>
      <c r="BG44" s="41">
        <f>3091.9*BJ35</f>
        <v>46378.5</v>
      </c>
      <c r="BH44" s="41">
        <f>303.85*BJ35</f>
        <v>4557.75</v>
      </c>
      <c r="BI44" s="214">
        <f>3000%/100</f>
        <v>0.3</v>
      </c>
      <c r="BJ44" s="213"/>
    </row>
    <row r="45" spans="4:62" x14ac:dyDescent="0.2">
      <c r="D45" s="212">
        <f t="shared" si="10"/>
        <v>46378.51</v>
      </c>
      <c r="E45" s="41">
        <f>4122.54*H35</f>
        <v>61838.1</v>
      </c>
      <c r="F45" s="41">
        <f>745.56*H35</f>
        <v>11183.4</v>
      </c>
      <c r="G45" s="214">
        <f>3200%/100</f>
        <v>0.32</v>
      </c>
      <c r="H45" s="213"/>
      <c r="J45" s="212">
        <f t="shared" si="11"/>
        <v>46378.51</v>
      </c>
      <c r="K45" s="41">
        <f>4122.54*N35</f>
        <v>61838.1</v>
      </c>
      <c r="L45" s="41">
        <f>745.56*N35</f>
        <v>11183.4</v>
      </c>
      <c r="M45" s="214">
        <f>3200%/100</f>
        <v>0.32</v>
      </c>
      <c r="N45" s="213"/>
      <c r="P45" s="212">
        <f t="shared" si="12"/>
        <v>46378.51</v>
      </c>
      <c r="Q45" s="41">
        <f>4122.54*T35</f>
        <v>61838.1</v>
      </c>
      <c r="R45" s="41">
        <f>745.56*T35</f>
        <v>11183.4</v>
      </c>
      <c r="S45" s="214">
        <f>3200%/100</f>
        <v>0.32</v>
      </c>
      <c r="T45" s="213"/>
      <c r="V45" s="212">
        <f t="shared" si="13"/>
        <v>46378.51</v>
      </c>
      <c r="W45" s="41">
        <f>4122.54*Z35</f>
        <v>61838.1</v>
      </c>
      <c r="X45" s="41">
        <f>745.56*Z35</f>
        <v>11183.4</v>
      </c>
      <c r="Y45" s="214">
        <f>3200%/100</f>
        <v>0.32</v>
      </c>
      <c r="Z45" s="213"/>
      <c r="AB45" s="212">
        <f t="shared" si="14"/>
        <v>46378.51</v>
      </c>
      <c r="AC45" s="41">
        <f>4122.54*AF35</f>
        <v>61838.1</v>
      </c>
      <c r="AD45" s="41">
        <f>745.56*AF35</f>
        <v>11183.4</v>
      </c>
      <c r="AE45" s="214">
        <f>3200%/100</f>
        <v>0.32</v>
      </c>
      <c r="AF45" s="213"/>
      <c r="AH45" s="212">
        <f t="shared" si="15"/>
        <v>46378.51</v>
      </c>
      <c r="AI45" s="41">
        <f>4122.54*AL35</f>
        <v>61838.1</v>
      </c>
      <c r="AJ45" s="41">
        <f>745.56*AL35</f>
        <v>11183.4</v>
      </c>
      <c r="AK45" s="214">
        <f>3200%/100</f>
        <v>0.32</v>
      </c>
      <c r="AL45" s="213"/>
      <c r="AN45" s="212">
        <f t="shared" si="16"/>
        <v>46378.51</v>
      </c>
      <c r="AO45" s="41">
        <f>4122.54*AR35</f>
        <v>61838.1</v>
      </c>
      <c r="AP45" s="41">
        <f>745.56*AR35</f>
        <v>11183.4</v>
      </c>
      <c r="AQ45" s="214">
        <f>3200%/100</f>
        <v>0.32</v>
      </c>
      <c r="AR45" s="213"/>
      <c r="AT45" s="212">
        <f t="shared" si="17"/>
        <v>46378.51</v>
      </c>
      <c r="AU45" s="41">
        <f>4122.54*AX35</f>
        <v>61838.1</v>
      </c>
      <c r="AV45" s="41">
        <f>745.56*AX35</f>
        <v>11183.4</v>
      </c>
      <c r="AW45" s="214">
        <f>3200%/100</f>
        <v>0.32</v>
      </c>
      <c r="AX45" s="213"/>
      <c r="AZ45" s="212">
        <f t="shared" si="18"/>
        <v>46378.51</v>
      </c>
      <c r="BA45" s="41">
        <f>4122.54*BD35</f>
        <v>61838.1</v>
      </c>
      <c r="BB45" s="41">
        <f>745.56*BD35</f>
        <v>11183.4</v>
      </c>
      <c r="BC45" s="214">
        <f>3200%/100</f>
        <v>0.32</v>
      </c>
      <c r="BD45" s="213"/>
      <c r="BF45" s="212">
        <f t="shared" si="19"/>
        <v>46378.51</v>
      </c>
      <c r="BG45" s="41">
        <f>4122.54*BJ35</f>
        <v>61838.1</v>
      </c>
      <c r="BH45" s="41">
        <f>745.56*BJ35</f>
        <v>11183.4</v>
      </c>
      <c r="BI45" s="214">
        <f>3200%/100</f>
        <v>0.32</v>
      </c>
      <c r="BJ45" s="213"/>
    </row>
    <row r="46" spans="4:62" x14ac:dyDescent="0.2">
      <c r="D46" s="212">
        <f>+E45+0.01</f>
        <v>61838.11</v>
      </c>
      <c r="E46" s="41">
        <f>12367.62*H35</f>
        <v>185514.30000000002</v>
      </c>
      <c r="F46" s="41">
        <f>1075.37*H35</f>
        <v>16130.55</v>
      </c>
      <c r="G46" s="214">
        <f>3400%/100</f>
        <v>0.34</v>
      </c>
      <c r="H46" s="213"/>
      <c r="J46" s="212">
        <f>+K45+0.01</f>
        <v>61838.11</v>
      </c>
      <c r="K46" s="41">
        <f>12367.62*N35</f>
        <v>185514.30000000002</v>
      </c>
      <c r="L46" s="41">
        <f>1075.37*N35</f>
        <v>16130.55</v>
      </c>
      <c r="M46" s="214">
        <f>3400%/100</f>
        <v>0.34</v>
      </c>
      <c r="N46" s="213"/>
      <c r="P46" s="212">
        <f>+Q45+0.01</f>
        <v>61838.11</v>
      </c>
      <c r="Q46" s="41">
        <f>12367.62*T35</f>
        <v>185514.30000000002</v>
      </c>
      <c r="R46" s="41">
        <f>1075.37*T35</f>
        <v>16130.55</v>
      </c>
      <c r="S46" s="214">
        <f>3400%/100</f>
        <v>0.34</v>
      </c>
      <c r="T46" s="213"/>
      <c r="V46" s="212">
        <f>+W45+0.01</f>
        <v>61838.11</v>
      </c>
      <c r="W46" s="41">
        <f>12367.62*Z35</f>
        <v>185514.30000000002</v>
      </c>
      <c r="X46" s="41">
        <f>1075.37*Z35</f>
        <v>16130.55</v>
      </c>
      <c r="Y46" s="214">
        <f>3400%/100</f>
        <v>0.34</v>
      </c>
      <c r="Z46" s="213"/>
      <c r="AB46" s="212">
        <f>+AC45+0.01</f>
        <v>61838.11</v>
      </c>
      <c r="AC46" s="41">
        <f>12367.62*AF35</f>
        <v>185514.30000000002</v>
      </c>
      <c r="AD46" s="41">
        <f>1075.37*AF35</f>
        <v>16130.55</v>
      </c>
      <c r="AE46" s="214">
        <f>3400%/100</f>
        <v>0.34</v>
      </c>
      <c r="AF46" s="213"/>
      <c r="AH46" s="212">
        <f>+AI45+0.01</f>
        <v>61838.11</v>
      </c>
      <c r="AI46" s="41">
        <f>12367.62*AL35</f>
        <v>185514.30000000002</v>
      </c>
      <c r="AJ46" s="41">
        <f>1075.37*AL35</f>
        <v>16130.55</v>
      </c>
      <c r="AK46" s="214">
        <f>3400%/100</f>
        <v>0.34</v>
      </c>
      <c r="AL46" s="213"/>
      <c r="AN46" s="212">
        <f>+AO45+0.01</f>
        <v>61838.11</v>
      </c>
      <c r="AO46" s="41">
        <f>12367.62*AR35</f>
        <v>185514.30000000002</v>
      </c>
      <c r="AP46" s="41">
        <f>1075.37*AR35</f>
        <v>16130.55</v>
      </c>
      <c r="AQ46" s="214">
        <f>3400%/100</f>
        <v>0.34</v>
      </c>
      <c r="AR46" s="213"/>
      <c r="AT46" s="212">
        <f>+AU45+0.01</f>
        <v>61838.11</v>
      </c>
      <c r="AU46" s="41">
        <f>12367.62*AX35</f>
        <v>185514.30000000002</v>
      </c>
      <c r="AV46" s="41">
        <f>1075.37*AX35</f>
        <v>16130.55</v>
      </c>
      <c r="AW46" s="214">
        <f>3400%/100</f>
        <v>0.34</v>
      </c>
      <c r="AX46" s="213"/>
      <c r="AZ46" s="212">
        <f>+BA45+0.01</f>
        <v>61838.11</v>
      </c>
      <c r="BA46" s="41">
        <f>12367.62*BD35</f>
        <v>185514.30000000002</v>
      </c>
      <c r="BB46" s="41">
        <f>1075.37*BD35</f>
        <v>16130.55</v>
      </c>
      <c r="BC46" s="214">
        <f>3400%/100</f>
        <v>0.34</v>
      </c>
      <c r="BD46" s="213"/>
      <c r="BF46" s="212">
        <f>+BG45+0.01</f>
        <v>61838.11</v>
      </c>
      <c r="BG46" s="41">
        <f>12367.62*BJ35</f>
        <v>185514.30000000002</v>
      </c>
      <c r="BH46" s="41">
        <f>1075.37*BJ35</f>
        <v>16130.55</v>
      </c>
      <c r="BI46" s="214">
        <f>3400%/100</f>
        <v>0.34</v>
      </c>
      <c r="BJ46" s="213"/>
    </row>
    <row r="47" spans="4:62" x14ac:dyDescent="0.2">
      <c r="D47" s="212">
        <f>+E46+0.01</f>
        <v>185514.31000000003</v>
      </c>
      <c r="E47" s="41" t="s">
        <v>58</v>
      </c>
      <c r="F47" s="41">
        <f>3878.69*H35</f>
        <v>58180.35</v>
      </c>
      <c r="G47" s="214">
        <f>3500%/100</f>
        <v>0.35</v>
      </c>
      <c r="H47" s="213"/>
      <c r="J47" s="212">
        <f>+K46+0.01</f>
        <v>185514.31000000003</v>
      </c>
      <c r="K47" s="41" t="s">
        <v>58</v>
      </c>
      <c r="L47" s="41">
        <f>3878.69*N35</f>
        <v>58180.35</v>
      </c>
      <c r="M47" s="214">
        <f>3500%/100</f>
        <v>0.35</v>
      </c>
      <c r="N47" s="213"/>
      <c r="P47" s="212">
        <f>+Q46+0.01</f>
        <v>185514.31000000003</v>
      </c>
      <c r="Q47" s="41" t="s">
        <v>58</v>
      </c>
      <c r="R47" s="41">
        <f>3878.69*T35</f>
        <v>58180.35</v>
      </c>
      <c r="S47" s="214">
        <f>3500%/100</f>
        <v>0.35</v>
      </c>
      <c r="T47" s="213"/>
      <c r="V47" s="212">
        <f>+W46+0.01</f>
        <v>185514.31000000003</v>
      </c>
      <c r="W47" s="41" t="s">
        <v>58</v>
      </c>
      <c r="X47" s="41">
        <f>3878.69*Z35</f>
        <v>58180.35</v>
      </c>
      <c r="Y47" s="214">
        <f>3500%/100</f>
        <v>0.35</v>
      </c>
      <c r="Z47" s="213"/>
      <c r="AB47" s="212">
        <f>+AC46+0.01</f>
        <v>185514.31000000003</v>
      </c>
      <c r="AC47" s="41" t="s">
        <v>58</v>
      </c>
      <c r="AD47" s="41">
        <f>3878.69*AF35</f>
        <v>58180.35</v>
      </c>
      <c r="AE47" s="214">
        <f>3500%/100</f>
        <v>0.35</v>
      </c>
      <c r="AF47" s="213"/>
      <c r="AH47" s="212">
        <f>+AI46+0.01</f>
        <v>185514.31000000003</v>
      </c>
      <c r="AI47" s="41" t="s">
        <v>58</v>
      </c>
      <c r="AJ47" s="41">
        <f>3878.69*AL35</f>
        <v>58180.35</v>
      </c>
      <c r="AK47" s="214">
        <f>3500%/100</f>
        <v>0.35</v>
      </c>
      <c r="AL47" s="213"/>
      <c r="AN47" s="212">
        <f>+AO46+0.01</f>
        <v>185514.31000000003</v>
      </c>
      <c r="AO47" s="41" t="s">
        <v>58</v>
      </c>
      <c r="AP47" s="41">
        <f>3878.69*AR35</f>
        <v>58180.35</v>
      </c>
      <c r="AQ47" s="214">
        <f>3500%/100</f>
        <v>0.35</v>
      </c>
      <c r="AR47" s="213"/>
      <c r="AT47" s="212">
        <f>+AU46+0.01</f>
        <v>185514.31000000003</v>
      </c>
      <c r="AU47" s="41" t="s">
        <v>58</v>
      </c>
      <c r="AV47" s="41">
        <f>3878.69*AX35</f>
        <v>58180.35</v>
      </c>
      <c r="AW47" s="214">
        <f>3500%/100</f>
        <v>0.35</v>
      </c>
      <c r="AX47" s="213"/>
      <c r="AZ47" s="212">
        <f>+BA46+0.01</f>
        <v>185514.31000000003</v>
      </c>
      <c r="BA47" s="41" t="s">
        <v>58</v>
      </c>
      <c r="BB47" s="41">
        <f>3878.69*BD35</f>
        <v>58180.35</v>
      </c>
      <c r="BC47" s="214">
        <f>3500%/100</f>
        <v>0.35</v>
      </c>
      <c r="BD47" s="213"/>
      <c r="BF47" s="212">
        <f>+BG46+0.01</f>
        <v>185514.31000000003</v>
      </c>
      <c r="BG47" s="41" t="s">
        <v>58</v>
      </c>
      <c r="BH47" s="41">
        <f>3878.69*BJ35</f>
        <v>58180.35</v>
      </c>
      <c r="BI47" s="214">
        <f>3500%/100</f>
        <v>0.35</v>
      </c>
      <c r="BJ47" s="213"/>
    </row>
    <row r="48" spans="4:62" x14ac:dyDescent="0.2">
      <c r="D48" s="212"/>
      <c r="G48" s="214"/>
      <c r="H48" s="213"/>
      <c r="J48" s="212"/>
      <c r="M48" s="214"/>
      <c r="N48" s="213"/>
      <c r="P48" s="212"/>
      <c r="S48" s="214"/>
      <c r="T48" s="213"/>
      <c r="V48" s="212"/>
      <c r="Y48" s="214"/>
      <c r="Z48" s="213"/>
      <c r="AB48" s="212"/>
      <c r="AE48" s="214"/>
      <c r="AF48" s="213"/>
      <c r="AH48" s="212"/>
      <c r="AK48" s="214"/>
      <c r="AL48" s="213"/>
      <c r="AN48" s="212"/>
      <c r="AQ48" s="214"/>
      <c r="AR48" s="213"/>
      <c r="AT48" s="212"/>
      <c r="AW48" s="214"/>
      <c r="AX48" s="213"/>
      <c r="AZ48" s="212"/>
      <c r="BC48" s="214"/>
      <c r="BD48" s="213"/>
      <c r="BF48" s="212"/>
      <c r="BI48" s="214"/>
      <c r="BJ48" s="213"/>
    </row>
    <row r="49" spans="4:62" x14ac:dyDescent="0.2">
      <c r="D49" s="208" t="s">
        <v>355</v>
      </c>
      <c r="E49" s="209"/>
      <c r="F49" s="209"/>
      <c r="G49" s="210"/>
      <c r="H49" s="215" t="s">
        <v>130</v>
      </c>
      <c r="J49" s="208" t="s">
        <v>355</v>
      </c>
      <c r="K49" s="209"/>
      <c r="L49" s="209"/>
      <c r="M49" s="210"/>
      <c r="N49" s="215" t="s">
        <v>130</v>
      </c>
      <c r="P49" s="208" t="s">
        <v>355</v>
      </c>
      <c r="Q49" s="209"/>
      <c r="R49" s="209"/>
      <c r="S49" s="210"/>
      <c r="T49" s="215" t="s">
        <v>130</v>
      </c>
      <c r="V49" s="208" t="s">
        <v>355</v>
      </c>
      <c r="W49" s="209"/>
      <c r="X49" s="209"/>
      <c r="Y49" s="210"/>
      <c r="Z49" s="215" t="s">
        <v>130</v>
      </c>
      <c r="AB49" s="208" t="s">
        <v>355</v>
      </c>
      <c r="AC49" s="209"/>
      <c r="AD49" s="209"/>
      <c r="AE49" s="210"/>
      <c r="AF49" s="215" t="s">
        <v>130</v>
      </c>
      <c r="AH49" s="208" t="s">
        <v>355</v>
      </c>
      <c r="AI49" s="209"/>
      <c r="AJ49" s="209"/>
      <c r="AK49" s="210"/>
      <c r="AL49" s="215" t="s">
        <v>130</v>
      </c>
      <c r="AN49" s="208" t="s">
        <v>355</v>
      </c>
      <c r="AO49" s="209"/>
      <c r="AP49" s="209"/>
      <c r="AQ49" s="210"/>
      <c r="AR49" s="215" t="s">
        <v>130</v>
      </c>
      <c r="AT49" s="208" t="s">
        <v>355</v>
      </c>
      <c r="AU49" s="209"/>
      <c r="AV49" s="209"/>
      <c r="AW49" s="210"/>
      <c r="AX49" s="215" t="s">
        <v>130</v>
      </c>
      <c r="AZ49" s="208" t="s">
        <v>355</v>
      </c>
      <c r="BA49" s="209"/>
      <c r="BB49" s="209"/>
      <c r="BC49" s="210"/>
      <c r="BD49" s="215" t="s">
        <v>130</v>
      </c>
      <c r="BF49" s="208" t="s">
        <v>355</v>
      </c>
      <c r="BG49" s="209"/>
      <c r="BH49" s="209"/>
      <c r="BI49" s="210"/>
      <c r="BJ49" s="215" t="s">
        <v>130</v>
      </c>
    </row>
    <row r="50" spans="4:62" x14ac:dyDescent="0.2">
      <c r="D50" s="212"/>
      <c r="G50" s="214"/>
      <c r="H50" s="213"/>
      <c r="J50" s="212"/>
      <c r="M50" s="214"/>
      <c r="N50" s="213"/>
      <c r="P50" s="212"/>
      <c r="S50" s="214"/>
      <c r="T50" s="213"/>
      <c r="V50" s="212"/>
      <c r="Y50" s="214"/>
      <c r="Z50" s="213"/>
      <c r="AB50" s="212"/>
      <c r="AE50" s="214"/>
      <c r="AF50" s="213"/>
      <c r="AH50" s="212"/>
      <c r="AK50" s="214"/>
      <c r="AL50" s="213"/>
      <c r="AN50" s="212"/>
      <c r="AQ50" s="214"/>
      <c r="AR50" s="213"/>
      <c r="AT50" s="212"/>
      <c r="AW50" s="214"/>
      <c r="AX50" s="213"/>
      <c r="AZ50" s="212"/>
      <c r="BC50" s="214"/>
      <c r="BD50" s="213"/>
      <c r="BF50" s="212"/>
      <c r="BI50" s="214"/>
      <c r="BJ50" s="213"/>
    </row>
    <row r="51" spans="4:62" ht="25.5" customHeight="1" x14ac:dyDescent="0.2">
      <c r="D51" s="216" t="s">
        <v>133</v>
      </c>
      <c r="E51" s="217" t="s">
        <v>132</v>
      </c>
      <c r="F51" s="217" t="s">
        <v>131</v>
      </c>
      <c r="G51" s="218"/>
      <c r="H51" s="211">
        <f>+H35</f>
        <v>15</v>
      </c>
      <c r="J51" s="216" t="s">
        <v>133</v>
      </c>
      <c r="K51" s="217" t="s">
        <v>132</v>
      </c>
      <c r="L51" s="217" t="s">
        <v>131</v>
      </c>
      <c r="M51" s="218"/>
      <c r="N51" s="211">
        <f>+N35</f>
        <v>15</v>
      </c>
      <c r="P51" s="216" t="s">
        <v>133</v>
      </c>
      <c r="Q51" s="217" t="s">
        <v>132</v>
      </c>
      <c r="R51" s="217" t="s">
        <v>131</v>
      </c>
      <c r="S51" s="218"/>
      <c r="T51" s="211">
        <f>+T35</f>
        <v>15</v>
      </c>
      <c r="V51" s="216" t="s">
        <v>133</v>
      </c>
      <c r="W51" s="217" t="s">
        <v>132</v>
      </c>
      <c r="X51" s="217" t="s">
        <v>131</v>
      </c>
      <c r="Y51" s="218"/>
      <c r="Z51" s="211">
        <f>+Z35</f>
        <v>15</v>
      </c>
      <c r="AB51" s="216" t="s">
        <v>133</v>
      </c>
      <c r="AC51" s="217" t="s">
        <v>132</v>
      </c>
      <c r="AD51" s="217" t="s">
        <v>131</v>
      </c>
      <c r="AE51" s="218"/>
      <c r="AF51" s="211">
        <f>+AF35</f>
        <v>15</v>
      </c>
      <c r="AH51" s="216" t="s">
        <v>133</v>
      </c>
      <c r="AI51" s="217" t="s">
        <v>132</v>
      </c>
      <c r="AJ51" s="217" t="s">
        <v>131</v>
      </c>
      <c r="AK51" s="218"/>
      <c r="AL51" s="211">
        <f>+AL35</f>
        <v>15</v>
      </c>
      <c r="AN51" s="216" t="s">
        <v>133</v>
      </c>
      <c r="AO51" s="217" t="s">
        <v>132</v>
      </c>
      <c r="AP51" s="217" t="s">
        <v>131</v>
      </c>
      <c r="AQ51" s="218"/>
      <c r="AR51" s="211">
        <f>+AR35</f>
        <v>15</v>
      </c>
      <c r="AT51" s="216" t="s">
        <v>133</v>
      </c>
      <c r="AU51" s="217" t="s">
        <v>132</v>
      </c>
      <c r="AV51" s="217" t="s">
        <v>131</v>
      </c>
      <c r="AW51" s="218"/>
      <c r="AX51" s="211">
        <f>+AX35</f>
        <v>15</v>
      </c>
      <c r="AZ51" s="216" t="s">
        <v>133</v>
      </c>
      <c r="BA51" s="217" t="s">
        <v>132</v>
      </c>
      <c r="BB51" s="217" t="s">
        <v>131</v>
      </c>
      <c r="BC51" s="218"/>
      <c r="BD51" s="211">
        <f>+BD35</f>
        <v>15</v>
      </c>
      <c r="BF51" s="216" t="s">
        <v>133</v>
      </c>
      <c r="BG51" s="217" t="s">
        <v>132</v>
      </c>
      <c r="BH51" s="217" t="s">
        <v>131</v>
      </c>
      <c r="BI51" s="218"/>
      <c r="BJ51" s="211">
        <f>+BJ35</f>
        <v>15</v>
      </c>
    </row>
    <row r="52" spans="4:62" x14ac:dyDescent="0.2">
      <c r="D52" s="212" t="s">
        <v>57</v>
      </c>
      <c r="E52" s="41" t="s">
        <v>57</v>
      </c>
      <c r="F52" s="41" t="s">
        <v>57</v>
      </c>
      <c r="G52" s="41"/>
      <c r="H52" s="213"/>
      <c r="J52" s="212" t="s">
        <v>57</v>
      </c>
      <c r="K52" s="41" t="s">
        <v>57</v>
      </c>
      <c r="L52" s="41" t="s">
        <v>57</v>
      </c>
      <c r="N52" s="213"/>
      <c r="P52" s="212" t="s">
        <v>57</v>
      </c>
      <c r="Q52" s="41" t="s">
        <v>57</v>
      </c>
      <c r="R52" s="41" t="s">
        <v>57</v>
      </c>
      <c r="T52" s="213"/>
      <c r="V52" s="212" t="s">
        <v>57</v>
      </c>
      <c r="W52" s="41" t="s">
        <v>57</v>
      </c>
      <c r="X52" s="41" t="s">
        <v>57</v>
      </c>
      <c r="Z52" s="213"/>
      <c r="AB52" s="212" t="s">
        <v>57</v>
      </c>
      <c r="AC52" s="41" t="s">
        <v>57</v>
      </c>
      <c r="AD52" s="41" t="s">
        <v>57</v>
      </c>
      <c r="AF52" s="213"/>
      <c r="AH52" s="212" t="s">
        <v>57</v>
      </c>
      <c r="AI52" s="41" t="s">
        <v>57</v>
      </c>
      <c r="AJ52" s="41" t="s">
        <v>57</v>
      </c>
      <c r="AL52" s="213"/>
      <c r="AN52" s="212" t="s">
        <v>57</v>
      </c>
      <c r="AO52" s="41" t="s">
        <v>57</v>
      </c>
      <c r="AP52" s="41" t="s">
        <v>57</v>
      </c>
      <c r="AR52" s="213"/>
      <c r="AT52" s="212" t="s">
        <v>57</v>
      </c>
      <c r="AU52" s="41" t="s">
        <v>57</v>
      </c>
      <c r="AV52" s="41" t="s">
        <v>57</v>
      </c>
      <c r="AX52" s="213"/>
      <c r="AZ52" s="212" t="s">
        <v>57</v>
      </c>
      <c r="BA52" s="41" t="s">
        <v>57</v>
      </c>
      <c r="BB52" s="41" t="s">
        <v>57</v>
      </c>
      <c r="BD52" s="213"/>
      <c r="BF52" s="212" t="s">
        <v>57</v>
      </c>
      <c r="BG52" s="41" t="s">
        <v>57</v>
      </c>
      <c r="BH52" s="41" t="s">
        <v>57</v>
      </c>
      <c r="BJ52" s="213"/>
    </row>
    <row r="53" spans="4:62" x14ac:dyDescent="0.2">
      <c r="D53" s="262">
        <v>0.01</v>
      </c>
      <c r="E53" s="41">
        <f>334.5723*H51</f>
        <v>5018.5844999999999</v>
      </c>
      <c r="F53" s="41">
        <f>15.6233*H51</f>
        <v>234.34950000000001</v>
      </c>
      <c r="G53" s="41"/>
      <c r="H53" s="213"/>
      <c r="J53" s="262">
        <v>0.01</v>
      </c>
      <c r="K53" s="41">
        <f>334.5723*N51</f>
        <v>5018.5844999999999</v>
      </c>
      <c r="L53" s="41">
        <f>15.6233*N51</f>
        <v>234.34950000000001</v>
      </c>
      <c r="N53" s="213"/>
      <c r="P53" s="262">
        <v>0.01</v>
      </c>
      <c r="Q53" s="41">
        <f>334.5723*T51</f>
        <v>5018.5844999999999</v>
      </c>
      <c r="R53" s="41">
        <f>15.6233*T51</f>
        <v>234.34950000000001</v>
      </c>
      <c r="T53" s="213"/>
      <c r="V53" s="262">
        <v>0.01</v>
      </c>
      <c r="W53" s="41">
        <f>334.5723*Z51</f>
        <v>5018.5844999999999</v>
      </c>
      <c r="X53" s="41">
        <f>15.6233*Z51</f>
        <v>234.34950000000001</v>
      </c>
      <c r="Z53" s="213"/>
      <c r="AB53" s="262">
        <v>0.01</v>
      </c>
      <c r="AC53" s="41">
        <f>334.5723*AF51</f>
        <v>5018.5844999999999</v>
      </c>
      <c r="AD53" s="41">
        <f>15.6233*AF51</f>
        <v>234.34950000000001</v>
      </c>
      <c r="AF53" s="213"/>
      <c r="AH53" s="262">
        <v>0.01</v>
      </c>
      <c r="AI53" s="41">
        <f>334.5723*AL51</f>
        <v>5018.5844999999999</v>
      </c>
      <c r="AJ53" s="41">
        <f>15.6233*AL51</f>
        <v>234.34950000000001</v>
      </c>
      <c r="AL53" s="213"/>
      <c r="AN53" s="262">
        <v>0.01</v>
      </c>
      <c r="AO53" s="41">
        <f>334.5723*AR51</f>
        <v>5018.5844999999999</v>
      </c>
      <c r="AP53" s="41">
        <f>15.6233*AR51</f>
        <v>234.34950000000001</v>
      </c>
      <c r="AR53" s="213"/>
      <c r="AT53" s="262">
        <v>0.01</v>
      </c>
      <c r="AU53" s="41">
        <f>334.5723*AX51</f>
        <v>5018.5844999999999</v>
      </c>
      <c r="AV53" s="41">
        <f>15.6233*AX51</f>
        <v>234.34950000000001</v>
      </c>
      <c r="AX53" s="213"/>
      <c r="AZ53" s="262">
        <v>0.01</v>
      </c>
      <c r="BA53" s="41">
        <f>334.5723*BD51</f>
        <v>5018.5844999999999</v>
      </c>
      <c r="BB53" s="41">
        <f>15.6233*BD51</f>
        <v>234.34950000000001</v>
      </c>
      <c r="BD53" s="213"/>
      <c r="BF53" s="262">
        <v>0.01</v>
      </c>
      <c r="BG53" s="41">
        <f>334.5723*BJ51</f>
        <v>5018.5844999999999</v>
      </c>
      <c r="BH53" s="41">
        <f>15.6233*BJ51</f>
        <v>234.34950000000001</v>
      </c>
      <c r="BJ53" s="213"/>
    </row>
    <row r="54" spans="4:62" x14ac:dyDescent="0.2">
      <c r="D54" s="212">
        <f>E53+0.01</f>
        <v>5018.5945000000002</v>
      </c>
      <c r="E54" s="41">
        <v>10171.02</v>
      </c>
      <c r="F54" s="213">
        <v>0</v>
      </c>
      <c r="G54" s="41"/>
      <c r="H54" s="213"/>
      <c r="J54" s="212">
        <f>K53+0.01</f>
        <v>5018.5945000000002</v>
      </c>
      <c r="K54" s="41">
        <v>10171.02</v>
      </c>
      <c r="L54" s="213">
        <v>0</v>
      </c>
      <c r="N54" s="213"/>
      <c r="P54" s="212">
        <f>Q53+0.01</f>
        <v>5018.5945000000002</v>
      </c>
      <c r="Q54" s="41">
        <v>10171.02</v>
      </c>
      <c r="R54" s="213">
        <v>0</v>
      </c>
      <c r="T54" s="213"/>
      <c r="V54" s="212">
        <f>W53+0.01</f>
        <v>5018.5945000000002</v>
      </c>
      <c r="W54" s="41">
        <v>10171.02</v>
      </c>
      <c r="X54" s="213">
        <v>0</v>
      </c>
      <c r="Z54" s="213"/>
      <c r="AB54" s="212">
        <f>AC53+0.01</f>
        <v>5018.5945000000002</v>
      </c>
      <c r="AC54" s="41">
        <v>10171.02</v>
      </c>
      <c r="AD54" s="213">
        <v>0</v>
      </c>
      <c r="AF54" s="213"/>
      <c r="AH54" s="212">
        <f>AI53+0.01</f>
        <v>5018.5945000000002</v>
      </c>
      <c r="AI54" s="41">
        <v>10171.02</v>
      </c>
      <c r="AJ54" s="213">
        <v>0</v>
      </c>
      <c r="AL54" s="213"/>
      <c r="AN54" s="212">
        <f>AO53+0.01</f>
        <v>5018.5945000000002</v>
      </c>
      <c r="AO54" s="41">
        <v>10171.02</v>
      </c>
      <c r="AP54" s="213">
        <v>0</v>
      </c>
      <c r="AR54" s="213"/>
      <c r="AT54" s="212">
        <f>AU53+0.01</f>
        <v>5018.5945000000002</v>
      </c>
      <c r="AU54" s="41">
        <v>10171.02</v>
      </c>
      <c r="AV54" s="213">
        <v>0</v>
      </c>
      <c r="AX54" s="213"/>
      <c r="AZ54" s="212">
        <f>BA53+0.01</f>
        <v>5018.5945000000002</v>
      </c>
      <c r="BA54" s="41">
        <v>10171.02</v>
      </c>
      <c r="BB54" s="213">
        <v>0</v>
      </c>
      <c r="BD54" s="213"/>
      <c r="BF54" s="212">
        <f>BG53+0.01</f>
        <v>5018.5945000000002</v>
      </c>
      <c r="BG54" s="41">
        <v>10171.02</v>
      </c>
      <c r="BH54" s="213">
        <v>0</v>
      </c>
      <c r="BJ54" s="213"/>
    </row>
    <row r="55" spans="4:62" x14ac:dyDescent="0.2">
      <c r="D55" s="212">
        <v>10171.030000000001</v>
      </c>
      <c r="E55" s="212">
        <v>10171.040000000001</v>
      </c>
      <c r="F55" s="213">
        <v>0</v>
      </c>
      <c r="G55" s="41"/>
      <c r="H55" s="213"/>
      <c r="J55" s="212">
        <v>10171.030000000001</v>
      </c>
      <c r="K55" s="212">
        <v>10171.040000000001</v>
      </c>
      <c r="L55" s="213">
        <v>0</v>
      </c>
      <c r="N55" s="213"/>
      <c r="P55" s="212">
        <v>10171.030000000001</v>
      </c>
      <c r="Q55" s="212">
        <v>10171.040000000001</v>
      </c>
      <c r="R55" s="213">
        <v>0</v>
      </c>
      <c r="T55" s="213"/>
      <c r="V55" s="212">
        <v>10171.030000000001</v>
      </c>
      <c r="W55" s="212">
        <v>10171.040000000001</v>
      </c>
      <c r="X55" s="213">
        <v>0</v>
      </c>
      <c r="Z55" s="213"/>
      <c r="AB55" s="212">
        <v>10171.030000000001</v>
      </c>
      <c r="AC55" s="212">
        <v>10171.040000000001</v>
      </c>
      <c r="AD55" s="213">
        <v>0</v>
      </c>
      <c r="AF55" s="213"/>
      <c r="AH55" s="212">
        <v>10171.030000000001</v>
      </c>
      <c r="AI55" s="212">
        <v>10171.040000000001</v>
      </c>
      <c r="AJ55" s="213">
        <v>0</v>
      </c>
      <c r="AL55" s="213"/>
      <c r="AN55" s="212">
        <v>10171.030000000001</v>
      </c>
      <c r="AO55" s="212">
        <v>10171.040000000001</v>
      </c>
      <c r="AP55" s="213">
        <v>0</v>
      </c>
      <c r="AR55" s="213"/>
      <c r="AT55" s="212">
        <v>10171.030000000001</v>
      </c>
      <c r="AU55" s="212">
        <v>10171.040000000001</v>
      </c>
      <c r="AV55" s="213">
        <v>0</v>
      </c>
      <c r="AX55" s="213"/>
      <c r="AZ55" s="212">
        <v>10171.030000000001</v>
      </c>
      <c r="BA55" s="212">
        <v>10171.040000000001</v>
      </c>
      <c r="BB55" s="213">
        <v>0</v>
      </c>
      <c r="BD55" s="213"/>
      <c r="BF55" s="212">
        <v>10171.030000000001</v>
      </c>
      <c r="BG55" s="212">
        <v>10171.040000000001</v>
      </c>
      <c r="BH55" s="213">
        <v>0</v>
      </c>
      <c r="BJ55" s="213"/>
    </row>
    <row r="56" spans="4:62" x14ac:dyDescent="0.2">
      <c r="D56" s="212">
        <v>10171.049999999999</v>
      </c>
      <c r="E56" s="212">
        <v>10171.06</v>
      </c>
      <c r="F56" s="213">
        <v>0</v>
      </c>
      <c r="G56" s="41"/>
      <c r="H56" s="213"/>
      <c r="J56" s="212">
        <v>10171.049999999999</v>
      </c>
      <c r="K56" s="212">
        <v>10171.06</v>
      </c>
      <c r="L56" s="213">
        <v>0</v>
      </c>
      <c r="N56" s="213"/>
      <c r="P56" s="212">
        <v>10171.049999999999</v>
      </c>
      <c r="Q56" s="212">
        <v>10171.06</v>
      </c>
      <c r="R56" s="213">
        <v>0</v>
      </c>
      <c r="T56" s="213"/>
      <c r="V56" s="212">
        <v>10171.049999999999</v>
      </c>
      <c r="W56" s="212">
        <v>10171.06</v>
      </c>
      <c r="X56" s="213">
        <v>0</v>
      </c>
      <c r="Z56" s="213"/>
      <c r="AB56" s="212">
        <v>10171.049999999999</v>
      </c>
      <c r="AC56" s="212">
        <v>10171.06</v>
      </c>
      <c r="AD56" s="213">
        <v>0</v>
      </c>
      <c r="AF56" s="213"/>
      <c r="AH56" s="212">
        <v>10171.049999999999</v>
      </c>
      <c r="AI56" s="212">
        <v>10171.06</v>
      </c>
      <c r="AJ56" s="213">
        <v>0</v>
      </c>
      <c r="AL56" s="213"/>
      <c r="AN56" s="212">
        <v>10171.049999999999</v>
      </c>
      <c r="AO56" s="212">
        <v>10171.06</v>
      </c>
      <c r="AP56" s="213">
        <v>0</v>
      </c>
      <c r="AR56" s="213"/>
      <c r="AT56" s="212">
        <v>10171.049999999999</v>
      </c>
      <c r="AU56" s="212">
        <v>10171.06</v>
      </c>
      <c r="AV56" s="213">
        <v>0</v>
      </c>
      <c r="AX56" s="213"/>
      <c r="AZ56" s="212">
        <v>10171.049999999999</v>
      </c>
      <c r="BA56" s="212">
        <v>10171.06</v>
      </c>
      <c r="BB56" s="213">
        <v>0</v>
      </c>
      <c r="BD56" s="213"/>
      <c r="BF56" s="212">
        <v>10171.049999999999</v>
      </c>
      <c r="BG56" s="212">
        <v>10171.06</v>
      </c>
      <c r="BH56" s="213">
        <v>0</v>
      </c>
      <c r="BJ56" s="213"/>
    </row>
    <row r="57" spans="4:62" x14ac:dyDescent="0.2">
      <c r="D57" s="212">
        <v>10171.07</v>
      </c>
      <c r="E57" s="212">
        <v>10171.08</v>
      </c>
      <c r="F57" s="213">
        <v>0</v>
      </c>
      <c r="G57" s="41"/>
      <c r="H57" s="213"/>
      <c r="J57" s="212">
        <v>10171.07</v>
      </c>
      <c r="K57" s="212">
        <v>10171.08</v>
      </c>
      <c r="L57" s="213">
        <v>0</v>
      </c>
      <c r="N57" s="213"/>
      <c r="P57" s="212">
        <v>10171.07</v>
      </c>
      <c r="Q57" s="212">
        <v>10171.08</v>
      </c>
      <c r="R57" s="213">
        <v>0</v>
      </c>
      <c r="T57" s="213"/>
      <c r="V57" s="212">
        <v>10171.07</v>
      </c>
      <c r="W57" s="212">
        <v>10171.08</v>
      </c>
      <c r="X57" s="213">
        <v>0</v>
      </c>
      <c r="Z57" s="213"/>
      <c r="AB57" s="212">
        <v>10171.07</v>
      </c>
      <c r="AC57" s="212">
        <v>10171.08</v>
      </c>
      <c r="AD57" s="213">
        <v>0</v>
      </c>
      <c r="AF57" s="213"/>
      <c r="AH57" s="212">
        <v>10171.07</v>
      </c>
      <c r="AI57" s="212">
        <v>10171.08</v>
      </c>
      <c r="AJ57" s="213">
        <v>0</v>
      </c>
      <c r="AL57" s="213"/>
      <c r="AN57" s="212">
        <v>10171.07</v>
      </c>
      <c r="AO57" s="212">
        <v>10171.08</v>
      </c>
      <c r="AP57" s="213">
        <v>0</v>
      </c>
      <c r="AR57" s="213"/>
      <c r="AT57" s="212">
        <v>10171.07</v>
      </c>
      <c r="AU57" s="212">
        <v>10171.08</v>
      </c>
      <c r="AV57" s="213">
        <v>0</v>
      </c>
      <c r="AX57" s="213"/>
      <c r="AZ57" s="212">
        <v>10171.07</v>
      </c>
      <c r="BA57" s="212">
        <v>10171.08</v>
      </c>
      <c r="BB57" s="213">
        <v>0</v>
      </c>
      <c r="BD57" s="213"/>
      <c r="BF57" s="212">
        <v>10171.07</v>
      </c>
      <c r="BG57" s="212">
        <v>10171.08</v>
      </c>
      <c r="BH57" s="213">
        <v>0</v>
      </c>
      <c r="BJ57" s="213"/>
    </row>
    <row r="58" spans="4:62" x14ac:dyDescent="0.2">
      <c r="D58" s="212">
        <v>10171.09</v>
      </c>
      <c r="E58" s="212">
        <v>10171.1</v>
      </c>
      <c r="F58" s="213">
        <v>0</v>
      </c>
      <c r="G58" s="41"/>
      <c r="H58" s="213"/>
      <c r="J58" s="212">
        <v>10171.09</v>
      </c>
      <c r="K58" s="212">
        <v>10171.1</v>
      </c>
      <c r="L58" s="213">
        <v>0</v>
      </c>
      <c r="N58" s="213"/>
      <c r="P58" s="212">
        <v>10171.09</v>
      </c>
      <c r="Q58" s="212">
        <v>10171.1</v>
      </c>
      <c r="R58" s="213">
        <v>0</v>
      </c>
      <c r="T58" s="213"/>
      <c r="V58" s="212">
        <v>10171.09</v>
      </c>
      <c r="W58" s="212">
        <v>10171.1</v>
      </c>
      <c r="X58" s="213">
        <v>0</v>
      </c>
      <c r="Z58" s="213"/>
      <c r="AB58" s="212">
        <v>10171.09</v>
      </c>
      <c r="AC58" s="212">
        <v>10171.1</v>
      </c>
      <c r="AD58" s="213">
        <v>0</v>
      </c>
      <c r="AF58" s="213"/>
      <c r="AH58" s="212">
        <v>10171.09</v>
      </c>
      <c r="AI58" s="212">
        <v>10171.1</v>
      </c>
      <c r="AJ58" s="213">
        <v>0</v>
      </c>
      <c r="AL58" s="213"/>
      <c r="AN58" s="212">
        <v>10171.09</v>
      </c>
      <c r="AO58" s="212">
        <v>10171.1</v>
      </c>
      <c r="AP58" s="213">
        <v>0</v>
      </c>
      <c r="AR58" s="213"/>
      <c r="AT58" s="212">
        <v>10171.09</v>
      </c>
      <c r="AU58" s="212">
        <v>10171.1</v>
      </c>
      <c r="AV58" s="213">
        <v>0</v>
      </c>
      <c r="AX58" s="213"/>
      <c r="AZ58" s="212">
        <v>10171.09</v>
      </c>
      <c r="BA58" s="212">
        <v>10171.1</v>
      </c>
      <c r="BB58" s="213">
        <v>0</v>
      </c>
      <c r="BD58" s="213"/>
      <c r="BF58" s="212">
        <v>10171.09</v>
      </c>
      <c r="BG58" s="212">
        <v>10171.1</v>
      </c>
      <c r="BH58" s="213">
        <v>0</v>
      </c>
      <c r="BJ58" s="213"/>
    </row>
    <row r="59" spans="4:62" x14ac:dyDescent="0.2">
      <c r="D59" s="212">
        <v>10171.11</v>
      </c>
      <c r="E59" s="212">
        <v>10171.120000000001</v>
      </c>
      <c r="F59" s="213">
        <v>0</v>
      </c>
      <c r="G59" s="41"/>
      <c r="H59" s="213"/>
      <c r="J59" s="212">
        <v>10171.11</v>
      </c>
      <c r="K59" s="212">
        <v>10171.120000000001</v>
      </c>
      <c r="L59" s="213">
        <v>0</v>
      </c>
      <c r="N59" s="213"/>
      <c r="P59" s="212">
        <v>10171.11</v>
      </c>
      <c r="Q59" s="212">
        <v>10171.120000000001</v>
      </c>
      <c r="R59" s="213">
        <v>0</v>
      </c>
      <c r="T59" s="213"/>
      <c r="V59" s="212">
        <v>10171.11</v>
      </c>
      <c r="W59" s="212">
        <v>10171.120000000001</v>
      </c>
      <c r="X59" s="213">
        <v>0</v>
      </c>
      <c r="Z59" s="213"/>
      <c r="AB59" s="212">
        <v>10171.11</v>
      </c>
      <c r="AC59" s="212">
        <v>10171.120000000001</v>
      </c>
      <c r="AD59" s="213">
        <v>0</v>
      </c>
      <c r="AF59" s="213"/>
      <c r="AH59" s="212">
        <v>10171.11</v>
      </c>
      <c r="AI59" s="212">
        <v>10171.120000000001</v>
      </c>
      <c r="AJ59" s="213">
        <v>0</v>
      </c>
      <c r="AL59" s="213"/>
      <c r="AN59" s="212">
        <v>10171.11</v>
      </c>
      <c r="AO59" s="212">
        <v>10171.120000000001</v>
      </c>
      <c r="AP59" s="213">
        <v>0</v>
      </c>
      <c r="AR59" s="213"/>
      <c r="AT59" s="212">
        <v>10171.11</v>
      </c>
      <c r="AU59" s="212">
        <v>10171.120000000001</v>
      </c>
      <c r="AV59" s="213">
        <v>0</v>
      </c>
      <c r="AX59" s="213"/>
      <c r="AZ59" s="212">
        <v>10171.11</v>
      </c>
      <c r="BA59" s="212">
        <v>10171.120000000001</v>
      </c>
      <c r="BB59" s="213">
        <v>0</v>
      </c>
      <c r="BD59" s="213"/>
      <c r="BF59" s="212">
        <v>10171.11</v>
      </c>
      <c r="BG59" s="212">
        <v>10171.120000000001</v>
      </c>
      <c r="BH59" s="213">
        <v>0</v>
      </c>
      <c r="BJ59" s="213"/>
    </row>
    <row r="60" spans="4:62" x14ac:dyDescent="0.2">
      <c r="D60" s="212">
        <v>10171.129999999999</v>
      </c>
      <c r="E60" s="212">
        <v>10171.14</v>
      </c>
      <c r="F60" s="213">
        <v>0</v>
      </c>
      <c r="G60" s="41"/>
      <c r="H60" s="213"/>
      <c r="J60" s="212">
        <v>10171.129999999999</v>
      </c>
      <c r="K60" s="212">
        <v>10171.14</v>
      </c>
      <c r="L60" s="213">
        <v>0</v>
      </c>
      <c r="N60" s="213"/>
      <c r="P60" s="212">
        <v>10171.129999999999</v>
      </c>
      <c r="Q60" s="212">
        <v>10171.14</v>
      </c>
      <c r="R60" s="213">
        <v>0</v>
      </c>
      <c r="T60" s="213"/>
      <c r="V60" s="212">
        <v>10171.129999999999</v>
      </c>
      <c r="W60" s="212">
        <v>10171.14</v>
      </c>
      <c r="X60" s="213">
        <v>0</v>
      </c>
      <c r="Z60" s="213"/>
      <c r="AB60" s="212">
        <v>10171.129999999999</v>
      </c>
      <c r="AC60" s="212">
        <v>10171.14</v>
      </c>
      <c r="AD60" s="213">
        <v>0</v>
      </c>
      <c r="AF60" s="213"/>
      <c r="AH60" s="212">
        <v>10171.129999999999</v>
      </c>
      <c r="AI60" s="212">
        <v>10171.14</v>
      </c>
      <c r="AJ60" s="213">
        <v>0</v>
      </c>
      <c r="AL60" s="213"/>
      <c r="AN60" s="212">
        <v>10171.129999999999</v>
      </c>
      <c r="AO60" s="212">
        <v>10171.14</v>
      </c>
      <c r="AP60" s="213">
        <v>0</v>
      </c>
      <c r="AR60" s="213"/>
      <c r="AT60" s="212">
        <v>10171.129999999999</v>
      </c>
      <c r="AU60" s="212">
        <v>10171.14</v>
      </c>
      <c r="AV60" s="213">
        <v>0</v>
      </c>
      <c r="AX60" s="213"/>
      <c r="AZ60" s="212">
        <v>10171.129999999999</v>
      </c>
      <c r="BA60" s="212">
        <v>10171.14</v>
      </c>
      <c r="BB60" s="213">
        <v>0</v>
      </c>
      <c r="BD60" s="213"/>
      <c r="BF60" s="212">
        <v>10171.129999999999</v>
      </c>
      <c r="BG60" s="212">
        <v>10171.14</v>
      </c>
      <c r="BH60" s="213">
        <v>0</v>
      </c>
      <c r="BJ60" s="213"/>
    </row>
    <row r="61" spans="4:62" x14ac:dyDescent="0.2">
      <c r="D61" s="212">
        <v>10171.15</v>
      </c>
      <c r="E61" s="212">
        <v>10171.16</v>
      </c>
      <c r="F61" s="213">
        <v>0</v>
      </c>
      <c r="G61" s="41"/>
      <c r="H61" s="213"/>
      <c r="J61" s="212">
        <v>10171.15</v>
      </c>
      <c r="K61" s="212">
        <v>10171.16</v>
      </c>
      <c r="L61" s="213">
        <v>0</v>
      </c>
      <c r="N61" s="213"/>
      <c r="P61" s="212">
        <v>10171.15</v>
      </c>
      <c r="Q61" s="212">
        <v>10171.16</v>
      </c>
      <c r="R61" s="213">
        <v>0</v>
      </c>
      <c r="T61" s="213"/>
      <c r="V61" s="212">
        <v>10171.15</v>
      </c>
      <c r="W61" s="212">
        <v>10171.16</v>
      </c>
      <c r="X61" s="213">
        <v>0</v>
      </c>
      <c r="Z61" s="213"/>
      <c r="AB61" s="212">
        <v>10171.15</v>
      </c>
      <c r="AC61" s="212">
        <v>10171.16</v>
      </c>
      <c r="AD61" s="213">
        <v>0</v>
      </c>
      <c r="AF61" s="213"/>
      <c r="AH61" s="212">
        <v>10171.15</v>
      </c>
      <c r="AI61" s="212">
        <v>10171.16</v>
      </c>
      <c r="AJ61" s="213">
        <v>0</v>
      </c>
      <c r="AL61" s="213"/>
      <c r="AN61" s="212">
        <v>10171.15</v>
      </c>
      <c r="AO61" s="212">
        <v>10171.16</v>
      </c>
      <c r="AP61" s="213">
        <v>0</v>
      </c>
      <c r="AR61" s="213"/>
      <c r="AT61" s="212">
        <v>10171.15</v>
      </c>
      <c r="AU61" s="212">
        <v>10171.16</v>
      </c>
      <c r="AV61" s="213">
        <v>0</v>
      </c>
      <c r="AX61" s="213"/>
      <c r="AZ61" s="212">
        <v>10171.15</v>
      </c>
      <c r="BA61" s="212">
        <v>10171.16</v>
      </c>
      <c r="BB61" s="213">
        <v>0</v>
      </c>
      <c r="BD61" s="213"/>
      <c r="BF61" s="212">
        <v>10171.15</v>
      </c>
      <c r="BG61" s="212">
        <v>10171.16</v>
      </c>
      <c r="BH61" s="213">
        <v>0</v>
      </c>
      <c r="BJ61" s="213"/>
    </row>
    <row r="62" spans="4:62" x14ac:dyDescent="0.2">
      <c r="D62" s="212">
        <v>10171.17</v>
      </c>
      <c r="E62" s="212">
        <v>10171.18</v>
      </c>
      <c r="F62" s="213">
        <v>0</v>
      </c>
      <c r="G62" s="41"/>
      <c r="H62" s="213"/>
      <c r="J62" s="212">
        <v>10171.17</v>
      </c>
      <c r="K62" s="212">
        <v>10171.18</v>
      </c>
      <c r="L62" s="213">
        <v>0</v>
      </c>
      <c r="N62" s="213"/>
      <c r="P62" s="212">
        <v>10171.17</v>
      </c>
      <c r="Q62" s="212">
        <v>10171.18</v>
      </c>
      <c r="R62" s="213">
        <v>0</v>
      </c>
      <c r="T62" s="213"/>
      <c r="V62" s="212">
        <v>10171.17</v>
      </c>
      <c r="W62" s="212">
        <v>10171.18</v>
      </c>
      <c r="X62" s="213">
        <v>0</v>
      </c>
      <c r="Z62" s="213"/>
      <c r="AB62" s="212">
        <v>10171.17</v>
      </c>
      <c r="AC62" s="212">
        <v>10171.18</v>
      </c>
      <c r="AD62" s="213">
        <v>0</v>
      </c>
      <c r="AF62" s="213"/>
      <c r="AH62" s="212">
        <v>10171.17</v>
      </c>
      <c r="AI62" s="212">
        <v>10171.18</v>
      </c>
      <c r="AJ62" s="213">
        <v>0</v>
      </c>
      <c r="AL62" s="213"/>
      <c r="AN62" s="212">
        <v>10171.17</v>
      </c>
      <c r="AO62" s="212">
        <v>10171.18</v>
      </c>
      <c r="AP62" s="213">
        <v>0</v>
      </c>
      <c r="AR62" s="213"/>
      <c r="AT62" s="212">
        <v>10171.17</v>
      </c>
      <c r="AU62" s="212">
        <v>10171.18</v>
      </c>
      <c r="AV62" s="213">
        <v>0</v>
      </c>
      <c r="AX62" s="213"/>
      <c r="AZ62" s="212">
        <v>10171.17</v>
      </c>
      <c r="BA62" s="212">
        <v>10171.18</v>
      </c>
      <c r="BB62" s="213">
        <v>0</v>
      </c>
      <c r="BD62" s="213"/>
      <c r="BF62" s="212">
        <v>10171.17</v>
      </c>
      <c r="BG62" s="212">
        <v>10171.18</v>
      </c>
      <c r="BH62" s="213">
        <v>0</v>
      </c>
      <c r="BJ62" s="213"/>
    </row>
    <row r="63" spans="4:62" ht="13.5" thickBot="1" x14ac:dyDescent="0.25">
      <c r="D63" s="219">
        <v>10171.19</v>
      </c>
      <c r="E63" s="219">
        <v>999999999</v>
      </c>
      <c r="F63" s="221">
        <v>0</v>
      </c>
      <c r="G63" s="220"/>
      <c r="H63" s="221"/>
      <c r="J63" s="219">
        <v>10171.19</v>
      </c>
      <c r="K63" s="219">
        <v>999999999</v>
      </c>
      <c r="L63" s="221">
        <v>0</v>
      </c>
      <c r="M63" s="220"/>
      <c r="N63" s="221"/>
      <c r="P63" s="219">
        <v>10171.19</v>
      </c>
      <c r="Q63" s="219">
        <v>999999999</v>
      </c>
      <c r="R63" s="221">
        <v>0</v>
      </c>
      <c r="S63" s="220"/>
      <c r="T63" s="221"/>
      <c r="V63" s="219">
        <v>10171.19</v>
      </c>
      <c r="W63" s="219">
        <v>999999999</v>
      </c>
      <c r="X63" s="221">
        <v>0</v>
      </c>
      <c r="Y63" s="220"/>
      <c r="Z63" s="221"/>
      <c r="AB63" s="219">
        <v>10171.19</v>
      </c>
      <c r="AC63" s="219">
        <v>999999999</v>
      </c>
      <c r="AD63" s="221">
        <v>0</v>
      </c>
      <c r="AE63" s="220"/>
      <c r="AF63" s="221"/>
      <c r="AH63" s="219">
        <v>10171.19</v>
      </c>
      <c r="AI63" s="219">
        <v>999999999</v>
      </c>
      <c r="AJ63" s="221">
        <v>0</v>
      </c>
      <c r="AK63" s="220"/>
      <c r="AL63" s="221"/>
      <c r="AN63" s="219">
        <v>10171.19</v>
      </c>
      <c r="AO63" s="219">
        <v>999999999</v>
      </c>
      <c r="AP63" s="221">
        <v>0</v>
      </c>
      <c r="AQ63" s="220"/>
      <c r="AR63" s="221"/>
      <c r="AT63" s="219">
        <v>10171.19</v>
      </c>
      <c r="AU63" s="219">
        <v>999999999</v>
      </c>
      <c r="AV63" s="221">
        <v>0</v>
      </c>
      <c r="AW63" s="220"/>
      <c r="AX63" s="221"/>
      <c r="AZ63" s="219">
        <v>10171.19</v>
      </c>
      <c r="BA63" s="219">
        <v>999999999</v>
      </c>
      <c r="BB63" s="221">
        <v>0</v>
      </c>
      <c r="BC63" s="220"/>
      <c r="BD63" s="221"/>
      <c r="BF63" s="219">
        <v>10171.19</v>
      </c>
      <c r="BG63" s="219">
        <v>999999999</v>
      </c>
      <c r="BH63" s="221">
        <v>0</v>
      </c>
      <c r="BI63" s="220"/>
      <c r="BJ63" s="221"/>
    </row>
    <row r="66" spans="4:62" ht="16.5" thickBot="1" x14ac:dyDescent="0.3">
      <c r="D66" s="438" t="s">
        <v>158</v>
      </c>
      <c r="E66" s="438"/>
      <c r="F66" s="438"/>
      <c r="G66" s="438"/>
      <c r="H66" s="438"/>
      <c r="J66" s="438" t="s">
        <v>159</v>
      </c>
      <c r="K66" s="438"/>
      <c r="L66" s="438"/>
      <c r="M66" s="438"/>
      <c r="N66" s="438"/>
      <c r="P66" s="438" t="s">
        <v>160</v>
      </c>
      <c r="Q66" s="438"/>
      <c r="R66" s="438"/>
      <c r="S66" s="438"/>
      <c r="T66" s="438"/>
      <c r="V66" s="438" t="s">
        <v>161</v>
      </c>
      <c r="W66" s="438"/>
      <c r="X66" s="438"/>
      <c r="Y66" s="438"/>
      <c r="Z66" s="438"/>
      <c r="AB66" s="438" t="s">
        <v>162</v>
      </c>
      <c r="AC66" s="438"/>
      <c r="AD66" s="438"/>
      <c r="AE66" s="438"/>
      <c r="AF66" s="438"/>
      <c r="AH66" s="438" t="s">
        <v>163</v>
      </c>
      <c r="AI66" s="438"/>
      <c r="AJ66" s="438"/>
      <c r="AK66" s="438"/>
      <c r="AL66" s="438"/>
      <c r="AN66" s="438" t="s">
        <v>164</v>
      </c>
      <c r="AO66" s="438"/>
      <c r="AP66" s="438"/>
      <c r="AQ66" s="438"/>
      <c r="AR66" s="438"/>
      <c r="AT66" s="438" t="s">
        <v>165</v>
      </c>
      <c r="AU66" s="438"/>
      <c r="AV66" s="438"/>
      <c r="AW66" s="438"/>
      <c r="AX66" s="438"/>
      <c r="AZ66" s="438" t="s">
        <v>166</v>
      </c>
      <c r="BA66" s="438"/>
      <c r="BB66" s="438"/>
      <c r="BC66" s="438"/>
      <c r="BD66" s="438"/>
      <c r="BF66" s="438" t="s">
        <v>167</v>
      </c>
      <c r="BG66" s="438"/>
      <c r="BH66" s="438"/>
      <c r="BI66" s="438"/>
      <c r="BJ66" s="438"/>
    </row>
    <row r="67" spans="4:62" x14ac:dyDescent="0.2">
      <c r="D67" s="203" t="s">
        <v>354</v>
      </c>
      <c r="E67" s="204"/>
      <c r="F67" s="205"/>
      <c r="G67" s="206"/>
      <c r="H67" s="207" t="s">
        <v>129</v>
      </c>
      <c r="J67" s="203" t="s">
        <v>354</v>
      </c>
      <c r="K67" s="204"/>
      <c r="L67" s="205"/>
      <c r="M67" s="206"/>
      <c r="N67" s="207" t="s">
        <v>129</v>
      </c>
      <c r="P67" s="203" t="s">
        <v>354</v>
      </c>
      <c r="Q67" s="204"/>
      <c r="R67" s="205"/>
      <c r="S67" s="206"/>
      <c r="T67" s="207" t="s">
        <v>129</v>
      </c>
      <c r="V67" s="203" t="s">
        <v>354</v>
      </c>
      <c r="W67" s="204"/>
      <c r="X67" s="205"/>
      <c r="Y67" s="206"/>
      <c r="Z67" s="207" t="s">
        <v>129</v>
      </c>
      <c r="AB67" s="203" t="s">
        <v>354</v>
      </c>
      <c r="AC67" s="204"/>
      <c r="AD67" s="205"/>
      <c r="AE67" s="206"/>
      <c r="AF67" s="207" t="s">
        <v>129</v>
      </c>
      <c r="AH67" s="203" t="s">
        <v>354</v>
      </c>
      <c r="AI67" s="204"/>
      <c r="AJ67" s="205"/>
      <c r="AK67" s="206"/>
      <c r="AL67" s="207" t="s">
        <v>129</v>
      </c>
      <c r="AN67" s="203" t="s">
        <v>354</v>
      </c>
      <c r="AO67" s="204"/>
      <c r="AP67" s="205"/>
      <c r="AQ67" s="206"/>
      <c r="AR67" s="207" t="s">
        <v>129</v>
      </c>
      <c r="AT67" s="203" t="s">
        <v>354</v>
      </c>
      <c r="AU67" s="204"/>
      <c r="AV67" s="205"/>
      <c r="AW67" s="206"/>
      <c r="AX67" s="207" t="s">
        <v>129</v>
      </c>
      <c r="AZ67" s="203" t="s">
        <v>354</v>
      </c>
      <c r="BA67" s="204"/>
      <c r="BB67" s="205"/>
      <c r="BC67" s="206"/>
      <c r="BD67" s="207" t="s">
        <v>129</v>
      </c>
      <c r="BF67" s="203" t="s">
        <v>354</v>
      </c>
      <c r="BG67" s="204"/>
      <c r="BH67" s="205"/>
      <c r="BI67" s="206"/>
      <c r="BJ67" s="207" t="s">
        <v>129</v>
      </c>
    </row>
    <row r="68" spans="4:62" x14ac:dyDescent="0.2">
      <c r="D68" s="208" t="s">
        <v>55</v>
      </c>
      <c r="E68" s="209" t="s">
        <v>56</v>
      </c>
      <c r="F68" s="209" t="s">
        <v>127</v>
      </c>
      <c r="G68" s="210" t="s">
        <v>128</v>
      </c>
      <c r="H68" s="211">
        <f>+'ISR '!H28</f>
        <v>15</v>
      </c>
      <c r="J68" s="208" t="s">
        <v>55</v>
      </c>
      <c r="K68" s="209" t="s">
        <v>56</v>
      </c>
      <c r="L68" s="209" t="s">
        <v>127</v>
      </c>
      <c r="M68" s="210" t="s">
        <v>128</v>
      </c>
      <c r="N68" s="211">
        <f>+'ISR '!H29</f>
        <v>15</v>
      </c>
      <c r="P68" s="208" t="s">
        <v>55</v>
      </c>
      <c r="Q68" s="209" t="s">
        <v>56</v>
      </c>
      <c r="R68" s="209" t="s">
        <v>127</v>
      </c>
      <c r="S68" s="210" t="s">
        <v>128</v>
      </c>
      <c r="T68" s="211">
        <f>+'ISR '!H30</f>
        <v>15</v>
      </c>
      <c r="V68" s="208" t="s">
        <v>55</v>
      </c>
      <c r="W68" s="209" t="s">
        <v>56</v>
      </c>
      <c r="X68" s="209" t="s">
        <v>127</v>
      </c>
      <c r="Y68" s="210" t="s">
        <v>128</v>
      </c>
      <c r="Z68" s="211">
        <f>+'ISR '!H31</f>
        <v>15</v>
      </c>
      <c r="AB68" s="208" t="s">
        <v>55</v>
      </c>
      <c r="AC68" s="209" t="s">
        <v>56</v>
      </c>
      <c r="AD68" s="209" t="s">
        <v>127</v>
      </c>
      <c r="AE68" s="210" t="s">
        <v>128</v>
      </c>
      <c r="AF68" s="211">
        <f>+'ISR '!H32</f>
        <v>15</v>
      </c>
      <c r="AH68" s="208" t="s">
        <v>55</v>
      </c>
      <c r="AI68" s="209" t="s">
        <v>56</v>
      </c>
      <c r="AJ68" s="209" t="s">
        <v>127</v>
      </c>
      <c r="AK68" s="210" t="s">
        <v>128</v>
      </c>
      <c r="AL68" s="211">
        <f>+'ISR '!H33</f>
        <v>15</v>
      </c>
      <c r="AN68" s="208" t="s">
        <v>55</v>
      </c>
      <c r="AO68" s="209" t="s">
        <v>56</v>
      </c>
      <c r="AP68" s="209" t="s">
        <v>127</v>
      </c>
      <c r="AQ68" s="210" t="s">
        <v>128</v>
      </c>
      <c r="AR68" s="211">
        <f>+'ISR '!H34</f>
        <v>15</v>
      </c>
      <c r="AT68" s="208" t="s">
        <v>55</v>
      </c>
      <c r="AU68" s="209" t="s">
        <v>56</v>
      </c>
      <c r="AV68" s="209" t="s">
        <v>127</v>
      </c>
      <c r="AW68" s="210" t="s">
        <v>128</v>
      </c>
      <c r="AX68" s="211">
        <f>+'ISR '!H35</f>
        <v>15</v>
      </c>
      <c r="AZ68" s="208" t="s">
        <v>55</v>
      </c>
      <c r="BA68" s="209" t="s">
        <v>56</v>
      </c>
      <c r="BB68" s="209" t="s">
        <v>127</v>
      </c>
      <c r="BC68" s="210" t="s">
        <v>128</v>
      </c>
      <c r="BD68" s="211">
        <f>+'ISR '!H36</f>
        <v>15</v>
      </c>
      <c r="BF68" s="208" t="s">
        <v>55</v>
      </c>
      <c r="BG68" s="209" t="s">
        <v>56</v>
      </c>
      <c r="BH68" s="209" t="s">
        <v>127</v>
      </c>
      <c r="BI68" s="210" t="s">
        <v>128</v>
      </c>
      <c r="BJ68" s="211">
        <f>+'ISR '!H37</f>
        <v>15</v>
      </c>
    </row>
    <row r="69" spans="4:62" x14ac:dyDescent="0.2">
      <c r="D69" s="212" t="s">
        <v>57</v>
      </c>
      <c r="E69" s="41" t="s">
        <v>57</v>
      </c>
      <c r="F69" s="41" t="s">
        <v>57</v>
      </c>
      <c r="G69" s="41" t="s">
        <v>54</v>
      </c>
      <c r="H69" s="213"/>
      <c r="J69" s="212" t="s">
        <v>57</v>
      </c>
      <c r="K69" s="41" t="s">
        <v>57</v>
      </c>
      <c r="L69" s="41" t="s">
        <v>57</v>
      </c>
      <c r="M69" s="41" t="s">
        <v>54</v>
      </c>
      <c r="N69" s="213"/>
      <c r="P69" s="212" t="s">
        <v>57</v>
      </c>
      <c r="Q69" s="41" t="s">
        <v>57</v>
      </c>
      <c r="R69" s="41" t="s">
        <v>57</v>
      </c>
      <c r="S69" s="41" t="s">
        <v>54</v>
      </c>
      <c r="T69" s="213"/>
      <c r="V69" s="212" t="s">
        <v>57</v>
      </c>
      <c r="W69" s="41" t="s">
        <v>57</v>
      </c>
      <c r="X69" s="41" t="s">
        <v>57</v>
      </c>
      <c r="Y69" s="41" t="s">
        <v>54</v>
      </c>
      <c r="Z69" s="213"/>
      <c r="AB69" s="212" t="s">
        <v>57</v>
      </c>
      <c r="AC69" s="41" t="s">
        <v>57</v>
      </c>
      <c r="AD69" s="41" t="s">
        <v>57</v>
      </c>
      <c r="AE69" s="41" t="s">
        <v>54</v>
      </c>
      <c r="AF69" s="213"/>
      <c r="AH69" s="212" t="s">
        <v>57</v>
      </c>
      <c r="AI69" s="41" t="s">
        <v>57</v>
      </c>
      <c r="AJ69" s="41" t="s">
        <v>57</v>
      </c>
      <c r="AK69" s="41" t="s">
        <v>54</v>
      </c>
      <c r="AL69" s="213"/>
      <c r="AN69" s="212" t="s">
        <v>57</v>
      </c>
      <c r="AO69" s="41" t="s">
        <v>57</v>
      </c>
      <c r="AP69" s="41" t="s">
        <v>57</v>
      </c>
      <c r="AQ69" s="41" t="s">
        <v>54</v>
      </c>
      <c r="AR69" s="213"/>
      <c r="AT69" s="212" t="s">
        <v>57</v>
      </c>
      <c r="AU69" s="41" t="s">
        <v>57</v>
      </c>
      <c r="AV69" s="41" t="s">
        <v>57</v>
      </c>
      <c r="AW69" s="41" t="s">
        <v>54</v>
      </c>
      <c r="AX69" s="213"/>
      <c r="AZ69" s="212" t="s">
        <v>57</v>
      </c>
      <c r="BA69" s="41" t="s">
        <v>57</v>
      </c>
      <c r="BB69" s="41" t="s">
        <v>57</v>
      </c>
      <c r="BC69" s="41" t="s">
        <v>54</v>
      </c>
      <c r="BD69" s="213"/>
      <c r="BF69" s="212" t="s">
        <v>57</v>
      </c>
      <c r="BG69" s="41" t="s">
        <v>57</v>
      </c>
      <c r="BH69" s="41" t="s">
        <v>57</v>
      </c>
      <c r="BI69" s="41" t="s">
        <v>54</v>
      </c>
      <c r="BJ69" s="213"/>
    </row>
    <row r="70" spans="4:62" x14ac:dyDescent="0.2">
      <c r="D70" s="212">
        <v>0.01</v>
      </c>
      <c r="E70" s="41">
        <f>24.54*H68</f>
        <v>368.09999999999997</v>
      </c>
      <c r="F70" s="41">
        <v>0</v>
      </c>
      <c r="G70" s="214">
        <f>192%/100</f>
        <v>1.9199999999999998E-2</v>
      </c>
      <c r="H70" s="213"/>
      <c r="J70" s="212">
        <v>0.01</v>
      </c>
      <c r="K70" s="41">
        <f>24.54*N68</f>
        <v>368.09999999999997</v>
      </c>
      <c r="L70" s="41">
        <v>0</v>
      </c>
      <c r="M70" s="214">
        <f>192%/100</f>
        <v>1.9199999999999998E-2</v>
      </c>
      <c r="N70" s="213"/>
      <c r="P70" s="212">
        <v>0.01</v>
      </c>
      <c r="Q70" s="41">
        <f>24.54*T68</f>
        <v>368.09999999999997</v>
      </c>
      <c r="R70" s="41">
        <v>0</v>
      </c>
      <c r="S70" s="214">
        <f>192%/100</f>
        <v>1.9199999999999998E-2</v>
      </c>
      <c r="T70" s="213"/>
      <c r="V70" s="212">
        <v>0.01</v>
      </c>
      <c r="W70" s="41">
        <f>24.54*Z68</f>
        <v>368.09999999999997</v>
      </c>
      <c r="X70" s="41">
        <v>0</v>
      </c>
      <c r="Y70" s="214">
        <f>192%/100</f>
        <v>1.9199999999999998E-2</v>
      </c>
      <c r="Z70" s="213"/>
      <c r="AB70" s="212">
        <v>0.01</v>
      </c>
      <c r="AC70" s="41">
        <f>24.54*AF68</f>
        <v>368.09999999999997</v>
      </c>
      <c r="AD70" s="41">
        <v>0</v>
      </c>
      <c r="AE70" s="214">
        <f>192%/100</f>
        <v>1.9199999999999998E-2</v>
      </c>
      <c r="AF70" s="213"/>
      <c r="AH70" s="212">
        <v>0.01</v>
      </c>
      <c r="AI70" s="41">
        <f>24.54*AL68</f>
        <v>368.09999999999997</v>
      </c>
      <c r="AJ70" s="41">
        <v>0</v>
      </c>
      <c r="AK70" s="214">
        <f>192%/100</f>
        <v>1.9199999999999998E-2</v>
      </c>
      <c r="AL70" s="213"/>
      <c r="AN70" s="212">
        <v>0.01</v>
      </c>
      <c r="AO70" s="41">
        <f>24.54*AR68</f>
        <v>368.09999999999997</v>
      </c>
      <c r="AP70" s="41">
        <v>0</v>
      </c>
      <c r="AQ70" s="214">
        <f>192%/100</f>
        <v>1.9199999999999998E-2</v>
      </c>
      <c r="AR70" s="213"/>
      <c r="AT70" s="212">
        <v>0.01</v>
      </c>
      <c r="AU70" s="41">
        <f>24.54*AX68</f>
        <v>368.09999999999997</v>
      </c>
      <c r="AV70" s="41">
        <v>0</v>
      </c>
      <c r="AW70" s="214">
        <f>192%/100</f>
        <v>1.9199999999999998E-2</v>
      </c>
      <c r="AX70" s="213"/>
      <c r="AZ70" s="212">
        <v>0.01</v>
      </c>
      <c r="BA70" s="41">
        <f>24.54*BD68</f>
        <v>368.09999999999997</v>
      </c>
      <c r="BB70" s="41">
        <v>0</v>
      </c>
      <c r="BC70" s="214">
        <f>192%/100</f>
        <v>1.9199999999999998E-2</v>
      </c>
      <c r="BD70" s="213"/>
      <c r="BF70" s="212">
        <v>0.01</v>
      </c>
      <c r="BG70" s="41">
        <f>24.54*BJ68</f>
        <v>368.09999999999997</v>
      </c>
      <c r="BH70" s="41">
        <v>0</v>
      </c>
      <c r="BI70" s="214">
        <f>192%/100</f>
        <v>1.9199999999999998E-2</v>
      </c>
      <c r="BJ70" s="213"/>
    </row>
    <row r="71" spans="4:62" x14ac:dyDescent="0.2">
      <c r="D71" s="212">
        <f>+E70+0.01</f>
        <v>368.10999999999996</v>
      </c>
      <c r="E71" s="41">
        <f>208.29*H68</f>
        <v>3124.35</v>
      </c>
      <c r="F71" s="41">
        <f>0.47*H68</f>
        <v>7.05</v>
      </c>
      <c r="G71" s="214">
        <f>640%/100</f>
        <v>6.4000000000000001E-2</v>
      </c>
      <c r="H71" s="213"/>
      <c r="J71" s="212">
        <f>+K70+0.01</f>
        <v>368.10999999999996</v>
      </c>
      <c r="K71" s="41">
        <f>208.29*N68</f>
        <v>3124.35</v>
      </c>
      <c r="L71" s="41">
        <f>0.47*N68</f>
        <v>7.05</v>
      </c>
      <c r="M71" s="214">
        <f>640%/100</f>
        <v>6.4000000000000001E-2</v>
      </c>
      <c r="N71" s="213"/>
      <c r="P71" s="212">
        <f>+Q70+0.01</f>
        <v>368.10999999999996</v>
      </c>
      <c r="Q71" s="41">
        <f>208.29*T68</f>
        <v>3124.35</v>
      </c>
      <c r="R71" s="41">
        <f>0.47*T68</f>
        <v>7.05</v>
      </c>
      <c r="S71" s="214">
        <f>640%/100</f>
        <v>6.4000000000000001E-2</v>
      </c>
      <c r="T71" s="213"/>
      <c r="V71" s="212">
        <f>+W70+0.01</f>
        <v>368.10999999999996</v>
      </c>
      <c r="W71" s="41">
        <f>208.29*Z68</f>
        <v>3124.35</v>
      </c>
      <c r="X71" s="41">
        <f>0.47*Z68</f>
        <v>7.05</v>
      </c>
      <c r="Y71" s="214">
        <f>640%/100</f>
        <v>6.4000000000000001E-2</v>
      </c>
      <c r="Z71" s="213"/>
      <c r="AB71" s="212">
        <f>+AC70+0.01</f>
        <v>368.10999999999996</v>
      </c>
      <c r="AC71" s="41">
        <f>208.29*AF68</f>
        <v>3124.35</v>
      </c>
      <c r="AD71" s="41">
        <f>0.47*AF68</f>
        <v>7.05</v>
      </c>
      <c r="AE71" s="214">
        <f>640%/100</f>
        <v>6.4000000000000001E-2</v>
      </c>
      <c r="AF71" s="213"/>
      <c r="AH71" s="212">
        <f>+AI70+0.01</f>
        <v>368.10999999999996</v>
      </c>
      <c r="AI71" s="41">
        <f>208.29*AL68</f>
        <v>3124.35</v>
      </c>
      <c r="AJ71" s="41">
        <f>0.47*AL68</f>
        <v>7.05</v>
      </c>
      <c r="AK71" s="214">
        <f>640%/100</f>
        <v>6.4000000000000001E-2</v>
      </c>
      <c r="AL71" s="213"/>
      <c r="AN71" s="212">
        <f>+AO70+0.01</f>
        <v>368.10999999999996</v>
      </c>
      <c r="AO71" s="41">
        <f>208.29*AR68</f>
        <v>3124.35</v>
      </c>
      <c r="AP71" s="41">
        <f>0.47*AR68</f>
        <v>7.05</v>
      </c>
      <c r="AQ71" s="214">
        <f>640%/100</f>
        <v>6.4000000000000001E-2</v>
      </c>
      <c r="AR71" s="213"/>
      <c r="AT71" s="212">
        <f>+AU70+0.01</f>
        <v>368.10999999999996</v>
      </c>
      <c r="AU71" s="41">
        <f>208.29*AX68</f>
        <v>3124.35</v>
      </c>
      <c r="AV71" s="41">
        <f>0.47*AX68</f>
        <v>7.05</v>
      </c>
      <c r="AW71" s="214">
        <f>640%/100</f>
        <v>6.4000000000000001E-2</v>
      </c>
      <c r="AX71" s="213"/>
      <c r="AZ71" s="212">
        <f>+BA70+0.01</f>
        <v>368.10999999999996</v>
      </c>
      <c r="BA71" s="41">
        <f>208.29*BD68</f>
        <v>3124.35</v>
      </c>
      <c r="BB71" s="41">
        <f>0.47*BD68</f>
        <v>7.05</v>
      </c>
      <c r="BC71" s="214">
        <f>640%/100</f>
        <v>6.4000000000000001E-2</v>
      </c>
      <c r="BD71" s="213"/>
      <c r="BF71" s="212">
        <f>+BG70+0.01</f>
        <v>368.10999999999996</v>
      </c>
      <c r="BG71" s="41">
        <f>208.29*BJ68</f>
        <v>3124.35</v>
      </c>
      <c r="BH71" s="41">
        <f>0.47*BJ68</f>
        <v>7.05</v>
      </c>
      <c r="BI71" s="214">
        <f>640%/100</f>
        <v>6.4000000000000001E-2</v>
      </c>
      <c r="BJ71" s="213"/>
    </row>
    <row r="72" spans="4:62" x14ac:dyDescent="0.2">
      <c r="D72" s="212">
        <f>+E71+0.01</f>
        <v>3124.36</v>
      </c>
      <c r="E72" s="41">
        <f>366.05*H68</f>
        <v>5490.75</v>
      </c>
      <c r="F72" s="41">
        <f>12.23*H68</f>
        <v>183.45000000000002</v>
      </c>
      <c r="G72" s="214">
        <f>1088%/100</f>
        <v>0.10880000000000001</v>
      </c>
      <c r="H72" s="213"/>
      <c r="J72" s="212">
        <f>+K71+0.01</f>
        <v>3124.36</v>
      </c>
      <c r="K72" s="41">
        <f>366.05*N68</f>
        <v>5490.75</v>
      </c>
      <c r="L72" s="41">
        <f>12.23*N68</f>
        <v>183.45000000000002</v>
      </c>
      <c r="M72" s="214">
        <f>1088%/100</f>
        <v>0.10880000000000001</v>
      </c>
      <c r="N72" s="213"/>
      <c r="P72" s="212">
        <f>+Q71+0.01</f>
        <v>3124.36</v>
      </c>
      <c r="Q72" s="41">
        <f>366.05*T68</f>
        <v>5490.75</v>
      </c>
      <c r="R72" s="41">
        <f>12.23*T68</f>
        <v>183.45000000000002</v>
      </c>
      <c r="S72" s="214">
        <f>1088%/100</f>
        <v>0.10880000000000001</v>
      </c>
      <c r="T72" s="213"/>
      <c r="V72" s="212">
        <f>+W71+0.01</f>
        <v>3124.36</v>
      </c>
      <c r="W72" s="41">
        <f>366.05*Z68</f>
        <v>5490.75</v>
      </c>
      <c r="X72" s="41">
        <f>12.23*Z68</f>
        <v>183.45000000000002</v>
      </c>
      <c r="Y72" s="214">
        <f>1088%/100</f>
        <v>0.10880000000000001</v>
      </c>
      <c r="Z72" s="213"/>
      <c r="AB72" s="212">
        <f>+AC71+0.01</f>
        <v>3124.36</v>
      </c>
      <c r="AC72" s="41">
        <f>366.05*AF68</f>
        <v>5490.75</v>
      </c>
      <c r="AD72" s="41">
        <f>12.23*AF68</f>
        <v>183.45000000000002</v>
      </c>
      <c r="AE72" s="214">
        <f>1088%/100</f>
        <v>0.10880000000000001</v>
      </c>
      <c r="AF72" s="213"/>
      <c r="AH72" s="212">
        <f>+AI71+0.01</f>
        <v>3124.36</v>
      </c>
      <c r="AI72" s="41">
        <f>366.05*AL68</f>
        <v>5490.75</v>
      </c>
      <c r="AJ72" s="41">
        <f>12.23*AL68</f>
        <v>183.45000000000002</v>
      </c>
      <c r="AK72" s="214">
        <f>1088%/100</f>
        <v>0.10880000000000001</v>
      </c>
      <c r="AL72" s="213"/>
      <c r="AN72" s="212">
        <f>+AO71+0.01</f>
        <v>3124.36</v>
      </c>
      <c r="AO72" s="41">
        <f>366.05*AR68</f>
        <v>5490.75</v>
      </c>
      <c r="AP72" s="41">
        <f>12.23*AR68</f>
        <v>183.45000000000002</v>
      </c>
      <c r="AQ72" s="214">
        <f>1088%/100</f>
        <v>0.10880000000000001</v>
      </c>
      <c r="AR72" s="213"/>
      <c r="AT72" s="212">
        <f>+AU71+0.01</f>
        <v>3124.36</v>
      </c>
      <c r="AU72" s="41">
        <f>366.05*AX68</f>
        <v>5490.75</v>
      </c>
      <c r="AV72" s="41">
        <f>12.23*AX68</f>
        <v>183.45000000000002</v>
      </c>
      <c r="AW72" s="214">
        <f>1088%/100</f>
        <v>0.10880000000000001</v>
      </c>
      <c r="AX72" s="213"/>
      <c r="AZ72" s="212">
        <f>+BA71+0.01</f>
        <v>3124.36</v>
      </c>
      <c r="BA72" s="41">
        <f>366.05*BD68</f>
        <v>5490.75</v>
      </c>
      <c r="BB72" s="41">
        <f>12.23*BD68</f>
        <v>183.45000000000002</v>
      </c>
      <c r="BC72" s="214">
        <f>1088%/100</f>
        <v>0.10880000000000001</v>
      </c>
      <c r="BD72" s="213"/>
      <c r="BF72" s="212">
        <f>+BG71+0.01</f>
        <v>3124.36</v>
      </c>
      <c r="BG72" s="41">
        <f>366.05*BJ68</f>
        <v>5490.75</v>
      </c>
      <c r="BH72" s="41">
        <f>12.23*BJ68</f>
        <v>183.45000000000002</v>
      </c>
      <c r="BI72" s="214">
        <f>1088%/100</f>
        <v>0.10880000000000001</v>
      </c>
      <c r="BJ72" s="213"/>
    </row>
    <row r="73" spans="4:62" x14ac:dyDescent="0.2">
      <c r="D73" s="212">
        <f t="shared" ref="D73:D78" si="20">+E72+0.01</f>
        <v>5490.76</v>
      </c>
      <c r="E73" s="41">
        <f>425.52*H68</f>
        <v>6382.7999999999993</v>
      </c>
      <c r="F73" s="41">
        <f>29.4*H68</f>
        <v>441</v>
      </c>
      <c r="G73" s="214">
        <f>1600%/100</f>
        <v>0.16</v>
      </c>
      <c r="H73" s="213"/>
      <c r="J73" s="212">
        <f t="shared" ref="J73:J78" si="21">+K72+0.01</f>
        <v>5490.76</v>
      </c>
      <c r="K73" s="41">
        <f>425.52*N68</f>
        <v>6382.7999999999993</v>
      </c>
      <c r="L73" s="41">
        <f>29.4*N68</f>
        <v>441</v>
      </c>
      <c r="M73" s="214">
        <f>1600%/100</f>
        <v>0.16</v>
      </c>
      <c r="N73" s="213"/>
      <c r="P73" s="212">
        <f t="shared" ref="P73:P78" si="22">+Q72+0.01</f>
        <v>5490.76</v>
      </c>
      <c r="Q73" s="41">
        <f>425.52*T68</f>
        <v>6382.7999999999993</v>
      </c>
      <c r="R73" s="41">
        <f>29.4*T68</f>
        <v>441</v>
      </c>
      <c r="S73" s="214">
        <f>1600%/100</f>
        <v>0.16</v>
      </c>
      <c r="T73" s="213"/>
      <c r="V73" s="212">
        <f t="shared" ref="V73:V78" si="23">+W72+0.01</f>
        <v>5490.76</v>
      </c>
      <c r="W73" s="41">
        <f>425.52*Z68</f>
        <v>6382.7999999999993</v>
      </c>
      <c r="X73" s="41">
        <f>29.4*Z68</f>
        <v>441</v>
      </c>
      <c r="Y73" s="214">
        <f>1600%/100</f>
        <v>0.16</v>
      </c>
      <c r="Z73" s="213"/>
      <c r="AB73" s="212">
        <f t="shared" ref="AB73:AB78" si="24">+AC72+0.01</f>
        <v>5490.76</v>
      </c>
      <c r="AC73" s="41">
        <f>425.52*AF68</f>
        <v>6382.7999999999993</v>
      </c>
      <c r="AD73" s="41">
        <f>29.4*AF68</f>
        <v>441</v>
      </c>
      <c r="AE73" s="214">
        <f>1600%/100</f>
        <v>0.16</v>
      </c>
      <c r="AF73" s="213"/>
      <c r="AH73" s="212">
        <f t="shared" ref="AH73:AH78" si="25">+AI72+0.01</f>
        <v>5490.76</v>
      </c>
      <c r="AI73" s="41">
        <f>425.52*AL68</f>
        <v>6382.7999999999993</v>
      </c>
      <c r="AJ73" s="41">
        <f>29.4*AL68</f>
        <v>441</v>
      </c>
      <c r="AK73" s="214">
        <f>1600%/100</f>
        <v>0.16</v>
      </c>
      <c r="AL73" s="213"/>
      <c r="AN73" s="212">
        <f t="shared" ref="AN73:AN78" si="26">+AO72+0.01</f>
        <v>5490.76</v>
      </c>
      <c r="AO73" s="41">
        <f>425.52*AR68</f>
        <v>6382.7999999999993</v>
      </c>
      <c r="AP73" s="41">
        <f>29.4*AR68</f>
        <v>441</v>
      </c>
      <c r="AQ73" s="214">
        <f>1600%/100</f>
        <v>0.16</v>
      </c>
      <c r="AR73" s="213"/>
      <c r="AT73" s="212">
        <f t="shared" ref="AT73:AT78" si="27">+AU72+0.01</f>
        <v>5490.76</v>
      </c>
      <c r="AU73" s="41">
        <f>425.52*AX68</f>
        <v>6382.7999999999993</v>
      </c>
      <c r="AV73" s="41">
        <f>29.4*AX68</f>
        <v>441</v>
      </c>
      <c r="AW73" s="214">
        <f>1600%/100</f>
        <v>0.16</v>
      </c>
      <c r="AX73" s="213"/>
      <c r="AZ73" s="212">
        <f t="shared" ref="AZ73:AZ78" si="28">+BA72+0.01</f>
        <v>5490.76</v>
      </c>
      <c r="BA73" s="41">
        <f>425.52*BD68</f>
        <v>6382.7999999999993</v>
      </c>
      <c r="BB73" s="41">
        <f>29.4*BD68</f>
        <v>441</v>
      </c>
      <c r="BC73" s="214">
        <f>1600%/100</f>
        <v>0.16</v>
      </c>
      <c r="BD73" s="213"/>
      <c r="BF73" s="212">
        <f t="shared" ref="BF73:BF78" si="29">+BG72+0.01</f>
        <v>5490.76</v>
      </c>
      <c r="BG73" s="41">
        <f>425.52*BJ68</f>
        <v>6382.7999999999993</v>
      </c>
      <c r="BH73" s="41">
        <f>29.4*BJ68</f>
        <v>441</v>
      </c>
      <c r="BI73" s="214">
        <f>1600%/100</f>
        <v>0.16</v>
      </c>
      <c r="BJ73" s="213"/>
    </row>
    <row r="74" spans="4:62" x14ac:dyDescent="0.2">
      <c r="D74" s="212">
        <f t="shared" si="20"/>
        <v>6382.8099999999995</v>
      </c>
      <c r="E74" s="41">
        <f>509.46*H68</f>
        <v>7641.9</v>
      </c>
      <c r="F74" s="41">
        <f>38.91*H68</f>
        <v>583.65</v>
      </c>
      <c r="G74" s="214">
        <f>1792%/100</f>
        <v>0.17920000000000003</v>
      </c>
      <c r="H74" s="213"/>
      <c r="J74" s="212">
        <f t="shared" si="21"/>
        <v>6382.8099999999995</v>
      </c>
      <c r="K74" s="41">
        <f>509.46*N68</f>
        <v>7641.9</v>
      </c>
      <c r="L74" s="41">
        <f>38.91*N68</f>
        <v>583.65</v>
      </c>
      <c r="M74" s="214">
        <f>1792%/100</f>
        <v>0.17920000000000003</v>
      </c>
      <c r="N74" s="213"/>
      <c r="P74" s="212">
        <f t="shared" si="22"/>
        <v>6382.8099999999995</v>
      </c>
      <c r="Q74" s="41">
        <f>509.46*T68</f>
        <v>7641.9</v>
      </c>
      <c r="R74" s="41">
        <f>38.91*T68</f>
        <v>583.65</v>
      </c>
      <c r="S74" s="214">
        <f>1792%/100</f>
        <v>0.17920000000000003</v>
      </c>
      <c r="T74" s="213"/>
      <c r="V74" s="212">
        <f t="shared" si="23"/>
        <v>6382.8099999999995</v>
      </c>
      <c r="W74" s="41">
        <f>509.46*Z68</f>
        <v>7641.9</v>
      </c>
      <c r="X74" s="41">
        <f>38.91*Z68</f>
        <v>583.65</v>
      </c>
      <c r="Y74" s="214">
        <f>1792%/100</f>
        <v>0.17920000000000003</v>
      </c>
      <c r="Z74" s="213"/>
      <c r="AB74" s="212">
        <f t="shared" si="24"/>
        <v>6382.8099999999995</v>
      </c>
      <c r="AC74" s="41">
        <f>509.46*AF68</f>
        <v>7641.9</v>
      </c>
      <c r="AD74" s="41">
        <f>38.91*AF68</f>
        <v>583.65</v>
      </c>
      <c r="AE74" s="214">
        <f>1792%/100</f>
        <v>0.17920000000000003</v>
      </c>
      <c r="AF74" s="213"/>
      <c r="AH74" s="212">
        <f t="shared" si="25"/>
        <v>6382.8099999999995</v>
      </c>
      <c r="AI74" s="41">
        <f>509.46*AL68</f>
        <v>7641.9</v>
      </c>
      <c r="AJ74" s="41">
        <f>38.91*AL68</f>
        <v>583.65</v>
      </c>
      <c r="AK74" s="214">
        <f>1792%/100</f>
        <v>0.17920000000000003</v>
      </c>
      <c r="AL74" s="213"/>
      <c r="AN74" s="212">
        <f t="shared" si="26"/>
        <v>6382.8099999999995</v>
      </c>
      <c r="AO74" s="41">
        <f>509.46*AR68</f>
        <v>7641.9</v>
      </c>
      <c r="AP74" s="41">
        <f>38.91*AR68</f>
        <v>583.65</v>
      </c>
      <c r="AQ74" s="214">
        <f>1792%/100</f>
        <v>0.17920000000000003</v>
      </c>
      <c r="AR74" s="213"/>
      <c r="AT74" s="212">
        <f t="shared" si="27"/>
        <v>6382.8099999999995</v>
      </c>
      <c r="AU74" s="41">
        <f>509.46*AX68</f>
        <v>7641.9</v>
      </c>
      <c r="AV74" s="41">
        <f>38.91*AX68</f>
        <v>583.65</v>
      </c>
      <c r="AW74" s="214">
        <f>1792%/100</f>
        <v>0.17920000000000003</v>
      </c>
      <c r="AX74" s="213"/>
      <c r="AZ74" s="212">
        <f t="shared" si="28"/>
        <v>6382.8099999999995</v>
      </c>
      <c r="BA74" s="41">
        <f>509.46*BD68</f>
        <v>7641.9</v>
      </c>
      <c r="BB74" s="41">
        <f>38.91*BD68</f>
        <v>583.65</v>
      </c>
      <c r="BC74" s="214">
        <f>1792%/100</f>
        <v>0.17920000000000003</v>
      </c>
      <c r="BD74" s="213"/>
      <c r="BF74" s="212">
        <f t="shared" si="29"/>
        <v>6382.8099999999995</v>
      </c>
      <c r="BG74" s="41">
        <f>509.46*BJ68</f>
        <v>7641.9</v>
      </c>
      <c r="BH74" s="41">
        <f>38.91*BJ68</f>
        <v>583.65</v>
      </c>
      <c r="BI74" s="214">
        <f>1792%/100</f>
        <v>0.17920000000000003</v>
      </c>
      <c r="BJ74" s="213"/>
    </row>
    <row r="75" spans="4:62" x14ac:dyDescent="0.2">
      <c r="D75" s="212">
        <f t="shared" si="20"/>
        <v>7641.91</v>
      </c>
      <c r="E75" s="41">
        <f>1027.52*H68</f>
        <v>15412.8</v>
      </c>
      <c r="F75" s="41">
        <f>53.95*H68</f>
        <v>809.25</v>
      </c>
      <c r="G75" s="214">
        <f>2136%/100</f>
        <v>0.21359999999999998</v>
      </c>
      <c r="H75" s="213"/>
      <c r="J75" s="212">
        <f t="shared" si="21"/>
        <v>7641.91</v>
      </c>
      <c r="K75" s="41">
        <f>1027.52*N68</f>
        <v>15412.8</v>
      </c>
      <c r="L75" s="41">
        <f>53.95*N68</f>
        <v>809.25</v>
      </c>
      <c r="M75" s="214">
        <f>2136%/100</f>
        <v>0.21359999999999998</v>
      </c>
      <c r="N75" s="213"/>
      <c r="P75" s="212">
        <f t="shared" si="22"/>
        <v>7641.91</v>
      </c>
      <c r="Q75" s="41">
        <f>1027.52*T68</f>
        <v>15412.8</v>
      </c>
      <c r="R75" s="41">
        <f>53.95*T68</f>
        <v>809.25</v>
      </c>
      <c r="S75" s="214">
        <f>2136%/100</f>
        <v>0.21359999999999998</v>
      </c>
      <c r="T75" s="213"/>
      <c r="V75" s="212">
        <f t="shared" si="23"/>
        <v>7641.91</v>
      </c>
      <c r="W75" s="41">
        <f>1027.52*Z68</f>
        <v>15412.8</v>
      </c>
      <c r="X75" s="41">
        <f>53.95*Z68</f>
        <v>809.25</v>
      </c>
      <c r="Y75" s="214">
        <f>2136%/100</f>
        <v>0.21359999999999998</v>
      </c>
      <c r="Z75" s="213"/>
      <c r="AB75" s="212">
        <f t="shared" si="24"/>
        <v>7641.91</v>
      </c>
      <c r="AC75" s="41">
        <f>1027.52*AF68</f>
        <v>15412.8</v>
      </c>
      <c r="AD75" s="41">
        <f>53.95*AF68</f>
        <v>809.25</v>
      </c>
      <c r="AE75" s="214">
        <f>2136%/100</f>
        <v>0.21359999999999998</v>
      </c>
      <c r="AF75" s="213"/>
      <c r="AH75" s="212">
        <f t="shared" si="25"/>
        <v>7641.91</v>
      </c>
      <c r="AI75" s="41">
        <f>1027.52*AL68</f>
        <v>15412.8</v>
      </c>
      <c r="AJ75" s="41">
        <f>53.95*AL68</f>
        <v>809.25</v>
      </c>
      <c r="AK75" s="214">
        <f>2136%/100</f>
        <v>0.21359999999999998</v>
      </c>
      <c r="AL75" s="213"/>
      <c r="AN75" s="212">
        <f t="shared" si="26"/>
        <v>7641.91</v>
      </c>
      <c r="AO75" s="41">
        <f>1027.52*AR68</f>
        <v>15412.8</v>
      </c>
      <c r="AP75" s="41">
        <f>53.95*AR68</f>
        <v>809.25</v>
      </c>
      <c r="AQ75" s="214">
        <f>2136%/100</f>
        <v>0.21359999999999998</v>
      </c>
      <c r="AR75" s="213"/>
      <c r="AT75" s="212">
        <f t="shared" si="27"/>
        <v>7641.91</v>
      </c>
      <c r="AU75" s="41">
        <f>1027.52*AX68</f>
        <v>15412.8</v>
      </c>
      <c r="AV75" s="41">
        <f>53.95*AX68</f>
        <v>809.25</v>
      </c>
      <c r="AW75" s="214">
        <f>2136%/100</f>
        <v>0.21359999999999998</v>
      </c>
      <c r="AX75" s="213"/>
      <c r="AZ75" s="212">
        <f t="shared" si="28"/>
        <v>7641.91</v>
      </c>
      <c r="BA75" s="41">
        <f>1027.52*BD68</f>
        <v>15412.8</v>
      </c>
      <c r="BB75" s="41">
        <f>53.95*BD68</f>
        <v>809.25</v>
      </c>
      <c r="BC75" s="214">
        <f>2136%/100</f>
        <v>0.21359999999999998</v>
      </c>
      <c r="BD75" s="213"/>
      <c r="BF75" s="212">
        <f t="shared" si="29"/>
        <v>7641.91</v>
      </c>
      <c r="BG75" s="41">
        <f>1027.52*BJ68</f>
        <v>15412.8</v>
      </c>
      <c r="BH75" s="41">
        <f>53.95*BJ68</f>
        <v>809.25</v>
      </c>
      <c r="BI75" s="214">
        <f>2136%/100</f>
        <v>0.21359999999999998</v>
      </c>
      <c r="BJ75" s="213"/>
    </row>
    <row r="76" spans="4:62" x14ac:dyDescent="0.2">
      <c r="D76" s="212">
        <f t="shared" si="20"/>
        <v>15412.81</v>
      </c>
      <c r="E76" s="41">
        <f>1619.51*H68</f>
        <v>24292.65</v>
      </c>
      <c r="F76" s="41">
        <f>164.61*H68</f>
        <v>2469.15</v>
      </c>
      <c r="G76" s="214">
        <f>2352%/100</f>
        <v>0.23519999999999999</v>
      </c>
      <c r="H76" s="213"/>
      <c r="J76" s="212">
        <f t="shared" si="21"/>
        <v>15412.81</v>
      </c>
      <c r="K76" s="41">
        <f>1619.51*N68</f>
        <v>24292.65</v>
      </c>
      <c r="L76" s="41">
        <f>164.61*N68</f>
        <v>2469.15</v>
      </c>
      <c r="M76" s="214">
        <f>2352%/100</f>
        <v>0.23519999999999999</v>
      </c>
      <c r="N76" s="213"/>
      <c r="P76" s="212">
        <f t="shared" si="22"/>
        <v>15412.81</v>
      </c>
      <c r="Q76" s="41">
        <f>1619.51*T68</f>
        <v>24292.65</v>
      </c>
      <c r="R76" s="41">
        <f>164.61*T68</f>
        <v>2469.15</v>
      </c>
      <c r="S76" s="214">
        <f>2352%/100</f>
        <v>0.23519999999999999</v>
      </c>
      <c r="T76" s="213"/>
      <c r="V76" s="212">
        <f t="shared" si="23"/>
        <v>15412.81</v>
      </c>
      <c r="W76" s="41">
        <f>1619.51*Z68</f>
        <v>24292.65</v>
      </c>
      <c r="X76" s="41">
        <f>164.61*Z68</f>
        <v>2469.15</v>
      </c>
      <c r="Y76" s="214">
        <f>2352%/100</f>
        <v>0.23519999999999999</v>
      </c>
      <c r="Z76" s="213"/>
      <c r="AB76" s="212">
        <f t="shared" si="24"/>
        <v>15412.81</v>
      </c>
      <c r="AC76" s="41">
        <f>1619.51*AF68</f>
        <v>24292.65</v>
      </c>
      <c r="AD76" s="41">
        <f>164.61*AF68</f>
        <v>2469.15</v>
      </c>
      <c r="AE76" s="214">
        <f>2352%/100</f>
        <v>0.23519999999999999</v>
      </c>
      <c r="AF76" s="213"/>
      <c r="AH76" s="212">
        <f t="shared" si="25"/>
        <v>15412.81</v>
      </c>
      <c r="AI76" s="41">
        <f>1619.51*AL68</f>
        <v>24292.65</v>
      </c>
      <c r="AJ76" s="41">
        <f>164.61*AL68</f>
        <v>2469.15</v>
      </c>
      <c r="AK76" s="214">
        <f>2352%/100</f>
        <v>0.23519999999999999</v>
      </c>
      <c r="AL76" s="213"/>
      <c r="AN76" s="212">
        <f t="shared" si="26"/>
        <v>15412.81</v>
      </c>
      <c r="AO76" s="41">
        <f>1619.51*AR68</f>
        <v>24292.65</v>
      </c>
      <c r="AP76" s="41">
        <f>164.61*AR68</f>
        <v>2469.15</v>
      </c>
      <c r="AQ76" s="214">
        <f>2352%/100</f>
        <v>0.23519999999999999</v>
      </c>
      <c r="AR76" s="213"/>
      <c r="AT76" s="212">
        <f t="shared" si="27"/>
        <v>15412.81</v>
      </c>
      <c r="AU76" s="41">
        <f>1619.51*AX68</f>
        <v>24292.65</v>
      </c>
      <c r="AV76" s="41">
        <f>164.61*AX68</f>
        <v>2469.15</v>
      </c>
      <c r="AW76" s="214">
        <f>2352%/100</f>
        <v>0.23519999999999999</v>
      </c>
      <c r="AX76" s="213"/>
      <c r="AZ76" s="212">
        <f t="shared" si="28"/>
        <v>15412.81</v>
      </c>
      <c r="BA76" s="41">
        <f>1619.51*BD68</f>
        <v>24292.65</v>
      </c>
      <c r="BB76" s="41">
        <f>164.61*BD68</f>
        <v>2469.15</v>
      </c>
      <c r="BC76" s="214">
        <f>2352%/100</f>
        <v>0.23519999999999999</v>
      </c>
      <c r="BD76" s="213"/>
      <c r="BF76" s="212">
        <f t="shared" si="29"/>
        <v>15412.81</v>
      </c>
      <c r="BG76" s="41">
        <f>1619.51*BJ68</f>
        <v>24292.65</v>
      </c>
      <c r="BH76" s="41">
        <f>164.61*BJ68</f>
        <v>2469.15</v>
      </c>
      <c r="BI76" s="214">
        <f>2352%/100</f>
        <v>0.23519999999999999</v>
      </c>
      <c r="BJ76" s="213"/>
    </row>
    <row r="77" spans="4:62" x14ac:dyDescent="0.2">
      <c r="D77" s="212">
        <f t="shared" si="20"/>
        <v>24292.66</v>
      </c>
      <c r="E77" s="41">
        <f>3091.9*H68</f>
        <v>46378.5</v>
      </c>
      <c r="F77" s="41">
        <f>303.85*H68</f>
        <v>4557.75</v>
      </c>
      <c r="G77" s="214">
        <f>3000%/100</f>
        <v>0.3</v>
      </c>
      <c r="H77" s="213"/>
      <c r="J77" s="212">
        <f t="shared" si="21"/>
        <v>24292.66</v>
      </c>
      <c r="K77" s="41">
        <f>3091.9*N68</f>
        <v>46378.5</v>
      </c>
      <c r="L77" s="41">
        <f>303.85*N68</f>
        <v>4557.75</v>
      </c>
      <c r="M77" s="214">
        <f>3000%/100</f>
        <v>0.3</v>
      </c>
      <c r="N77" s="213"/>
      <c r="P77" s="212">
        <f t="shared" si="22"/>
        <v>24292.66</v>
      </c>
      <c r="Q77" s="41">
        <f>3091.9*T68</f>
        <v>46378.5</v>
      </c>
      <c r="R77" s="41">
        <f>303.85*T68</f>
        <v>4557.75</v>
      </c>
      <c r="S77" s="214">
        <f>3000%/100</f>
        <v>0.3</v>
      </c>
      <c r="T77" s="213"/>
      <c r="V77" s="212">
        <f t="shared" si="23"/>
        <v>24292.66</v>
      </c>
      <c r="W77" s="41">
        <f>3091.9*Z68</f>
        <v>46378.5</v>
      </c>
      <c r="X77" s="41">
        <f>303.85*Z68</f>
        <v>4557.75</v>
      </c>
      <c r="Y77" s="214">
        <f>3000%/100</f>
        <v>0.3</v>
      </c>
      <c r="Z77" s="213"/>
      <c r="AB77" s="212">
        <f t="shared" si="24"/>
        <v>24292.66</v>
      </c>
      <c r="AC77" s="41">
        <f>3091.9*AF68</f>
        <v>46378.5</v>
      </c>
      <c r="AD77" s="41">
        <f>303.85*AF68</f>
        <v>4557.75</v>
      </c>
      <c r="AE77" s="214">
        <f>3000%/100</f>
        <v>0.3</v>
      </c>
      <c r="AF77" s="213"/>
      <c r="AH77" s="212">
        <f t="shared" si="25"/>
        <v>24292.66</v>
      </c>
      <c r="AI77" s="41">
        <f>3091.9*AL68</f>
        <v>46378.5</v>
      </c>
      <c r="AJ77" s="41">
        <f>303.85*AL68</f>
        <v>4557.75</v>
      </c>
      <c r="AK77" s="214">
        <f>3000%/100</f>
        <v>0.3</v>
      </c>
      <c r="AL77" s="213"/>
      <c r="AN77" s="212">
        <f t="shared" si="26"/>
        <v>24292.66</v>
      </c>
      <c r="AO77" s="41">
        <f>3091.9*AR68</f>
        <v>46378.5</v>
      </c>
      <c r="AP77" s="41">
        <f>303.85*AR68</f>
        <v>4557.75</v>
      </c>
      <c r="AQ77" s="214">
        <f>3000%/100</f>
        <v>0.3</v>
      </c>
      <c r="AR77" s="213"/>
      <c r="AT77" s="212">
        <f t="shared" si="27"/>
        <v>24292.66</v>
      </c>
      <c r="AU77" s="41">
        <f>3091.9*AX68</f>
        <v>46378.5</v>
      </c>
      <c r="AV77" s="41">
        <f>303.85*AX68</f>
        <v>4557.75</v>
      </c>
      <c r="AW77" s="214">
        <f>3000%/100</f>
        <v>0.3</v>
      </c>
      <c r="AX77" s="213"/>
      <c r="AZ77" s="212">
        <f t="shared" si="28"/>
        <v>24292.66</v>
      </c>
      <c r="BA77" s="41">
        <f>3091.9*BD68</f>
        <v>46378.5</v>
      </c>
      <c r="BB77" s="41">
        <f>303.85*BD68</f>
        <v>4557.75</v>
      </c>
      <c r="BC77" s="214">
        <f>3000%/100</f>
        <v>0.3</v>
      </c>
      <c r="BD77" s="213"/>
      <c r="BF77" s="212">
        <f t="shared" si="29"/>
        <v>24292.66</v>
      </c>
      <c r="BG77" s="41">
        <f>3091.9*BJ68</f>
        <v>46378.5</v>
      </c>
      <c r="BH77" s="41">
        <f>303.85*BJ68</f>
        <v>4557.75</v>
      </c>
      <c r="BI77" s="214">
        <f>3000%/100</f>
        <v>0.3</v>
      </c>
      <c r="BJ77" s="213"/>
    </row>
    <row r="78" spans="4:62" x14ac:dyDescent="0.2">
      <c r="D78" s="212">
        <f t="shared" si="20"/>
        <v>46378.51</v>
      </c>
      <c r="E78" s="41">
        <f>4122.54*H68</f>
        <v>61838.1</v>
      </c>
      <c r="F78" s="41">
        <f>745.56*H68</f>
        <v>11183.4</v>
      </c>
      <c r="G78" s="214">
        <f>3200%/100</f>
        <v>0.32</v>
      </c>
      <c r="H78" s="213"/>
      <c r="J78" s="212">
        <f t="shared" si="21"/>
        <v>46378.51</v>
      </c>
      <c r="K78" s="41">
        <f>4122.54*N68</f>
        <v>61838.1</v>
      </c>
      <c r="L78" s="41">
        <f>745.56*N68</f>
        <v>11183.4</v>
      </c>
      <c r="M78" s="214">
        <f>3200%/100</f>
        <v>0.32</v>
      </c>
      <c r="N78" s="213"/>
      <c r="P78" s="212">
        <f t="shared" si="22"/>
        <v>46378.51</v>
      </c>
      <c r="Q78" s="41">
        <f>4122.54*T68</f>
        <v>61838.1</v>
      </c>
      <c r="R78" s="41">
        <f>745.56*T68</f>
        <v>11183.4</v>
      </c>
      <c r="S78" s="214">
        <f>3200%/100</f>
        <v>0.32</v>
      </c>
      <c r="T78" s="213"/>
      <c r="V78" s="212">
        <f t="shared" si="23"/>
        <v>46378.51</v>
      </c>
      <c r="W78" s="41">
        <f>4122.54*Z68</f>
        <v>61838.1</v>
      </c>
      <c r="X78" s="41">
        <f>745.56*Z68</f>
        <v>11183.4</v>
      </c>
      <c r="Y78" s="214">
        <f>3200%/100</f>
        <v>0.32</v>
      </c>
      <c r="Z78" s="213"/>
      <c r="AB78" s="212">
        <f t="shared" si="24"/>
        <v>46378.51</v>
      </c>
      <c r="AC78" s="41">
        <f>4122.54*AF68</f>
        <v>61838.1</v>
      </c>
      <c r="AD78" s="41">
        <f>745.56*AF68</f>
        <v>11183.4</v>
      </c>
      <c r="AE78" s="214">
        <f>3200%/100</f>
        <v>0.32</v>
      </c>
      <c r="AF78" s="213"/>
      <c r="AH78" s="212">
        <f t="shared" si="25"/>
        <v>46378.51</v>
      </c>
      <c r="AI78" s="41">
        <f>4122.54*AL68</f>
        <v>61838.1</v>
      </c>
      <c r="AJ78" s="41">
        <f>745.56*AL68</f>
        <v>11183.4</v>
      </c>
      <c r="AK78" s="214">
        <f>3200%/100</f>
        <v>0.32</v>
      </c>
      <c r="AL78" s="213"/>
      <c r="AN78" s="212">
        <f t="shared" si="26"/>
        <v>46378.51</v>
      </c>
      <c r="AO78" s="41">
        <f>4122.54*AR68</f>
        <v>61838.1</v>
      </c>
      <c r="AP78" s="41">
        <f>745.56*AR68</f>
        <v>11183.4</v>
      </c>
      <c r="AQ78" s="214">
        <f>3200%/100</f>
        <v>0.32</v>
      </c>
      <c r="AR78" s="213"/>
      <c r="AT78" s="212">
        <f t="shared" si="27"/>
        <v>46378.51</v>
      </c>
      <c r="AU78" s="41">
        <f>4122.54*AX68</f>
        <v>61838.1</v>
      </c>
      <c r="AV78" s="41">
        <f>745.56*AX68</f>
        <v>11183.4</v>
      </c>
      <c r="AW78" s="214">
        <f>3200%/100</f>
        <v>0.32</v>
      </c>
      <c r="AX78" s="213"/>
      <c r="AZ78" s="212">
        <f t="shared" si="28"/>
        <v>46378.51</v>
      </c>
      <c r="BA78" s="41">
        <f>4122.54*BD68</f>
        <v>61838.1</v>
      </c>
      <c r="BB78" s="41">
        <f>745.56*BD68</f>
        <v>11183.4</v>
      </c>
      <c r="BC78" s="214">
        <f>3200%/100</f>
        <v>0.32</v>
      </c>
      <c r="BD78" s="213"/>
      <c r="BF78" s="212">
        <f t="shared" si="29"/>
        <v>46378.51</v>
      </c>
      <c r="BG78" s="41">
        <f>4122.54*BJ68</f>
        <v>61838.1</v>
      </c>
      <c r="BH78" s="41">
        <f>745.56*BJ68</f>
        <v>11183.4</v>
      </c>
      <c r="BI78" s="214">
        <f>3200%/100</f>
        <v>0.32</v>
      </c>
      <c r="BJ78" s="213"/>
    </row>
    <row r="79" spans="4:62" x14ac:dyDescent="0.2">
      <c r="D79" s="212">
        <f>+E78+0.01</f>
        <v>61838.11</v>
      </c>
      <c r="E79" s="41">
        <f>12367.62*H68</f>
        <v>185514.30000000002</v>
      </c>
      <c r="F79" s="41">
        <f>1075.37*H68</f>
        <v>16130.55</v>
      </c>
      <c r="G79" s="214">
        <f>3400%/100</f>
        <v>0.34</v>
      </c>
      <c r="H79" s="213"/>
      <c r="J79" s="212">
        <f>+K78+0.01</f>
        <v>61838.11</v>
      </c>
      <c r="K79" s="41">
        <f>12367.62*N68</f>
        <v>185514.30000000002</v>
      </c>
      <c r="L79" s="41">
        <f>1075.37*N68</f>
        <v>16130.55</v>
      </c>
      <c r="M79" s="214">
        <f>3400%/100</f>
        <v>0.34</v>
      </c>
      <c r="N79" s="213"/>
      <c r="P79" s="212">
        <f>+Q78+0.01</f>
        <v>61838.11</v>
      </c>
      <c r="Q79" s="41">
        <f>12367.62*T68</f>
        <v>185514.30000000002</v>
      </c>
      <c r="R79" s="41">
        <f>1075.37*T68</f>
        <v>16130.55</v>
      </c>
      <c r="S79" s="214">
        <f>3400%/100</f>
        <v>0.34</v>
      </c>
      <c r="T79" s="213"/>
      <c r="V79" s="212">
        <f>+W78+0.01</f>
        <v>61838.11</v>
      </c>
      <c r="W79" s="41">
        <f>12367.62*Z68</f>
        <v>185514.30000000002</v>
      </c>
      <c r="X79" s="41">
        <f>1075.37*Z68</f>
        <v>16130.55</v>
      </c>
      <c r="Y79" s="214">
        <f>3400%/100</f>
        <v>0.34</v>
      </c>
      <c r="Z79" s="213"/>
      <c r="AB79" s="212">
        <f>+AC78+0.01</f>
        <v>61838.11</v>
      </c>
      <c r="AC79" s="41">
        <f>12367.62*AF68</f>
        <v>185514.30000000002</v>
      </c>
      <c r="AD79" s="41">
        <f>1075.37*AF68</f>
        <v>16130.55</v>
      </c>
      <c r="AE79" s="214">
        <f>3400%/100</f>
        <v>0.34</v>
      </c>
      <c r="AF79" s="213"/>
      <c r="AH79" s="212">
        <f>+AI78+0.01</f>
        <v>61838.11</v>
      </c>
      <c r="AI79" s="41">
        <f>12367.62*AL68</f>
        <v>185514.30000000002</v>
      </c>
      <c r="AJ79" s="41">
        <f>1075.37*AL68</f>
        <v>16130.55</v>
      </c>
      <c r="AK79" s="214">
        <f>3400%/100</f>
        <v>0.34</v>
      </c>
      <c r="AL79" s="213"/>
      <c r="AN79" s="212">
        <f>+AO78+0.01</f>
        <v>61838.11</v>
      </c>
      <c r="AO79" s="41">
        <f>12367.62*AR68</f>
        <v>185514.30000000002</v>
      </c>
      <c r="AP79" s="41">
        <f>1075.37*AR68</f>
        <v>16130.55</v>
      </c>
      <c r="AQ79" s="214">
        <f>3400%/100</f>
        <v>0.34</v>
      </c>
      <c r="AR79" s="213"/>
      <c r="AT79" s="212">
        <f>+AU78+0.01</f>
        <v>61838.11</v>
      </c>
      <c r="AU79" s="41">
        <f>12367.62*AX68</f>
        <v>185514.30000000002</v>
      </c>
      <c r="AV79" s="41">
        <f>1075.37*AX68</f>
        <v>16130.55</v>
      </c>
      <c r="AW79" s="214">
        <f>3400%/100</f>
        <v>0.34</v>
      </c>
      <c r="AX79" s="213"/>
      <c r="AZ79" s="212">
        <f>+BA78+0.01</f>
        <v>61838.11</v>
      </c>
      <c r="BA79" s="41">
        <f>12367.62*BD68</f>
        <v>185514.30000000002</v>
      </c>
      <c r="BB79" s="41">
        <f>1075.37*BD68</f>
        <v>16130.55</v>
      </c>
      <c r="BC79" s="214">
        <f>3400%/100</f>
        <v>0.34</v>
      </c>
      <c r="BD79" s="213"/>
      <c r="BF79" s="212">
        <f>+BG78+0.01</f>
        <v>61838.11</v>
      </c>
      <c r="BG79" s="41">
        <f>12367.62*BJ68</f>
        <v>185514.30000000002</v>
      </c>
      <c r="BH79" s="41">
        <f>1075.37*BJ68</f>
        <v>16130.55</v>
      </c>
      <c r="BI79" s="214">
        <f>3400%/100</f>
        <v>0.34</v>
      </c>
      <c r="BJ79" s="213"/>
    </row>
    <row r="80" spans="4:62" x14ac:dyDescent="0.2">
      <c r="D80" s="212">
        <f>+E79+0.01</f>
        <v>185514.31000000003</v>
      </c>
      <c r="E80" s="41" t="s">
        <v>58</v>
      </c>
      <c r="F80" s="41">
        <f>3878.69*H68</f>
        <v>58180.35</v>
      </c>
      <c r="G80" s="214">
        <f>3500%/100</f>
        <v>0.35</v>
      </c>
      <c r="H80" s="213"/>
      <c r="J80" s="212">
        <f>+K79+0.01</f>
        <v>185514.31000000003</v>
      </c>
      <c r="K80" s="41" t="s">
        <v>58</v>
      </c>
      <c r="L80" s="41">
        <f>3878.69*N68</f>
        <v>58180.35</v>
      </c>
      <c r="M80" s="214">
        <f>3500%/100</f>
        <v>0.35</v>
      </c>
      <c r="N80" s="213"/>
      <c r="P80" s="212">
        <f>+Q79+0.01</f>
        <v>185514.31000000003</v>
      </c>
      <c r="Q80" s="41" t="s">
        <v>58</v>
      </c>
      <c r="R80" s="41">
        <f>3878.69*T68</f>
        <v>58180.35</v>
      </c>
      <c r="S80" s="214">
        <f>3500%/100</f>
        <v>0.35</v>
      </c>
      <c r="T80" s="213"/>
      <c r="V80" s="212">
        <f>+W79+0.01</f>
        <v>185514.31000000003</v>
      </c>
      <c r="W80" s="41" t="s">
        <v>58</v>
      </c>
      <c r="X80" s="41">
        <f>3878.69*Z68</f>
        <v>58180.35</v>
      </c>
      <c r="Y80" s="214">
        <f>3500%/100</f>
        <v>0.35</v>
      </c>
      <c r="Z80" s="213"/>
      <c r="AB80" s="212">
        <f>+AC79+0.01</f>
        <v>185514.31000000003</v>
      </c>
      <c r="AC80" s="41" t="s">
        <v>58</v>
      </c>
      <c r="AD80" s="41">
        <f>3878.69*AF68</f>
        <v>58180.35</v>
      </c>
      <c r="AE80" s="214">
        <f>3500%/100</f>
        <v>0.35</v>
      </c>
      <c r="AF80" s="213"/>
      <c r="AH80" s="212">
        <f>+AI79+0.01</f>
        <v>185514.31000000003</v>
      </c>
      <c r="AI80" s="41" t="s">
        <v>58</v>
      </c>
      <c r="AJ80" s="41">
        <f>3878.69*AL68</f>
        <v>58180.35</v>
      </c>
      <c r="AK80" s="214">
        <f>3500%/100</f>
        <v>0.35</v>
      </c>
      <c r="AL80" s="213"/>
      <c r="AN80" s="212">
        <f>+AO79+0.01</f>
        <v>185514.31000000003</v>
      </c>
      <c r="AO80" s="41" t="s">
        <v>58</v>
      </c>
      <c r="AP80" s="41">
        <f>3878.69*AR68</f>
        <v>58180.35</v>
      </c>
      <c r="AQ80" s="214">
        <f>3500%/100</f>
        <v>0.35</v>
      </c>
      <c r="AR80" s="213"/>
      <c r="AT80" s="212">
        <f>+AU79+0.01</f>
        <v>185514.31000000003</v>
      </c>
      <c r="AU80" s="41" t="s">
        <v>58</v>
      </c>
      <c r="AV80" s="41">
        <f>3878.69*AX68</f>
        <v>58180.35</v>
      </c>
      <c r="AW80" s="214">
        <f>3500%/100</f>
        <v>0.35</v>
      </c>
      <c r="AX80" s="213"/>
      <c r="AZ80" s="212">
        <f>+BA79+0.01</f>
        <v>185514.31000000003</v>
      </c>
      <c r="BA80" s="41" t="s">
        <v>58</v>
      </c>
      <c r="BB80" s="41">
        <f>3878.69*BD68</f>
        <v>58180.35</v>
      </c>
      <c r="BC80" s="214">
        <f>3500%/100</f>
        <v>0.35</v>
      </c>
      <c r="BD80" s="213"/>
      <c r="BF80" s="212">
        <f>+BG79+0.01</f>
        <v>185514.31000000003</v>
      </c>
      <c r="BG80" s="41" t="s">
        <v>58</v>
      </c>
      <c r="BH80" s="41">
        <f>3878.69*BJ68</f>
        <v>58180.35</v>
      </c>
      <c r="BI80" s="214">
        <f>3500%/100</f>
        <v>0.35</v>
      </c>
      <c r="BJ80" s="213"/>
    </row>
    <row r="81" spans="4:62" x14ac:dyDescent="0.2">
      <c r="D81" s="212"/>
      <c r="G81" s="214"/>
      <c r="H81" s="213"/>
      <c r="J81" s="212"/>
      <c r="M81" s="214"/>
      <c r="N81" s="213"/>
      <c r="P81" s="212"/>
      <c r="S81" s="214"/>
      <c r="T81" s="213"/>
      <c r="V81" s="212"/>
      <c r="Y81" s="214"/>
      <c r="Z81" s="213"/>
      <c r="AB81" s="212"/>
      <c r="AE81" s="214"/>
      <c r="AF81" s="213"/>
      <c r="AH81" s="212"/>
      <c r="AK81" s="214"/>
      <c r="AL81" s="213"/>
      <c r="AN81" s="212"/>
      <c r="AQ81" s="214"/>
      <c r="AR81" s="213"/>
      <c r="AT81" s="212"/>
      <c r="AW81" s="214"/>
      <c r="AX81" s="213"/>
      <c r="AZ81" s="212"/>
      <c r="BC81" s="214"/>
      <c r="BD81" s="213"/>
      <c r="BF81" s="212"/>
      <c r="BI81" s="214"/>
      <c r="BJ81" s="213"/>
    </row>
    <row r="82" spans="4:62" x14ac:dyDescent="0.2">
      <c r="D82" s="208" t="s">
        <v>355</v>
      </c>
      <c r="E82" s="209"/>
      <c r="F82" s="209"/>
      <c r="G82" s="210"/>
      <c r="H82" s="215" t="s">
        <v>130</v>
      </c>
      <c r="J82" s="208" t="s">
        <v>355</v>
      </c>
      <c r="K82" s="209"/>
      <c r="L82" s="209"/>
      <c r="M82" s="210"/>
      <c r="N82" s="215" t="s">
        <v>130</v>
      </c>
      <c r="P82" s="208" t="s">
        <v>355</v>
      </c>
      <c r="Q82" s="209"/>
      <c r="R82" s="209"/>
      <c r="S82" s="210"/>
      <c r="T82" s="215" t="s">
        <v>130</v>
      </c>
      <c r="V82" s="208" t="s">
        <v>355</v>
      </c>
      <c r="W82" s="209"/>
      <c r="X82" s="209"/>
      <c r="Y82" s="210"/>
      <c r="Z82" s="215" t="s">
        <v>130</v>
      </c>
      <c r="AB82" s="208" t="s">
        <v>355</v>
      </c>
      <c r="AC82" s="209"/>
      <c r="AD82" s="209"/>
      <c r="AE82" s="210"/>
      <c r="AF82" s="215" t="s">
        <v>130</v>
      </c>
      <c r="AH82" s="208" t="s">
        <v>355</v>
      </c>
      <c r="AI82" s="209"/>
      <c r="AJ82" s="209"/>
      <c r="AK82" s="210"/>
      <c r="AL82" s="215" t="s">
        <v>130</v>
      </c>
      <c r="AN82" s="208" t="s">
        <v>355</v>
      </c>
      <c r="AO82" s="209"/>
      <c r="AP82" s="209"/>
      <c r="AQ82" s="210"/>
      <c r="AR82" s="215" t="s">
        <v>130</v>
      </c>
      <c r="AT82" s="208" t="s">
        <v>355</v>
      </c>
      <c r="AU82" s="209"/>
      <c r="AV82" s="209"/>
      <c r="AW82" s="210"/>
      <c r="AX82" s="215" t="s">
        <v>130</v>
      </c>
      <c r="AZ82" s="208" t="s">
        <v>355</v>
      </c>
      <c r="BA82" s="209"/>
      <c r="BB82" s="209"/>
      <c r="BC82" s="210"/>
      <c r="BD82" s="215" t="s">
        <v>130</v>
      </c>
      <c r="BF82" s="208" t="s">
        <v>355</v>
      </c>
      <c r="BG82" s="209"/>
      <c r="BH82" s="209"/>
      <c r="BI82" s="210"/>
      <c r="BJ82" s="215" t="s">
        <v>130</v>
      </c>
    </row>
    <row r="83" spans="4:62" x14ac:dyDescent="0.2">
      <c r="D83" s="212"/>
      <c r="G83" s="214"/>
      <c r="H83" s="213"/>
      <c r="J83" s="212"/>
      <c r="M83" s="214"/>
      <c r="N83" s="213"/>
      <c r="P83" s="212"/>
      <c r="S83" s="214"/>
      <c r="T83" s="213"/>
      <c r="V83" s="212"/>
      <c r="Y83" s="214"/>
      <c r="Z83" s="213"/>
      <c r="AB83" s="212"/>
      <c r="AE83" s="214"/>
      <c r="AF83" s="213"/>
      <c r="AH83" s="212"/>
      <c r="AK83" s="214"/>
      <c r="AL83" s="213"/>
      <c r="AN83" s="212"/>
      <c r="AQ83" s="214"/>
      <c r="AR83" s="213"/>
      <c r="AT83" s="212"/>
      <c r="AW83" s="214"/>
      <c r="AX83" s="213"/>
      <c r="AZ83" s="212"/>
      <c r="BC83" s="214"/>
      <c r="BD83" s="213"/>
      <c r="BF83" s="212"/>
      <c r="BI83" s="214"/>
      <c r="BJ83" s="213"/>
    </row>
    <row r="84" spans="4:62" ht="25.5" customHeight="1" x14ac:dyDescent="0.2">
      <c r="D84" s="216" t="s">
        <v>133</v>
      </c>
      <c r="E84" s="217" t="s">
        <v>132</v>
      </c>
      <c r="F84" s="217" t="s">
        <v>131</v>
      </c>
      <c r="G84" s="218"/>
      <c r="H84" s="211">
        <f>+H68</f>
        <v>15</v>
      </c>
      <c r="J84" s="216" t="s">
        <v>133</v>
      </c>
      <c r="K84" s="217" t="s">
        <v>132</v>
      </c>
      <c r="L84" s="217" t="s">
        <v>131</v>
      </c>
      <c r="M84" s="218"/>
      <c r="N84" s="211">
        <f>+N68</f>
        <v>15</v>
      </c>
      <c r="P84" s="216" t="s">
        <v>133</v>
      </c>
      <c r="Q84" s="217" t="s">
        <v>132</v>
      </c>
      <c r="R84" s="217" t="s">
        <v>131</v>
      </c>
      <c r="S84" s="218"/>
      <c r="T84" s="211">
        <f>+T68</f>
        <v>15</v>
      </c>
      <c r="V84" s="216" t="s">
        <v>133</v>
      </c>
      <c r="W84" s="217" t="s">
        <v>132</v>
      </c>
      <c r="X84" s="217" t="s">
        <v>131</v>
      </c>
      <c r="Y84" s="218"/>
      <c r="Z84" s="211">
        <f>+Z68</f>
        <v>15</v>
      </c>
      <c r="AB84" s="216" t="s">
        <v>133</v>
      </c>
      <c r="AC84" s="217" t="s">
        <v>132</v>
      </c>
      <c r="AD84" s="217" t="s">
        <v>131</v>
      </c>
      <c r="AE84" s="218"/>
      <c r="AF84" s="211">
        <f>+AF68</f>
        <v>15</v>
      </c>
      <c r="AH84" s="216" t="s">
        <v>133</v>
      </c>
      <c r="AI84" s="217" t="s">
        <v>132</v>
      </c>
      <c r="AJ84" s="217" t="s">
        <v>131</v>
      </c>
      <c r="AK84" s="218"/>
      <c r="AL84" s="211">
        <f>+AL68</f>
        <v>15</v>
      </c>
      <c r="AN84" s="216" t="s">
        <v>133</v>
      </c>
      <c r="AO84" s="217" t="s">
        <v>132</v>
      </c>
      <c r="AP84" s="217" t="s">
        <v>131</v>
      </c>
      <c r="AQ84" s="218"/>
      <c r="AR84" s="211">
        <f>+AR68</f>
        <v>15</v>
      </c>
      <c r="AT84" s="216" t="s">
        <v>133</v>
      </c>
      <c r="AU84" s="217" t="s">
        <v>132</v>
      </c>
      <c r="AV84" s="217" t="s">
        <v>131</v>
      </c>
      <c r="AW84" s="218"/>
      <c r="AX84" s="211">
        <f>+AX68</f>
        <v>15</v>
      </c>
      <c r="AZ84" s="216" t="s">
        <v>133</v>
      </c>
      <c r="BA84" s="217" t="s">
        <v>132</v>
      </c>
      <c r="BB84" s="217" t="s">
        <v>131</v>
      </c>
      <c r="BC84" s="218"/>
      <c r="BD84" s="211">
        <f>+BD68</f>
        <v>15</v>
      </c>
      <c r="BF84" s="216" t="s">
        <v>133</v>
      </c>
      <c r="BG84" s="217" t="s">
        <v>132</v>
      </c>
      <c r="BH84" s="217" t="s">
        <v>131</v>
      </c>
      <c r="BI84" s="218"/>
      <c r="BJ84" s="211">
        <f>+BJ68</f>
        <v>15</v>
      </c>
    </row>
    <row r="85" spans="4:62" x14ac:dyDescent="0.2">
      <c r="D85" s="212" t="s">
        <v>57</v>
      </c>
      <c r="E85" s="41" t="s">
        <v>57</v>
      </c>
      <c r="F85" s="41" t="s">
        <v>57</v>
      </c>
      <c r="G85" s="41"/>
      <c r="H85" s="213"/>
      <c r="J85" s="212" t="s">
        <v>57</v>
      </c>
      <c r="K85" s="41" t="s">
        <v>57</v>
      </c>
      <c r="L85" s="41" t="s">
        <v>57</v>
      </c>
      <c r="N85" s="213"/>
      <c r="P85" s="212" t="s">
        <v>57</v>
      </c>
      <c r="Q85" s="41" t="s">
        <v>57</v>
      </c>
      <c r="R85" s="41" t="s">
        <v>57</v>
      </c>
      <c r="T85" s="213"/>
      <c r="V85" s="212" t="s">
        <v>57</v>
      </c>
      <c r="W85" s="41" t="s">
        <v>57</v>
      </c>
      <c r="X85" s="41" t="s">
        <v>57</v>
      </c>
      <c r="Z85" s="213"/>
      <c r="AB85" s="212" t="s">
        <v>57</v>
      </c>
      <c r="AC85" s="41" t="s">
        <v>57</v>
      </c>
      <c r="AD85" s="41" t="s">
        <v>57</v>
      </c>
      <c r="AF85" s="213"/>
      <c r="AH85" s="212" t="s">
        <v>57</v>
      </c>
      <c r="AI85" s="41" t="s">
        <v>57</v>
      </c>
      <c r="AJ85" s="41" t="s">
        <v>57</v>
      </c>
      <c r="AL85" s="213"/>
      <c r="AN85" s="212" t="s">
        <v>57</v>
      </c>
      <c r="AO85" s="41" t="s">
        <v>57</v>
      </c>
      <c r="AP85" s="41" t="s">
        <v>57</v>
      </c>
      <c r="AR85" s="213"/>
      <c r="AT85" s="212" t="s">
        <v>57</v>
      </c>
      <c r="AU85" s="41" t="s">
        <v>57</v>
      </c>
      <c r="AV85" s="41" t="s">
        <v>57</v>
      </c>
      <c r="AX85" s="213"/>
      <c r="AZ85" s="212" t="s">
        <v>57</v>
      </c>
      <c r="BA85" s="41" t="s">
        <v>57</v>
      </c>
      <c r="BB85" s="41" t="s">
        <v>57</v>
      </c>
      <c r="BD85" s="213"/>
      <c r="BF85" s="212" t="s">
        <v>57</v>
      </c>
      <c r="BG85" s="41" t="s">
        <v>57</v>
      </c>
      <c r="BH85" s="41" t="s">
        <v>57</v>
      </c>
      <c r="BJ85" s="213"/>
    </row>
    <row r="86" spans="4:62" x14ac:dyDescent="0.2">
      <c r="D86" s="262">
        <v>0.01</v>
      </c>
      <c r="E86" s="41">
        <f>334.5723*H84</f>
        <v>5018.5844999999999</v>
      </c>
      <c r="F86" s="41">
        <f>15.6233*H84</f>
        <v>234.34950000000001</v>
      </c>
      <c r="G86" s="41"/>
      <c r="H86" s="213"/>
      <c r="J86" s="262">
        <v>0.01</v>
      </c>
      <c r="K86" s="41">
        <f>334.5723*N84</f>
        <v>5018.5844999999999</v>
      </c>
      <c r="L86" s="41">
        <f>15.6233*N84</f>
        <v>234.34950000000001</v>
      </c>
      <c r="N86" s="213"/>
      <c r="P86" s="262">
        <v>0.01</v>
      </c>
      <c r="Q86" s="41">
        <f>334.5723*T84</f>
        <v>5018.5844999999999</v>
      </c>
      <c r="R86" s="41">
        <f>15.6233*T84</f>
        <v>234.34950000000001</v>
      </c>
      <c r="T86" s="213"/>
      <c r="V86" s="262">
        <v>0.01</v>
      </c>
      <c r="W86" s="41">
        <f>334.5723*Z84</f>
        <v>5018.5844999999999</v>
      </c>
      <c r="X86" s="41">
        <f>15.6233*Z84</f>
        <v>234.34950000000001</v>
      </c>
      <c r="Z86" s="213"/>
      <c r="AB86" s="262">
        <v>0.01</v>
      </c>
      <c r="AC86" s="41">
        <f>334.5723*AF84</f>
        <v>5018.5844999999999</v>
      </c>
      <c r="AD86" s="41">
        <f>15.6233*AF84</f>
        <v>234.34950000000001</v>
      </c>
      <c r="AF86" s="213"/>
      <c r="AH86" s="262">
        <v>0.01</v>
      </c>
      <c r="AI86" s="41">
        <f>334.5723*AL84</f>
        <v>5018.5844999999999</v>
      </c>
      <c r="AJ86" s="41">
        <f>15.6233*AL84</f>
        <v>234.34950000000001</v>
      </c>
      <c r="AL86" s="213"/>
      <c r="AN86" s="262">
        <v>0.01</v>
      </c>
      <c r="AO86" s="41">
        <f>334.5723*AR84</f>
        <v>5018.5844999999999</v>
      </c>
      <c r="AP86" s="41">
        <f>15.6233*AR84</f>
        <v>234.34950000000001</v>
      </c>
      <c r="AR86" s="213"/>
      <c r="AT86" s="262">
        <v>0.01</v>
      </c>
      <c r="AU86" s="41">
        <f>334.5723*AX84</f>
        <v>5018.5844999999999</v>
      </c>
      <c r="AV86" s="41">
        <f>15.6233*AX84</f>
        <v>234.34950000000001</v>
      </c>
      <c r="AX86" s="213"/>
      <c r="AZ86" s="262">
        <v>0.01</v>
      </c>
      <c r="BA86" s="41">
        <f>334.5723*BD84</f>
        <v>5018.5844999999999</v>
      </c>
      <c r="BB86" s="41">
        <f>15.6233*BD84</f>
        <v>234.34950000000001</v>
      </c>
      <c r="BD86" s="213"/>
      <c r="BF86" s="262">
        <v>0.01</v>
      </c>
      <c r="BG86" s="41">
        <f>334.5723*BJ84</f>
        <v>5018.5844999999999</v>
      </c>
      <c r="BH86" s="41">
        <f>15.6233*BJ84</f>
        <v>234.34950000000001</v>
      </c>
      <c r="BJ86" s="213"/>
    </row>
    <row r="87" spans="4:62" x14ac:dyDescent="0.2">
      <c r="D87" s="212">
        <f>E86+0.01</f>
        <v>5018.5945000000002</v>
      </c>
      <c r="E87" s="41">
        <v>10171.02</v>
      </c>
      <c r="F87" s="213">
        <v>0</v>
      </c>
      <c r="G87" s="41"/>
      <c r="H87" s="213"/>
      <c r="J87" s="212">
        <f>K86+0.01</f>
        <v>5018.5945000000002</v>
      </c>
      <c r="K87" s="41">
        <v>10171.02</v>
      </c>
      <c r="L87" s="213">
        <v>0</v>
      </c>
      <c r="N87" s="213"/>
      <c r="P87" s="212">
        <f>Q86+0.01</f>
        <v>5018.5945000000002</v>
      </c>
      <c r="Q87" s="41">
        <v>10171.02</v>
      </c>
      <c r="R87" s="213">
        <v>0</v>
      </c>
      <c r="T87" s="213"/>
      <c r="V87" s="212">
        <f>W86+0.01</f>
        <v>5018.5945000000002</v>
      </c>
      <c r="W87" s="41">
        <v>10171.02</v>
      </c>
      <c r="X87" s="213">
        <v>0</v>
      </c>
      <c r="Z87" s="213"/>
      <c r="AB87" s="212">
        <f>AC86+0.01</f>
        <v>5018.5945000000002</v>
      </c>
      <c r="AC87" s="41">
        <v>10171.02</v>
      </c>
      <c r="AD87" s="213">
        <v>0</v>
      </c>
      <c r="AF87" s="213"/>
      <c r="AH87" s="212">
        <f>AI86+0.01</f>
        <v>5018.5945000000002</v>
      </c>
      <c r="AI87" s="41">
        <v>10171.02</v>
      </c>
      <c r="AJ87" s="213">
        <v>0</v>
      </c>
      <c r="AL87" s="213"/>
      <c r="AN87" s="212">
        <f>AO86+0.01</f>
        <v>5018.5945000000002</v>
      </c>
      <c r="AO87" s="41">
        <v>10171.02</v>
      </c>
      <c r="AP87" s="213">
        <v>0</v>
      </c>
      <c r="AR87" s="213"/>
      <c r="AT87" s="212">
        <f>AU86+0.01</f>
        <v>5018.5945000000002</v>
      </c>
      <c r="AU87" s="41">
        <v>10171.02</v>
      </c>
      <c r="AV87" s="213">
        <v>0</v>
      </c>
      <c r="AX87" s="213"/>
      <c r="AZ87" s="212">
        <f>BA86+0.01</f>
        <v>5018.5945000000002</v>
      </c>
      <c r="BA87" s="41">
        <v>10171.02</v>
      </c>
      <c r="BB87" s="213">
        <v>0</v>
      </c>
      <c r="BD87" s="213"/>
      <c r="BF87" s="212">
        <f>BG86+0.01</f>
        <v>5018.5945000000002</v>
      </c>
      <c r="BG87" s="41">
        <v>10171.02</v>
      </c>
      <c r="BH87" s="213">
        <v>0</v>
      </c>
      <c r="BJ87" s="213"/>
    </row>
    <row r="88" spans="4:62" x14ac:dyDescent="0.2">
      <c r="D88" s="212">
        <v>10171.030000000001</v>
      </c>
      <c r="E88" s="212">
        <v>10171.040000000001</v>
      </c>
      <c r="F88" s="213">
        <v>0</v>
      </c>
      <c r="G88" s="41"/>
      <c r="H88" s="213"/>
      <c r="J88" s="212">
        <v>10171.030000000001</v>
      </c>
      <c r="K88" s="212">
        <v>10171.040000000001</v>
      </c>
      <c r="L88" s="213">
        <v>0</v>
      </c>
      <c r="N88" s="213"/>
      <c r="P88" s="212">
        <v>10171.030000000001</v>
      </c>
      <c r="Q88" s="212">
        <v>10171.040000000001</v>
      </c>
      <c r="R88" s="213">
        <v>0</v>
      </c>
      <c r="T88" s="213"/>
      <c r="V88" s="212">
        <v>10171.030000000001</v>
      </c>
      <c r="W88" s="212">
        <v>10171.040000000001</v>
      </c>
      <c r="X88" s="213">
        <v>0</v>
      </c>
      <c r="Z88" s="213"/>
      <c r="AB88" s="212">
        <v>10171.030000000001</v>
      </c>
      <c r="AC88" s="212">
        <v>10171.040000000001</v>
      </c>
      <c r="AD88" s="213">
        <v>0</v>
      </c>
      <c r="AF88" s="213"/>
      <c r="AH88" s="212">
        <v>10171.030000000001</v>
      </c>
      <c r="AI88" s="212">
        <v>10171.040000000001</v>
      </c>
      <c r="AJ88" s="213">
        <v>0</v>
      </c>
      <c r="AL88" s="213"/>
      <c r="AN88" s="212">
        <v>10171.030000000001</v>
      </c>
      <c r="AO88" s="212">
        <v>10171.040000000001</v>
      </c>
      <c r="AP88" s="213">
        <v>0</v>
      </c>
      <c r="AR88" s="213"/>
      <c r="AT88" s="212">
        <v>10171.030000000001</v>
      </c>
      <c r="AU88" s="212">
        <v>10171.040000000001</v>
      </c>
      <c r="AV88" s="213">
        <v>0</v>
      </c>
      <c r="AX88" s="213"/>
      <c r="AZ88" s="212">
        <v>10171.030000000001</v>
      </c>
      <c r="BA88" s="212">
        <v>10171.040000000001</v>
      </c>
      <c r="BB88" s="213">
        <v>0</v>
      </c>
      <c r="BD88" s="213"/>
      <c r="BF88" s="212">
        <v>10171.030000000001</v>
      </c>
      <c r="BG88" s="212">
        <v>10171.040000000001</v>
      </c>
      <c r="BH88" s="213">
        <v>0</v>
      </c>
      <c r="BJ88" s="213"/>
    </row>
    <row r="89" spans="4:62" x14ac:dyDescent="0.2">
      <c r="D89" s="212">
        <v>10171.049999999999</v>
      </c>
      <c r="E89" s="212">
        <v>10171.06</v>
      </c>
      <c r="F89" s="213">
        <v>0</v>
      </c>
      <c r="G89" s="41"/>
      <c r="H89" s="213"/>
      <c r="J89" s="212">
        <v>10171.049999999999</v>
      </c>
      <c r="K89" s="212">
        <v>10171.06</v>
      </c>
      <c r="L89" s="213">
        <v>0</v>
      </c>
      <c r="N89" s="213"/>
      <c r="P89" s="212">
        <v>10171.049999999999</v>
      </c>
      <c r="Q89" s="212">
        <v>10171.06</v>
      </c>
      <c r="R89" s="213">
        <v>0</v>
      </c>
      <c r="T89" s="213"/>
      <c r="V89" s="212">
        <v>10171.049999999999</v>
      </c>
      <c r="W89" s="212">
        <v>10171.06</v>
      </c>
      <c r="X89" s="213">
        <v>0</v>
      </c>
      <c r="Z89" s="213"/>
      <c r="AB89" s="212">
        <v>10171.049999999999</v>
      </c>
      <c r="AC89" s="212">
        <v>10171.06</v>
      </c>
      <c r="AD89" s="213">
        <v>0</v>
      </c>
      <c r="AF89" s="213"/>
      <c r="AH89" s="212">
        <v>10171.049999999999</v>
      </c>
      <c r="AI89" s="212">
        <v>10171.06</v>
      </c>
      <c r="AJ89" s="213">
        <v>0</v>
      </c>
      <c r="AL89" s="213"/>
      <c r="AN89" s="212">
        <v>10171.049999999999</v>
      </c>
      <c r="AO89" s="212">
        <v>10171.06</v>
      </c>
      <c r="AP89" s="213">
        <v>0</v>
      </c>
      <c r="AR89" s="213"/>
      <c r="AT89" s="212">
        <v>10171.049999999999</v>
      </c>
      <c r="AU89" s="212">
        <v>10171.06</v>
      </c>
      <c r="AV89" s="213">
        <v>0</v>
      </c>
      <c r="AX89" s="213"/>
      <c r="AZ89" s="212">
        <v>10171.049999999999</v>
      </c>
      <c r="BA89" s="212">
        <v>10171.06</v>
      </c>
      <c r="BB89" s="213">
        <v>0</v>
      </c>
      <c r="BD89" s="213"/>
      <c r="BF89" s="212">
        <v>10171.049999999999</v>
      </c>
      <c r="BG89" s="212">
        <v>10171.06</v>
      </c>
      <c r="BH89" s="213">
        <v>0</v>
      </c>
      <c r="BJ89" s="213"/>
    </row>
    <row r="90" spans="4:62" x14ac:dyDescent="0.2">
      <c r="D90" s="212">
        <v>10171.07</v>
      </c>
      <c r="E90" s="212">
        <v>10171.08</v>
      </c>
      <c r="F90" s="213">
        <v>0</v>
      </c>
      <c r="G90" s="41"/>
      <c r="H90" s="213"/>
      <c r="J90" s="212">
        <v>10171.07</v>
      </c>
      <c r="K90" s="212">
        <v>10171.08</v>
      </c>
      <c r="L90" s="213">
        <v>0</v>
      </c>
      <c r="N90" s="213"/>
      <c r="P90" s="212">
        <v>10171.07</v>
      </c>
      <c r="Q90" s="212">
        <v>10171.08</v>
      </c>
      <c r="R90" s="213">
        <v>0</v>
      </c>
      <c r="T90" s="213"/>
      <c r="V90" s="212">
        <v>10171.07</v>
      </c>
      <c r="W90" s="212">
        <v>10171.08</v>
      </c>
      <c r="X90" s="213">
        <v>0</v>
      </c>
      <c r="Z90" s="213"/>
      <c r="AB90" s="212">
        <v>10171.07</v>
      </c>
      <c r="AC90" s="212">
        <v>10171.08</v>
      </c>
      <c r="AD90" s="213">
        <v>0</v>
      </c>
      <c r="AF90" s="213"/>
      <c r="AH90" s="212">
        <v>10171.07</v>
      </c>
      <c r="AI90" s="212">
        <v>10171.08</v>
      </c>
      <c r="AJ90" s="213">
        <v>0</v>
      </c>
      <c r="AL90" s="213"/>
      <c r="AN90" s="212">
        <v>10171.07</v>
      </c>
      <c r="AO90" s="212">
        <v>10171.08</v>
      </c>
      <c r="AP90" s="213">
        <v>0</v>
      </c>
      <c r="AR90" s="213"/>
      <c r="AT90" s="212">
        <v>10171.07</v>
      </c>
      <c r="AU90" s="212">
        <v>10171.08</v>
      </c>
      <c r="AV90" s="213">
        <v>0</v>
      </c>
      <c r="AX90" s="213"/>
      <c r="AZ90" s="212">
        <v>10171.07</v>
      </c>
      <c r="BA90" s="212">
        <v>10171.08</v>
      </c>
      <c r="BB90" s="213">
        <v>0</v>
      </c>
      <c r="BD90" s="213"/>
      <c r="BF90" s="212">
        <v>10171.07</v>
      </c>
      <c r="BG90" s="212">
        <v>10171.08</v>
      </c>
      <c r="BH90" s="213">
        <v>0</v>
      </c>
      <c r="BJ90" s="213"/>
    </row>
    <row r="91" spans="4:62" x14ac:dyDescent="0.2">
      <c r="D91" s="212">
        <v>10171.09</v>
      </c>
      <c r="E91" s="212">
        <v>10171.1</v>
      </c>
      <c r="F91" s="213">
        <v>0</v>
      </c>
      <c r="G91" s="41"/>
      <c r="H91" s="213"/>
      <c r="J91" s="212">
        <v>10171.09</v>
      </c>
      <c r="K91" s="212">
        <v>10171.1</v>
      </c>
      <c r="L91" s="213">
        <v>0</v>
      </c>
      <c r="N91" s="213"/>
      <c r="P91" s="212">
        <v>10171.09</v>
      </c>
      <c r="Q91" s="212">
        <v>10171.1</v>
      </c>
      <c r="R91" s="213">
        <v>0</v>
      </c>
      <c r="T91" s="213"/>
      <c r="V91" s="212">
        <v>10171.09</v>
      </c>
      <c r="W91" s="212">
        <v>10171.1</v>
      </c>
      <c r="X91" s="213">
        <v>0</v>
      </c>
      <c r="Z91" s="213"/>
      <c r="AB91" s="212">
        <v>10171.09</v>
      </c>
      <c r="AC91" s="212">
        <v>10171.1</v>
      </c>
      <c r="AD91" s="213">
        <v>0</v>
      </c>
      <c r="AF91" s="213"/>
      <c r="AH91" s="212">
        <v>10171.09</v>
      </c>
      <c r="AI91" s="212">
        <v>10171.1</v>
      </c>
      <c r="AJ91" s="213">
        <v>0</v>
      </c>
      <c r="AL91" s="213"/>
      <c r="AN91" s="212">
        <v>10171.09</v>
      </c>
      <c r="AO91" s="212">
        <v>10171.1</v>
      </c>
      <c r="AP91" s="213">
        <v>0</v>
      </c>
      <c r="AR91" s="213"/>
      <c r="AT91" s="212">
        <v>10171.09</v>
      </c>
      <c r="AU91" s="212">
        <v>10171.1</v>
      </c>
      <c r="AV91" s="213">
        <v>0</v>
      </c>
      <c r="AX91" s="213"/>
      <c r="AZ91" s="212">
        <v>10171.09</v>
      </c>
      <c r="BA91" s="212">
        <v>10171.1</v>
      </c>
      <c r="BB91" s="213">
        <v>0</v>
      </c>
      <c r="BD91" s="213"/>
      <c r="BF91" s="212">
        <v>10171.09</v>
      </c>
      <c r="BG91" s="212">
        <v>10171.1</v>
      </c>
      <c r="BH91" s="213">
        <v>0</v>
      </c>
      <c r="BJ91" s="213"/>
    </row>
    <row r="92" spans="4:62" x14ac:dyDescent="0.2">
      <c r="D92" s="212">
        <v>10171.11</v>
      </c>
      <c r="E92" s="212">
        <v>10171.120000000001</v>
      </c>
      <c r="F92" s="213">
        <v>0</v>
      </c>
      <c r="G92" s="41"/>
      <c r="H92" s="213"/>
      <c r="J92" s="212">
        <v>10171.11</v>
      </c>
      <c r="K92" s="212">
        <v>10171.120000000001</v>
      </c>
      <c r="L92" s="213">
        <v>0</v>
      </c>
      <c r="N92" s="213"/>
      <c r="P92" s="212">
        <v>10171.11</v>
      </c>
      <c r="Q92" s="212">
        <v>10171.120000000001</v>
      </c>
      <c r="R92" s="213">
        <v>0</v>
      </c>
      <c r="T92" s="213"/>
      <c r="V92" s="212">
        <v>10171.11</v>
      </c>
      <c r="W92" s="212">
        <v>10171.120000000001</v>
      </c>
      <c r="X92" s="213">
        <v>0</v>
      </c>
      <c r="Z92" s="213"/>
      <c r="AB92" s="212">
        <v>10171.11</v>
      </c>
      <c r="AC92" s="212">
        <v>10171.120000000001</v>
      </c>
      <c r="AD92" s="213">
        <v>0</v>
      </c>
      <c r="AF92" s="213"/>
      <c r="AH92" s="212">
        <v>10171.11</v>
      </c>
      <c r="AI92" s="212">
        <v>10171.120000000001</v>
      </c>
      <c r="AJ92" s="213">
        <v>0</v>
      </c>
      <c r="AL92" s="213"/>
      <c r="AN92" s="212">
        <v>10171.11</v>
      </c>
      <c r="AO92" s="212">
        <v>10171.120000000001</v>
      </c>
      <c r="AP92" s="213">
        <v>0</v>
      </c>
      <c r="AR92" s="213"/>
      <c r="AT92" s="212">
        <v>10171.11</v>
      </c>
      <c r="AU92" s="212">
        <v>10171.120000000001</v>
      </c>
      <c r="AV92" s="213">
        <v>0</v>
      </c>
      <c r="AX92" s="213"/>
      <c r="AZ92" s="212">
        <v>10171.11</v>
      </c>
      <c r="BA92" s="212">
        <v>10171.120000000001</v>
      </c>
      <c r="BB92" s="213">
        <v>0</v>
      </c>
      <c r="BD92" s="213"/>
      <c r="BF92" s="212">
        <v>10171.11</v>
      </c>
      <c r="BG92" s="212">
        <v>10171.120000000001</v>
      </c>
      <c r="BH92" s="213">
        <v>0</v>
      </c>
      <c r="BJ92" s="213"/>
    </row>
    <row r="93" spans="4:62" x14ac:dyDescent="0.2">
      <c r="D93" s="212">
        <v>10171.129999999999</v>
      </c>
      <c r="E93" s="212">
        <v>10171.14</v>
      </c>
      <c r="F93" s="213">
        <v>0</v>
      </c>
      <c r="G93" s="41"/>
      <c r="H93" s="213"/>
      <c r="J93" s="212">
        <v>10171.129999999999</v>
      </c>
      <c r="K93" s="212">
        <v>10171.14</v>
      </c>
      <c r="L93" s="213">
        <v>0</v>
      </c>
      <c r="N93" s="213"/>
      <c r="P93" s="212">
        <v>10171.129999999999</v>
      </c>
      <c r="Q93" s="212">
        <v>10171.14</v>
      </c>
      <c r="R93" s="213">
        <v>0</v>
      </c>
      <c r="T93" s="213"/>
      <c r="V93" s="212">
        <v>10171.129999999999</v>
      </c>
      <c r="W93" s="212">
        <v>10171.14</v>
      </c>
      <c r="X93" s="213">
        <v>0</v>
      </c>
      <c r="Z93" s="213"/>
      <c r="AB93" s="212">
        <v>10171.129999999999</v>
      </c>
      <c r="AC93" s="212">
        <v>10171.14</v>
      </c>
      <c r="AD93" s="213">
        <v>0</v>
      </c>
      <c r="AF93" s="213"/>
      <c r="AH93" s="212">
        <v>10171.129999999999</v>
      </c>
      <c r="AI93" s="212">
        <v>10171.14</v>
      </c>
      <c r="AJ93" s="213">
        <v>0</v>
      </c>
      <c r="AL93" s="213"/>
      <c r="AN93" s="212">
        <v>10171.129999999999</v>
      </c>
      <c r="AO93" s="212">
        <v>10171.14</v>
      </c>
      <c r="AP93" s="213">
        <v>0</v>
      </c>
      <c r="AR93" s="213"/>
      <c r="AT93" s="212">
        <v>10171.129999999999</v>
      </c>
      <c r="AU93" s="212">
        <v>10171.14</v>
      </c>
      <c r="AV93" s="213">
        <v>0</v>
      </c>
      <c r="AX93" s="213"/>
      <c r="AZ93" s="212">
        <v>10171.129999999999</v>
      </c>
      <c r="BA93" s="212">
        <v>10171.14</v>
      </c>
      <c r="BB93" s="213">
        <v>0</v>
      </c>
      <c r="BD93" s="213"/>
      <c r="BF93" s="212">
        <v>10171.129999999999</v>
      </c>
      <c r="BG93" s="212">
        <v>10171.14</v>
      </c>
      <c r="BH93" s="213">
        <v>0</v>
      </c>
      <c r="BJ93" s="213"/>
    </row>
    <row r="94" spans="4:62" x14ac:dyDescent="0.2">
      <c r="D94" s="212">
        <v>10171.15</v>
      </c>
      <c r="E94" s="212">
        <v>10171.16</v>
      </c>
      <c r="F94" s="213">
        <v>0</v>
      </c>
      <c r="G94" s="41"/>
      <c r="H94" s="213"/>
      <c r="J94" s="212">
        <v>10171.15</v>
      </c>
      <c r="K94" s="212">
        <v>10171.16</v>
      </c>
      <c r="L94" s="213">
        <v>0</v>
      </c>
      <c r="N94" s="213"/>
      <c r="P94" s="212">
        <v>10171.15</v>
      </c>
      <c r="Q94" s="212">
        <v>10171.16</v>
      </c>
      <c r="R94" s="213">
        <v>0</v>
      </c>
      <c r="T94" s="213"/>
      <c r="V94" s="212">
        <v>10171.15</v>
      </c>
      <c r="W94" s="212">
        <v>10171.16</v>
      </c>
      <c r="X94" s="213">
        <v>0</v>
      </c>
      <c r="Z94" s="213"/>
      <c r="AB94" s="212">
        <v>10171.15</v>
      </c>
      <c r="AC94" s="212">
        <v>10171.16</v>
      </c>
      <c r="AD94" s="213">
        <v>0</v>
      </c>
      <c r="AF94" s="213"/>
      <c r="AH94" s="212">
        <v>10171.15</v>
      </c>
      <c r="AI94" s="212">
        <v>10171.16</v>
      </c>
      <c r="AJ94" s="213">
        <v>0</v>
      </c>
      <c r="AL94" s="213"/>
      <c r="AN94" s="212">
        <v>10171.15</v>
      </c>
      <c r="AO94" s="212">
        <v>10171.16</v>
      </c>
      <c r="AP94" s="213">
        <v>0</v>
      </c>
      <c r="AR94" s="213"/>
      <c r="AT94" s="212">
        <v>10171.15</v>
      </c>
      <c r="AU94" s="212">
        <v>10171.16</v>
      </c>
      <c r="AV94" s="213">
        <v>0</v>
      </c>
      <c r="AX94" s="213"/>
      <c r="AZ94" s="212">
        <v>10171.15</v>
      </c>
      <c r="BA94" s="212">
        <v>10171.16</v>
      </c>
      <c r="BB94" s="213">
        <v>0</v>
      </c>
      <c r="BD94" s="213"/>
      <c r="BF94" s="212">
        <v>10171.15</v>
      </c>
      <c r="BG94" s="212">
        <v>10171.16</v>
      </c>
      <c r="BH94" s="213">
        <v>0</v>
      </c>
      <c r="BJ94" s="213"/>
    </row>
    <row r="95" spans="4:62" x14ac:dyDescent="0.2">
      <c r="D95" s="212">
        <v>10171.17</v>
      </c>
      <c r="E95" s="212">
        <v>10171.18</v>
      </c>
      <c r="F95" s="213">
        <v>0</v>
      </c>
      <c r="G95" s="41"/>
      <c r="H95" s="213"/>
      <c r="J95" s="212">
        <v>10171.17</v>
      </c>
      <c r="K95" s="212">
        <v>10171.18</v>
      </c>
      <c r="L95" s="213">
        <v>0</v>
      </c>
      <c r="N95" s="213"/>
      <c r="P95" s="212">
        <v>10171.17</v>
      </c>
      <c r="Q95" s="212">
        <v>10171.18</v>
      </c>
      <c r="R95" s="213">
        <v>0</v>
      </c>
      <c r="T95" s="213"/>
      <c r="V95" s="212">
        <v>10171.17</v>
      </c>
      <c r="W95" s="212">
        <v>10171.18</v>
      </c>
      <c r="X95" s="213">
        <v>0</v>
      </c>
      <c r="Z95" s="213"/>
      <c r="AB95" s="212">
        <v>10171.17</v>
      </c>
      <c r="AC95" s="212">
        <v>10171.18</v>
      </c>
      <c r="AD95" s="213">
        <v>0</v>
      </c>
      <c r="AF95" s="213"/>
      <c r="AH95" s="212">
        <v>10171.17</v>
      </c>
      <c r="AI95" s="212">
        <v>10171.18</v>
      </c>
      <c r="AJ95" s="213">
        <v>0</v>
      </c>
      <c r="AL95" s="213"/>
      <c r="AN95" s="212">
        <v>10171.17</v>
      </c>
      <c r="AO95" s="212">
        <v>10171.18</v>
      </c>
      <c r="AP95" s="213">
        <v>0</v>
      </c>
      <c r="AR95" s="213"/>
      <c r="AT95" s="212">
        <v>10171.17</v>
      </c>
      <c r="AU95" s="212">
        <v>10171.18</v>
      </c>
      <c r="AV95" s="213">
        <v>0</v>
      </c>
      <c r="AX95" s="213"/>
      <c r="AZ95" s="212">
        <v>10171.17</v>
      </c>
      <c r="BA95" s="212">
        <v>10171.18</v>
      </c>
      <c r="BB95" s="213">
        <v>0</v>
      </c>
      <c r="BD95" s="213"/>
      <c r="BF95" s="212">
        <v>10171.17</v>
      </c>
      <c r="BG95" s="212">
        <v>10171.18</v>
      </c>
      <c r="BH95" s="213">
        <v>0</v>
      </c>
      <c r="BJ95" s="213"/>
    </row>
    <row r="96" spans="4:62" ht="13.5" thickBot="1" x14ac:dyDescent="0.25">
      <c r="D96" s="219">
        <v>10171.19</v>
      </c>
      <c r="E96" s="219">
        <v>999999999</v>
      </c>
      <c r="F96" s="221">
        <v>0</v>
      </c>
      <c r="G96" s="220"/>
      <c r="H96" s="221"/>
      <c r="J96" s="219">
        <v>10171.19</v>
      </c>
      <c r="K96" s="219">
        <v>999999999</v>
      </c>
      <c r="L96" s="221">
        <v>0</v>
      </c>
      <c r="M96" s="220"/>
      <c r="N96" s="221"/>
      <c r="P96" s="219">
        <v>10171.19</v>
      </c>
      <c r="Q96" s="219">
        <v>999999999</v>
      </c>
      <c r="R96" s="221">
        <v>0</v>
      </c>
      <c r="S96" s="220"/>
      <c r="T96" s="221"/>
      <c r="V96" s="219">
        <v>10171.19</v>
      </c>
      <c r="W96" s="219">
        <v>999999999</v>
      </c>
      <c r="X96" s="221">
        <v>0</v>
      </c>
      <c r="Y96" s="220"/>
      <c r="Z96" s="221"/>
      <c r="AB96" s="219">
        <v>10171.19</v>
      </c>
      <c r="AC96" s="219">
        <v>999999999</v>
      </c>
      <c r="AD96" s="221">
        <v>0</v>
      </c>
      <c r="AE96" s="220"/>
      <c r="AF96" s="221"/>
      <c r="AH96" s="219">
        <v>10171.19</v>
      </c>
      <c r="AI96" s="219">
        <v>999999999</v>
      </c>
      <c r="AJ96" s="221">
        <v>0</v>
      </c>
      <c r="AK96" s="220"/>
      <c r="AL96" s="221"/>
      <c r="AN96" s="219">
        <v>10171.19</v>
      </c>
      <c r="AO96" s="219">
        <v>999999999</v>
      </c>
      <c r="AP96" s="221">
        <v>0</v>
      </c>
      <c r="AQ96" s="220"/>
      <c r="AR96" s="221"/>
      <c r="AT96" s="219">
        <v>10171.19</v>
      </c>
      <c r="AU96" s="219">
        <v>999999999</v>
      </c>
      <c r="AV96" s="221">
        <v>0</v>
      </c>
      <c r="AW96" s="220"/>
      <c r="AX96" s="221"/>
      <c r="AZ96" s="219">
        <v>10171.19</v>
      </c>
      <c r="BA96" s="219">
        <v>999999999</v>
      </c>
      <c r="BB96" s="221">
        <v>0</v>
      </c>
      <c r="BC96" s="220"/>
      <c r="BD96" s="221"/>
      <c r="BF96" s="219">
        <v>10171.19</v>
      </c>
      <c r="BG96" s="219">
        <v>999999999</v>
      </c>
      <c r="BH96" s="221">
        <v>0</v>
      </c>
      <c r="BI96" s="220"/>
      <c r="BJ96" s="221"/>
    </row>
    <row r="98" spans="4:62" ht="16.5" thickBot="1" x14ac:dyDescent="0.3">
      <c r="D98" s="438" t="s">
        <v>168</v>
      </c>
      <c r="E98" s="438"/>
      <c r="F98" s="438"/>
      <c r="G98" s="438"/>
      <c r="H98" s="438"/>
      <c r="J98" s="438" t="s">
        <v>169</v>
      </c>
      <c r="K98" s="438"/>
      <c r="L98" s="438"/>
      <c r="M98" s="438"/>
      <c r="N98" s="438"/>
      <c r="P98" s="438" t="s">
        <v>170</v>
      </c>
      <c r="Q98" s="438"/>
      <c r="R98" s="438"/>
      <c r="S98" s="438"/>
      <c r="T98" s="438"/>
      <c r="V98" s="438" t="s">
        <v>171</v>
      </c>
      <c r="W98" s="438"/>
      <c r="X98" s="438"/>
      <c r="Y98" s="438"/>
      <c r="Z98" s="438"/>
      <c r="AB98" s="438" t="s">
        <v>172</v>
      </c>
      <c r="AC98" s="438"/>
      <c r="AD98" s="438"/>
      <c r="AE98" s="438"/>
      <c r="AF98" s="438"/>
      <c r="AH98" s="438" t="s">
        <v>173</v>
      </c>
      <c r="AI98" s="438"/>
      <c r="AJ98" s="438"/>
      <c r="AK98" s="438"/>
      <c r="AL98" s="438"/>
      <c r="AN98" s="438" t="s">
        <v>174</v>
      </c>
      <c r="AO98" s="438"/>
      <c r="AP98" s="438"/>
      <c r="AQ98" s="438"/>
      <c r="AR98" s="438"/>
      <c r="AT98" s="438" t="s">
        <v>175</v>
      </c>
      <c r="AU98" s="438"/>
      <c r="AV98" s="438"/>
      <c r="AW98" s="438"/>
      <c r="AX98" s="438"/>
      <c r="AZ98" s="438" t="s">
        <v>176</v>
      </c>
      <c r="BA98" s="438"/>
      <c r="BB98" s="438"/>
      <c r="BC98" s="438"/>
      <c r="BD98" s="438"/>
      <c r="BF98" s="438" t="s">
        <v>177</v>
      </c>
      <c r="BG98" s="438"/>
      <c r="BH98" s="438"/>
      <c r="BI98" s="438"/>
      <c r="BJ98" s="438"/>
    </row>
    <row r="99" spans="4:62" x14ac:dyDescent="0.2">
      <c r="D99" s="203" t="s">
        <v>354</v>
      </c>
      <c r="E99" s="204"/>
      <c r="F99" s="205"/>
      <c r="G99" s="206"/>
      <c r="H99" s="207" t="s">
        <v>129</v>
      </c>
      <c r="J99" s="203" t="s">
        <v>354</v>
      </c>
      <c r="K99" s="204"/>
      <c r="L99" s="205"/>
      <c r="M99" s="206"/>
      <c r="N99" s="207" t="s">
        <v>129</v>
      </c>
      <c r="P99" s="203" t="s">
        <v>354</v>
      </c>
      <c r="Q99" s="204"/>
      <c r="R99" s="205"/>
      <c r="S99" s="206"/>
      <c r="T99" s="207" t="s">
        <v>129</v>
      </c>
      <c r="V99" s="203" t="s">
        <v>354</v>
      </c>
      <c r="W99" s="204"/>
      <c r="X99" s="205"/>
      <c r="Y99" s="206"/>
      <c r="Z99" s="207" t="s">
        <v>129</v>
      </c>
      <c r="AB99" s="203" t="s">
        <v>354</v>
      </c>
      <c r="AC99" s="204"/>
      <c r="AD99" s="205"/>
      <c r="AE99" s="206"/>
      <c r="AF99" s="207" t="s">
        <v>129</v>
      </c>
      <c r="AH99" s="203" t="s">
        <v>354</v>
      </c>
      <c r="AI99" s="204"/>
      <c r="AJ99" s="205"/>
      <c r="AK99" s="206"/>
      <c r="AL99" s="207" t="s">
        <v>129</v>
      </c>
      <c r="AN99" s="203" t="s">
        <v>354</v>
      </c>
      <c r="AO99" s="204"/>
      <c r="AP99" s="205"/>
      <c r="AQ99" s="206"/>
      <c r="AR99" s="207" t="s">
        <v>129</v>
      </c>
      <c r="AT99" s="203" t="s">
        <v>354</v>
      </c>
      <c r="AU99" s="204"/>
      <c r="AV99" s="205"/>
      <c r="AW99" s="206"/>
      <c r="AX99" s="207" t="s">
        <v>129</v>
      </c>
      <c r="AZ99" s="203" t="s">
        <v>354</v>
      </c>
      <c r="BA99" s="204"/>
      <c r="BB99" s="205"/>
      <c r="BC99" s="206"/>
      <c r="BD99" s="207" t="s">
        <v>129</v>
      </c>
      <c r="BF99" s="203" t="s">
        <v>354</v>
      </c>
      <c r="BG99" s="204"/>
      <c r="BH99" s="205"/>
      <c r="BI99" s="206"/>
      <c r="BJ99" s="207" t="s">
        <v>129</v>
      </c>
    </row>
    <row r="100" spans="4:62" x14ac:dyDescent="0.2">
      <c r="D100" s="208" t="s">
        <v>55</v>
      </c>
      <c r="E100" s="209" t="s">
        <v>56</v>
      </c>
      <c r="F100" s="209" t="s">
        <v>127</v>
      </c>
      <c r="G100" s="210" t="s">
        <v>128</v>
      </c>
      <c r="H100" s="211">
        <f>+'ISR '!H38</f>
        <v>15</v>
      </c>
      <c r="J100" s="208" t="s">
        <v>55</v>
      </c>
      <c r="K100" s="209" t="s">
        <v>56</v>
      </c>
      <c r="L100" s="209" t="s">
        <v>127</v>
      </c>
      <c r="M100" s="210" t="s">
        <v>128</v>
      </c>
      <c r="N100" s="211">
        <f>+'ISR '!H39</f>
        <v>15</v>
      </c>
      <c r="P100" s="208" t="s">
        <v>55</v>
      </c>
      <c r="Q100" s="209" t="s">
        <v>56</v>
      </c>
      <c r="R100" s="209" t="s">
        <v>127</v>
      </c>
      <c r="S100" s="210" t="s">
        <v>128</v>
      </c>
      <c r="T100" s="211">
        <f>+'ISR '!H40</f>
        <v>15</v>
      </c>
      <c r="V100" s="208" t="s">
        <v>55</v>
      </c>
      <c r="W100" s="209" t="s">
        <v>56</v>
      </c>
      <c r="X100" s="209" t="s">
        <v>127</v>
      </c>
      <c r="Y100" s="210" t="s">
        <v>128</v>
      </c>
      <c r="Z100" s="211">
        <f>+'ISR '!H41</f>
        <v>15</v>
      </c>
      <c r="AB100" s="208" t="s">
        <v>55</v>
      </c>
      <c r="AC100" s="209" t="s">
        <v>56</v>
      </c>
      <c r="AD100" s="209" t="s">
        <v>127</v>
      </c>
      <c r="AE100" s="210" t="s">
        <v>128</v>
      </c>
      <c r="AF100" s="211">
        <f>+'ISR '!H42</f>
        <v>15</v>
      </c>
      <c r="AH100" s="208" t="s">
        <v>55</v>
      </c>
      <c r="AI100" s="209" t="s">
        <v>56</v>
      </c>
      <c r="AJ100" s="209" t="s">
        <v>127</v>
      </c>
      <c r="AK100" s="210" t="s">
        <v>128</v>
      </c>
      <c r="AL100" s="211">
        <f>+'ISR '!H43</f>
        <v>15</v>
      </c>
      <c r="AN100" s="208" t="s">
        <v>55</v>
      </c>
      <c r="AO100" s="209" t="s">
        <v>56</v>
      </c>
      <c r="AP100" s="209" t="s">
        <v>127</v>
      </c>
      <c r="AQ100" s="210" t="s">
        <v>128</v>
      </c>
      <c r="AR100" s="211">
        <f>+'ISR '!H44</f>
        <v>15</v>
      </c>
      <c r="AT100" s="208" t="s">
        <v>55</v>
      </c>
      <c r="AU100" s="209" t="s">
        <v>56</v>
      </c>
      <c r="AV100" s="209" t="s">
        <v>127</v>
      </c>
      <c r="AW100" s="210" t="s">
        <v>128</v>
      </c>
      <c r="AX100" s="211">
        <f>+'ISR '!H45</f>
        <v>15</v>
      </c>
      <c r="AZ100" s="208" t="s">
        <v>55</v>
      </c>
      <c r="BA100" s="209" t="s">
        <v>56</v>
      </c>
      <c r="BB100" s="209" t="s">
        <v>127</v>
      </c>
      <c r="BC100" s="210" t="s">
        <v>128</v>
      </c>
      <c r="BD100" s="211">
        <f>+'ISR '!H46</f>
        <v>15</v>
      </c>
      <c r="BF100" s="208" t="s">
        <v>55</v>
      </c>
      <c r="BG100" s="209" t="s">
        <v>56</v>
      </c>
      <c r="BH100" s="209" t="s">
        <v>127</v>
      </c>
      <c r="BI100" s="210" t="s">
        <v>128</v>
      </c>
      <c r="BJ100" s="211">
        <f>+'ISR '!H47</f>
        <v>15</v>
      </c>
    </row>
    <row r="101" spans="4:62" x14ac:dyDescent="0.2">
      <c r="D101" s="212" t="s">
        <v>57</v>
      </c>
      <c r="E101" s="41" t="s">
        <v>57</v>
      </c>
      <c r="F101" s="41" t="s">
        <v>57</v>
      </c>
      <c r="G101" s="41" t="s">
        <v>54</v>
      </c>
      <c r="H101" s="213"/>
      <c r="J101" s="212" t="s">
        <v>57</v>
      </c>
      <c r="K101" s="41" t="s">
        <v>57</v>
      </c>
      <c r="L101" s="41" t="s">
        <v>57</v>
      </c>
      <c r="M101" s="41" t="s">
        <v>54</v>
      </c>
      <c r="N101" s="213"/>
      <c r="P101" s="212" t="s">
        <v>57</v>
      </c>
      <c r="Q101" s="41" t="s">
        <v>57</v>
      </c>
      <c r="R101" s="41" t="s">
        <v>57</v>
      </c>
      <c r="S101" s="41" t="s">
        <v>54</v>
      </c>
      <c r="T101" s="213"/>
      <c r="V101" s="212" t="s">
        <v>57</v>
      </c>
      <c r="W101" s="41" t="s">
        <v>57</v>
      </c>
      <c r="X101" s="41" t="s">
        <v>57</v>
      </c>
      <c r="Y101" s="41" t="s">
        <v>54</v>
      </c>
      <c r="Z101" s="213"/>
      <c r="AB101" s="212" t="s">
        <v>57</v>
      </c>
      <c r="AC101" s="41" t="s">
        <v>57</v>
      </c>
      <c r="AD101" s="41" t="s">
        <v>57</v>
      </c>
      <c r="AE101" s="41" t="s">
        <v>54</v>
      </c>
      <c r="AF101" s="213"/>
      <c r="AH101" s="212" t="s">
        <v>57</v>
      </c>
      <c r="AI101" s="41" t="s">
        <v>57</v>
      </c>
      <c r="AJ101" s="41" t="s">
        <v>57</v>
      </c>
      <c r="AK101" s="41" t="s">
        <v>54</v>
      </c>
      <c r="AL101" s="213"/>
      <c r="AN101" s="212" t="s">
        <v>57</v>
      </c>
      <c r="AO101" s="41" t="s">
        <v>57</v>
      </c>
      <c r="AP101" s="41" t="s">
        <v>57</v>
      </c>
      <c r="AQ101" s="41" t="s">
        <v>54</v>
      </c>
      <c r="AR101" s="213"/>
      <c r="AT101" s="212" t="s">
        <v>57</v>
      </c>
      <c r="AU101" s="41" t="s">
        <v>57</v>
      </c>
      <c r="AV101" s="41" t="s">
        <v>57</v>
      </c>
      <c r="AW101" s="41" t="s">
        <v>54</v>
      </c>
      <c r="AX101" s="213"/>
      <c r="AZ101" s="212" t="s">
        <v>57</v>
      </c>
      <c r="BA101" s="41" t="s">
        <v>57</v>
      </c>
      <c r="BB101" s="41" t="s">
        <v>57</v>
      </c>
      <c r="BC101" s="41" t="s">
        <v>54</v>
      </c>
      <c r="BD101" s="213"/>
      <c r="BF101" s="212" t="s">
        <v>57</v>
      </c>
      <c r="BG101" s="41" t="s">
        <v>57</v>
      </c>
      <c r="BH101" s="41" t="s">
        <v>57</v>
      </c>
      <c r="BI101" s="41" t="s">
        <v>54</v>
      </c>
      <c r="BJ101" s="213"/>
    </row>
    <row r="102" spans="4:62" x14ac:dyDescent="0.2">
      <c r="D102" s="212">
        <v>0.01</v>
      </c>
      <c r="E102" s="41">
        <f>24.54*H100</f>
        <v>368.09999999999997</v>
      </c>
      <c r="F102" s="41">
        <v>0</v>
      </c>
      <c r="G102" s="214">
        <f>192%/100</f>
        <v>1.9199999999999998E-2</v>
      </c>
      <c r="H102" s="213"/>
      <c r="J102" s="212">
        <v>0.01</v>
      </c>
      <c r="K102" s="41">
        <f>24.54*N100</f>
        <v>368.09999999999997</v>
      </c>
      <c r="L102" s="41">
        <v>0</v>
      </c>
      <c r="M102" s="214">
        <f>192%/100</f>
        <v>1.9199999999999998E-2</v>
      </c>
      <c r="N102" s="213"/>
      <c r="P102" s="212">
        <v>0.01</v>
      </c>
      <c r="Q102" s="41">
        <f>24.54*T100</f>
        <v>368.09999999999997</v>
      </c>
      <c r="R102" s="41">
        <v>0</v>
      </c>
      <c r="S102" s="214">
        <f>192%/100</f>
        <v>1.9199999999999998E-2</v>
      </c>
      <c r="T102" s="213"/>
      <c r="V102" s="212">
        <v>0.01</v>
      </c>
      <c r="W102" s="41">
        <f>24.54*Z100</f>
        <v>368.09999999999997</v>
      </c>
      <c r="X102" s="41">
        <v>0</v>
      </c>
      <c r="Y102" s="214">
        <f>192%/100</f>
        <v>1.9199999999999998E-2</v>
      </c>
      <c r="Z102" s="213"/>
      <c r="AB102" s="212">
        <v>0.01</v>
      </c>
      <c r="AC102" s="41">
        <f>24.54*AF100</f>
        <v>368.09999999999997</v>
      </c>
      <c r="AD102" s="41">
        <v>0</v>
      </c>
      <c r="AE102" s="214">
        <f>192%/100</f>
        <v>1.9199999999999998E-2</v>
      </c>
      <c r="AF102" s="213"/>
      <c r="AH102" s="212">
        <v>0.01</v>
      </c>
      <c r="AI102" s="41">
        <f>24.54*AL100</f>
        <v>368.09999999999997</v>
      </c>
      <c r="AJ102" s="41">
        <v>0</v>
      </c>
      <c r="AK102" s="214">
        <f>192%/100</f>
        <v>1.9199999999999998E-2</v>
      </c>
      <c r="AL102" s="213"/>
      <c r="AN102" s="212">
        <v>0.01</v>
      </c>
      <c r="AO102" s="41">
        <f>24.54*AR100</f>
        <v>368.09999999999997</v>
      </c>
      <c r="AP102" s="41">
        <v>0</v>
      </c>
      <c r="AQ102" s="214">
        <f>192%/100</f>
        <v>1.9199999999999998E-2</v>
      </c>
      <c r="AR102" s="213"/>
      <c r="AT102" s="212">
        <v>0.01</v>
      </c>
      <c r="AU102" s="41">
        <f>24.54*AX100</f>
        <v>368.09999999999997</v>
      </c>
      <c r="AV102" s="41">
        <v>0</v>
      </c>
      <c r="AW102" s="214">
        <f>192%/100</f>
        <v>1.9199999999999998E-2</v>
      </c>
      <c r="AX102" s="213"/>
      <c r="AZ102" s="212">
        <v>0.01</v>
      </c>
      <c r="BA102" s="41">
        <f>24.54*BD100</f>
        <v>368.09999999999997</v>
      </c>
      <c r="BB102" s="41">
        <v>0</v>
      </c>
      <c r="BC102" s="214">
        <f>192%/100</f>
        <v>1.9199999999999998E-2</v>
      </c>
      <c r="BD102" s="213"/>
      <c r="BF102" s="212">
        <v>0.01</v>
      </c>
      <c r="BG102" s="41">
        <f>24.54*BJ100</f>
        <v>368.09999999999997</v>
      </c>
      <c r="BH102" s="41">
        <v>0</v>
      </c>
      <c r="BI102" s="214">
        <f>192%/100</f>
        <v>1.9199999999999998E-2</v>
      </c>
      <c r="BJ102" s="213"/>
    </row>
    <row r="103" spans="4:62" x14ac:dyDescent="0.2">
      <c r="D103" s="212">
        <f>+E102+0.01</f>
        <v>368.10999999999996</v>
      </c>
      <c r="E103" s="41">
        <f>208.29*H100</f>
        <v>3124.35</v>
      </c>
      <c r="F103" s="41">
        <f>0.47*H100</f>
        <v>7.05</v>
      </c>
      <c r="G103" s="214">
        <f>640%/100</f>
        <v>6.4000000000000001E-2</v>
      </c>
      <c r="H103" s="213"/>
      <c r="J103" s="212">
        <f>+K102+0.01</f>
        <v>368.10999999999996</v>
      </c>
      <c r="K103" s="41">
        <f>208.29*N100</f>
        <v>3124.35</v>
      </c>
      <c r="L103" s="41">
        <f>0.47*N100</f>
        <v>7.05</v>
      </c>
      <c r="M103" s="214">
        <f>640%/100</f>
        <v>6.4000000000000001E-2</v>
      </c>
      <c r="N103" s="213"/>
      <c r="P103" s="212">
        <f>+Q102+0.01</f>
        <v>368.10999999999996</v>
      </c>
      <c r="Q103" s="41">
        <f>208.29*T100</f>
        <v>3124.35</v>
      </c>
      <c r="R103" s="41">
        <f>0.47*T100</f>
        <v>7.05</v>
      </c>
      <c r="S103" s="214">
        <f>640%/100</f>
        <v>6.4000000000000001E-2</v>
      </c>
      <c r="T103" s="213"/>
      <c r="V103" s="212">
        <f>+W102+0.01</f>
        <v>368.10999999999996</v>
      </c>
      <c r="W103" s="41">
        <f>208.29*Z100</f>
        <v>3124.35</v>
      </c>
      <c r="X103" s="41">
        <f>0.47*Z100</f>
        <v>7.05</v>
      </c>
      <c r="Y103" s="214">
        <f>640%/100</f>
        <v>6.4000000000000001E-2</v>
      </c>
      <c r="Z103" s="213"/>
      <c r="AB103" s="212">
        <f>+AC102+0.01</f>
        <v>368.10999999999996</v>
      </c>
      <c r="AC103" s="41">
        <f>208.29*AF100</f>
        <v>3124.35</v>
      </c>
      <c r="AD103" s="41">
        <f>0.47*AF100</f>
        <v>7.05</v>
      </c>
      <c r="AE103" s="214">
        <f>640%/100</f>
        <v>6.4000000000000001E-2</v>
      </c>
      <c r="AF103" s="213"/>
      <c r="AH103" s="212">
        <f>+AI102+0.01</f>
        <v>368.10999999999996</v>
      </c>
      <c r="AI103" s="41">
        <f>208.29*AL100</f>
        <v>3124.35</v>
      </c>
      <c r="AJ103" s="41">
        <f>0.47*AL100</f>
        <v>7.05</v>
      </c>
      <c r="AK103" s="214">
        <f>640%/100</f>
        <v>6.4000000000000001E-2</v>
      </c>
      <c r="AL103" s="213"/>
      <c r="AN103" s="212">
        <f>+AO102+0.01</f>
        <v>368.10999999999996</v>
      </c>
      <c r="AO103" s="41">
        <f>208.29*AR100</f>
        <v>3124.35</v>
      </c>
      <c r="AP103" s="41">
        <f>0.47*AR100</f>
        <v>7.05</v>
      </c>
      <c r="AQ103" s="214">
        <f>640%/100</f>
        <v>6.4000000000000001E-2</v>
      </c>
      <c r="AR103" s="213"/>
      <c r="AT103" s="212">
        <f>+AU102+0.01</f>
        <v>368.10999999999996</v>
      </c>
      <c r="AU103" s="41">
        <f>208.29*AX100</f>
        <v>3124.35</v>
      </c>
      <c r="AV103" s="41">
        <f>0.47*AX100</f>
        <v>7.05</v>
      </c>
      <c r="AW103" s="214">
        <f>640%/100</f>
        <v>6.4000000000000001E-2</v>
      </c>
      <c r="AX103" s="213"/>
      <c r="AZ103" s="212">
        <f>+BA102+0.01</f>
        <v>368.10999999999996</v>
      </c>
      <c r="BA103" s="41">
        <f>208.29*BD100</f>
        <v>3124.35</v>
      </c>
      <c r="BB103" s="41">
        <f>0.47*BD100</f>
        <v>7.05</v>
      </c>
      <c r="BC103" s="214">
        <f>640%/100</f>
        <v>6.4000000000000001E-2</v>
      </c>
      <c r="BD103" s="213"/>
      <c r="BF103" s="212">
        <f>+BG102+0.01</f>
        <v>368.10999999999996</v>
      </c>
      <c r="BG103" s="41">
        <f>208.29*BJ100</f>
        <v>3124.35</v>
      </c>
      <c r="BH103" s="41">
        <f>0.47*BJ100</f>
        <v>7.05</v>
      </c>
      <c r="BI103" s="214">
        <f>640%/100</f>
        <v>6.4000000000000001E-2</v>
      </c>
      <c r="BJ103" s="213"/>
    </row>
    <row r="104" spans="4:62" x14ac:dyDescent="0.2">
      <c r="D104" s="212">
        <f>+E103+0.01</f>
        <v>3124.36</v>
      </c>
      <c r="E104" s="41">
        <f>366.05*H100</f>
        <v>5490.75</v>
      </c>
      <c r="F104" s="41">
        <f>12.23*H100</f>
        <v>183.45000000000002</v>
      </c>
      <c r="G104" s="214">
        <f>1088%/100</f>
        <v>0.10880000000000001</v>
      </c>
      <c r="H104" s="213"/>
      <c r="J104" s="212">
        <f>+K103+0.01</f>
        <v>3124.36</v>
      </c>
      <c r="K104" s="41">
        <f>366.05*N100</f>
        <v>5490.75</v>
      </c>
      <c r="L104" s="41">
        <f>12.23*N100</f>
        <v>183.45000000000002</v>
      </c>
      <c r="M104" s="214">
        <f>1088%/100</f>
        <v>0.10880000000000001</v>
      </c>
      <c r="N104" s="213"/>
      <c r="P104" s="212">
        <f>+Q103+0.01</f>
        <v>3124.36</v>
      </c>
      <c r="Q104" s="41">
        <f>366.05*T100</f>
        <v>5490.75</v>
      </c>
      <c r="R104" s="41">
        <f>12.23*T100</f>
        <v>183.45000000000002</v>
      </c>
      <c r="S104" s="214">
        <f>1088%/100</f>
        <v>0.10880000000000001</v>
      </c>
      <c r="T104" s="213"/>
      <c r="V104" s="212">
        <f>+W103+0.01</f>
        <v>3124.36</v>
      </c>
      <c r="W104" s="41">
        <f>366.05*Z100</f>
        <v>5490.75</v>
      </c>
      <c r="X104" s="41">
        <f>12.23*Z100</f>
        <v>183.45000000000002</v>
      </c>
      <c r="Y104" s="214">
        <f>1088%/100</f>
        <v>0.10880000000000001</v>
      </c>
      <c r="Z104" s="213"/>
      <c r="AB104" s="212">
        <f>+AC103+0.01</f>
        <v>3124.36</v>
      </c>
      <c r="AC104" s="41">
        <f>366.05*AF100</f>
        <v>5490.75</v>
      </c>
      <c r="AD104" s="41">
        <f>12.23*AF100</f>
        <v>183.45000000000002</v>
      </c>
      <c r="AE104" s="214">
        <f>1088%/100</f>
        <v>0.10880000000000001</v>
      </c>
      <c r="AF104" s="213"/>
      <c r="AH104" s="212">
        <f>+AI103+0.01</f>
        <v>3124.36</v>
      </c>
      <c r="AI104" s="41">
        <f>366.05*AL100</f>
        <v>5490.75</v>
      </c>
      <c r="AJ104" s="41">
        <f>12.23*AL100</f>
        <v>183.45000000000002</v>
      </c>
      <c r="AK104" s="214">
        <f>1088%/100</f>
        <v>0.10880000000000001</v>
      </c>
      <c r="AL104" s="213"/>
      <c r="AN104" s="212">
        <f>+AO103+0.01</f>
        <v>3124.36</v>
      </c>
      <c r="AO104" s="41">
        <f>366.05*AR100</f>
        <v>5490.75</v>
      </c>
      <c r="AP104" s="41">
        <f>12.23*AR100</f>
        <v>183.45000000000002</v>
      </c>
      <c r="AQ104" s="214">
        <f>1088%/100</f>
        <v>0.10880000000000001</v>
      </c>
      <c r="AR104" s="213"/>
      <c r="AT104" s="212">
        <f>+AU103+0.01</f>
        <v>3124.36</v>
      </c>
      <c r="AU104" s="41">
        <f>366.05*AX100</f>
        <v>5490.75</v>
      </c>
      <c r="AV104" s="41">
        <f>12.23*AX100</f>
        <v>183.45000000000002</v>
      </c>
      <c r="AW104" s="214">
        <f>1088%/100</f>
        <v>0.10880000000000001</v>
      </c>
      <c r="AX104" s="213"/>
      <c r="AZ104" s="212">
        <f>+BA103+0.01</f>
        <v>3124.36</v>
      </c>
      <c r="BA104" s="41">
        <f>366.05*BD100</f>
        <v>5490.75</v>
      </c>
      <c r="BB104" s="41">
        <f>12.23*BD100</f>
        <v>183.45000000000002</v>
      </c>
      <c r="BC104" s="214">
        <f>1088%/100</f>
        <v>0.10880000000000001</v>
      </c>
      <c r="BD104" s="213"/>
      <c r="BF104" s="212">
        <f>+BG103+0.01</f>
        <v>3124.36</v>
      </c>
      <c r="BG104" s="41">
        <f>366.05*BJ100</f>
        <v>5490.75</v>
      </c>
      <c r="BH104" s="41">
        <f>12.23*BJ100</f>
        <v>183.45000000000002</v>
      </c>
      <c r="BI104" s="214">
        <f>1088%/100</f>
        <v>0.10880000000000001</v>
      </c>
      <c r="BJ104" s="213"/>
    </row>
    <row r="105" spans="4:62" x14ac:dyDescent="0.2">
      <c r="D105" s="212">
        <f t="shared" ref="D105:D110" si="30">+E104+0.01</f>
        <v>5490.76</v>
      </c>
      <c r="E105" s="41">
        <f>425.52*H100</f>
        <v>6382.7999999999993</v>
      </c>
      <c r="F105" s="41">
        <f>29.4*H100</f>
        <v>441</v>
      </c>
      <c r="G105" s="214">
        <f>1600%/100</f>
        <v>0.16</v>
      </c>
      <c r="H105" s="213"/>
      <c r="J105" s="212">
        <f t="shared" ref="J105:J110" si="31">+K104+0.01</f>
        <v>5490.76</v>
      </c>
      <c r="K105" s="41">
        <f>425.52*N100</f>
        <v>6382.7999999999993</v>
      </c>
      <c r="L105" s="41">
        <f>29.4*N100</f>
        <v>441</v>
      </c>
      <c r="M105" s="214">
        <f>1600%/100</f>
        <v>0.16</v>
      </c>
      <c r="N105" s="213"/>
      <c r="P105" s="212">
        <f t="shared" ref="P105:P110" si="32">+Q104+0.01</f>
        <v>5490.76</v>
      </c>
      <c r="Q105" s="41">
        <f>425.52*T100</f>
        <v>6382.7999999999993</v>
      </c>
      <c r="R105" s="41">
        <f>29.4*T100</f>
        <v>441</v>
      </c>
      <c r="S105" s="214">
        <f>1600%/100</f>
        <v>0.16</v>
      </c>
      <c r="T105" s="213"/>
      <c r="V105" s="212">
        <f t="shared" ref="V105:V110" si="33">+W104+0.01</f>
        <v>5490.76</v>
      </c>
      <c r="W105" s="41">
        <f>425.52*Z100</f>
        <v>6382.7999999999993</v>
      </c>
      <c r="X105" s="41">
        <f>29.4*Z100</f>
        <v>441</v>
      </c>
      <c r="Y105" s="214">
        <f>1600%/100</f>
        <v>0.16</v>
      </c>
      <c r="Z105" s="213"/>
      <c r="AB105" s="212">
        <f t="shared" ref="AB105:AB110" si="34">+AC104+0.01</f>
        <v>5490.76</v>
      </c>
      <c r="AC105" s="41">
        <f>425.52*AF100</f>
        <v>6382.7999999999993</v>
      </c>
      <c r="AD105" s="41">
        <f>29.4*AF100</f>
        <v>441</v>
      </c>
      <c r="AE105" s="214">
        <f>1600%/100</f>
        <v>0.16</v>
      </c>
      <c r="AF105" s="213"/>
      <c r="AH105" s="212">
        <f t="shared" ref="AH105:AH110" si="35">+AI104+0.01</f>
        <v>5490.76</v>
      </c>
      <c r="AI105" s="41">
        <f>425.52*AL100</f>
        <v>6382.7999999999993</v>
      </c>
      <c r="AJ105" s="41">
        <f>29.4*AL100</f>
        <v>441</v>
      </c>
      <c r="AK105" s="214">
        <f>1600%/100</f>
        <v>0.16</v>
      </c>
      <c r="AL105" s="213"/>
      <c r="AN105" s="212">
        <f t="shared" ref="AN105:AN110" si="36">+AO104+0.01</f>
        <v>5490.76</v>
      </c>
      <c r="AO105" s="41">
        <f>425.52*AR100</f>
        <v>6382.7999999999993</v>
      </c>
      <c r="AP105" s="41">
        <f>29.4*AR100</f>
        <v>441</v>
      </c>
      <c r="AQ105" s="214">
        <f>1600%/100</f>
        <v>0.16</v>
      </c>
      <c r="AR105" s="213"/>
      <c r="AT105" s="212">
        <f t="shared" ref="AT105:AT110" si="37">+AU104+0.01</f>
        <v>5490.76</v>
      </c>
      <c r="AU105" s="41">
        <f>425.52*AX100</f>
        <v>6382.7999999999993</v>
      </c>
      <c r="AV105" s="41">
        <f>29.4*AX100</f>
        <v>441</v>
      </c>
      <c r="AW105" s="214">
        <f>1600%/100</f>
        <v>0.16</v>
      </c>
      <c r="AX105" s="213"/>
      <c r="AZ105" s="212">
        <f t="shared" ref="AZ105:AZ110" si="38">+BA104+0.01</f>
        <v>5490.76</v>
      </c>
      <c r="BA105" s="41">
        <f>425.52*BD100</f>
        <v>6382.7999999999993</v>
      </c>
      <c r="BB105" s="41">
        <f>29.4*BD100</f>
        <v>441</v>
      </c>
      <c r="BC105" s="214">
        <f>1600%/100</f>
        <v>0.16</v>
      </c>
      <c r="BD105" s="213"/>
      <c r="BF105" s="212">
        <f t="shared" ref="BF105:BF110" si="39">+BG104+0.01</f>
        <v>5490.76</v>
      </c>
      <c r="BG105" s="41">
        <f>425.52*BJ100</f>
        <v>6382.7999999999993</v>
      </c>
      <c r="BH105" s="41">
        <f>29.4*BJ100</f>
        <v>441</v>
      </c>
      <c r="BI105" s="214">
        <f>1600%/100</f>
        <v>0.16</v>
      </c>
      <c r="BJ105" s="213"/>
    </row>
    <row r="106" spans="4:62" x14ac:dyDescent="0.2">
      <c r="D106" s="212">
        <f t="shared" si="30"/>
        <v>6382.8099999999995</v>
      </c>
      <c r="E106" s="41">
        <f>509.46*H100</f>
        <v>7641.9</v>
      </c>
      <c r="F106" s="41">
        <f>38.91*H100</f>
        <v>583.65</v>
      </c>
      <c r="G106" s="214">
        <f>1792%/100</f>
        <v>0.17920000000000003</v>
      </c>
      <c r="H106" s="213"/>
      <c r="J106" s="212">
        <f t="shared" si="31"/>
        <v>6382.8099999999995</v>
      </c>
      <c r="K106" s="41">
        <f>509.46*N100</f>
        <v>7641.9</v>
      </c>
      <c r="L106" s="41">
        <f>38.91*N100</f>
        <v>583.65</v>
      </c>
      <c r="M106" s="214">
        <f>1792%/100</f>
        <v>0.17920000000000003</v>
      </c>
      <c r="N106" s="213"/>
      <c r="P106" s="212">
        <f t="shared" si="32"/>
        <v>6382.8099999999995</v>
      </c>
      <c r="Q106" s="41">
        <f>509.46*T100</f>
        <v>7641.9</v>
      </c>
      <c r="R106" s="41">
        <f>38.91*T100</f>
        <v>583.65</v>
      </c>
      <c r="S106" s="214">
        <f>1792%/100</f>
        <v>0.17920000000000003</v>
      </c>
      <c r="T106" s="213"/>
      <c r="V106" s="212">
        <f t="shared" si="33"/>
        <v>6382.8099999999995</v>
      </c>
      <c r="W106" s="41">
        <f>509.46*Z100</f>
        <v>7641.9</v>
      </c>
      <c r="X106" s="41">
        <f>38.91*Z100</f>
        <v>583.65</v>
      </c>
      <c r="Y106" s="214">
        <f>1792%/100</f>
        <v>0.17920000000000003</v>
      </c>
      <c r="Z106" s="213"/>
      <c r="AB106" s="212">
        <f t="shared" si="34"/>
        <v>6382.8099999999995</v>
      </c>
      <c r="AC106" s="41">
        <f>509.46*AF100</f>
        <v>7641.9</v>
      </c>
      <c r="AD106" s="41">
        <f>38.91*AF100</f>
        <v>583.65</v>
      </c>
      <c r="AE106" s="214">
        <f>1792%/100</f>
        <v>0.17920000000000003</v>
      </c>
      <c r="AF106" s="213"/>
      <c r="AH106" s="212">
        <f t="shared" si="35"/>
        <v>6382.8099999999995</v>
      </c>
      <c r="AI106" s="41">
        <f>509.46*AL100</f>
        <v>7641.9</v>
      </c>
      <c r="AJ106" s="41">
        <f>38.91*AL100</f>
        <v>583.65</v>
      </c>
      <c r="AK106" s="214">
        <f>1792%/100</f>
        <v>0.17920000000000003</v>
      </c>
      <c r="AL106" s="213"/>
      <c r="AN106" s="212">
        <f t="shared" si="36"/>
        <v>6382.8099999999995</v>
      </c>
      <c r="AO106" s="41">
        <f>509.46*AR100</f>
        <v>7641.9</v>
      </c>
      <c r="AP106" s="41">
        <f>38.91*AR100</f>
        <v>583.65</v>
      </c>
      <c r="AQ106" s="214">
        <f>1792%/100</f>
        <v>0.17920000000000003</v>
      </c>
      <c r="AR106" s="213"/>
      <c r="AT106" s="212">
        <f t="shared" si="37"/>
        <v>6382.8099999999995</v>
      </c>
      <c r="AU106" s="41">
        <f>509.46*AX100</f>
        <v>7641.9</v>
      </c>
      <c r="AV106" s="41">
        <f>38.91*AX100</f>
        <v>583.65</v>
      </c>
      <c r="AW106" s="214">
        <f>1792%/100</f>
        <v>0.17920000000000003</v>
      </c>
      <c r="AX106" s="213"/>
      <c r="AZ106" s="212">
        <f t="shared" si="38"/>
        <v>6382.8099999999995</v>
      </c>
      <c r="BA106" s="41">
        <f>509.46*BD100</f>
        <v>7641.9</v>
      </c>
      <c r="BB106" s="41">
        <f>38.91*BD100</f>
        <v>583.65</v>
      </c>
      <c r="BC106" s="214">
        <f>1792%/100</f>
        <v>0.17920000000000003</v>
      </c>
      <c r="BD106" s="213"/>
      <c r="BF106" s="212">
        <f t="shared" si="39"/>
        <v>6382.8099999999995</v>
      </c>
      <c r="BG106" s="41">
        <f>509.46*BJ100</f>
        <v>7641.9</v>
      </c>
      <c r="BH106" s="41">
        <f>38.91*BJ100</f>
        <v>583.65</v>
      </c>
      <c r="BI106" s="214">
        <f>1792%/100</f>
        <v>0.17920000000000003</v>
      </c>
      <c r="BJ106" s="213"/>
    </row>
    <row r="107" spans="4:62" x14ac:dyDescent="0.2">
      <c r="D107" s="212">
        <f t="shared" si="30"/>
        <v>7641.91</v>
      </c>
      <c r="E107" s="41">
        <f>1027.52*H100</f>
        <v>15412.8</v>
      </c>
      <c r="F107" s="41">
        <f>53.95*H100</f>
        <v>809.25</v>
      </c>
      <c r="G107" s="214">
        <f>2136%/100</f>
        <v>0.21359999999999998</v>
      </c>
      <c r="H107" s="213"/>
      <c r="J107" s="212">
        <f t="shared" si="31"/>
        <v>7641.91</v>
      </c>
      <c r="K107" s="41">
        <f>1027.52*N100</f>
        <v>15412.8</v>
      </c>
      <c r="L107" s="41">
        <f>53.95*N100</f>
        <v>809.25</v>
      </c>
      <c r="M107" s="214">
        <f>2136%/100</f>
        <v>0.21359999999999998</v>
      </c>
      <c r="N107" s="213"/>
      <c r="P107" s="212">
        <f t="shared" si="32"/>
        <v>7641.91</v>
      </c>
      <c r="Q107" s="41">
        <f>1027.52*T100</f>
        <v>15412.8</v>
      </c>
      <c r="R107" s="41">
        <f>53.95*T100</f>
        <v>809.25</v>
      </c>
      <c r="S107" s="214">
        <f>2136%/100</f>
        <v>0.21359999999999998</v>
      </c>
      <c r="T107" s="213"/>
      <c r="V107" s="212">
        <f t="shared" si="33"/>
        <v>7641.91</v>
      </c>
      <c r="W107" s="41">
        <f>1027.52*Z100</f>
        <v>15412.8</v>
      </c>
      <c r="X107" s="41">
        <f>53.95*Z100</f>
        <v>809.25</v>
      </c>
      <c r="Y107" s="214">
        <f>2136%/100</f>
        <v>0.21359999999999998</v>
      </c>
      <c r="Z107" s="213"/>
      <c r="AB107" s="212">
        <f t="shared" si="34"/>
        <v>7641.91</v>
      </c>
      <c r="AC107" s="41">
        <f>1027.52*AF100</f>
        <v>15412.8</v>
      </c>
      <c r="AD107" s="41">
        <f>53.95*AF100</f>
        <v>809.25</v>
      </c>
      <c r="AE107" s="214">
        <f>2136%/100</f>
        <v>0.21359999999999998</v>
      </c>
      <c r="AF107" s="213"/>
      <c r="AH107" s="212">
        <f t="shared" si="35"/>
        <v>7641.91</v>
      </c>
      <c r="AI107" s="41">
        <f>1027.52*AL100</f>
        <v>15412.8</v>
      </c>
      <c r="AJ107" s="41">
        <f>53.95*AL100</f>
        <v>809.25</v>
      </c>
      <c r="AK107" s="214">
        <f>2136%/100</f>
        <v>0.21359999999999998</v>
      </c>
      <c r="AL107" s="213"/>
      <c r="AN107" s="212">
        <f t="shared" si="36"/>
        <v>7641.91</v>
      </c>
      <c r="AO107" s="41">
        <f>1027.52*AR100</f>
        <v>15412.8</v>
      </c>
      <c r="AP107" s="41">
        <f>53.95*AR100</f>
        <v>809.25</v>
      </c>
      <c r="AQ107" s="214">
        <f>2136%/100</f>
        <v>0.21359999999999998</v>
      </c>
      <c r="AR107" s="213"/>
      <c r="AT107" s="212">
        <f t="shared" si="37"/>
        <v>7641.91</v>
      </c>
      <c r="AU107" s="41">
        <f>1027.52*AX100</f>
        <v>15412.8</v>
      </c>
      <c r="AV107" s="41">
        <f>53.95*AX100</f>
        <v>809.25</v>
      </c>
      <c r="AW107" s="214">
        <f>2136%/100</f>
        <v>0.21359999999999998</v>
      </c>
      <c r="AX107" s="213"/>
      <c r="AZ107" s="212">
        <f t="shared" si="38"/>
        <v>7641.91</v>
      </c>
      <c r="BA107" s="41">
        <f>1027.52*BD100</f>
        <v>15412.8</v>
      </c>
      <c r="BB107" s="41">
        <f>53.95*BD100</f>
        <v>809.25</v>
      </c>
      <c r="BC107" s="214">
        <f>2136%/100</f>
        <v>0.21359999999999998</v>
      </c>
      <c r="BD107" s="213"/>
      <c r="BF107" s="212">
        <f t="shared" si="39"/>
        <v>7641.91</v>
      </c>
      <c r="BG107" s="41">
        <f>1027.52*BJ100</f>
        <v>15412.8</v>
      </c>
      <c r="BH107" s="41">
        <f>53.95*BJ100</f>
        <v>809.25</v>
      </c>
      <c r="BI107" s="214">
        <f>2136%/100</f>
        <v>0.21359999999999998</v>
      </c>
      <c r="BJ107" s="213"/>
    </row>
    <row r="108" spans="4:62" x14ac:dyDescent="0.2">
      <c r="D108" s="212">
        <f t="shared" si="30"/>
        <v>15412.81</v>
      </c>
      <c r="E108" s="41">
        <f>1619.51*H100</f>
        <v>24292.65</v>
      </c>
      <c r="F108" s="41">
        <f>164.61*H100</f>
        <v>2469.15</v>
      </c>
      <c r="G108" s="214">
        <f>2352%/100</f>
        <v>0.23519999999999999</v>
      </c>
      <c r="H108" s="213"/>
      <c r="J108" s="212">
        <f t="shared" si="31"/>
        <v>15412.81</v>
      </c>
      <c r="K108" s="41">
        <f>1619.51*N100</f>
        <v>24292.65</v>
      </c>
      <c r="L108" s="41">
        <f>164.61*N100</f>
        <v>2469.15</v>
      </c>
      <c r="M108" s="214">
        <f>2352%/100</f>
        <v>0.23519999999999999</v>
      </c>
      <c r="N108" s="213"/>
      <c r="P108" s="212">
        <f t="shared" si="32"/>
        <v>15412.81</v>
      </c>
      <c r="Q108" s="41">
        <f>1619.51*T100</f>
        <v>24292.65</v>
      </c>
      <c r="R108" s="41">
        <f>164.61*T100</f>
        <v>2469.15</v>
      </c>
      <c r="S108" s="214">
        <f>2352%/100</f>
        <v>0.23519999999999999</v>
      </c>
      <c r="T108" s="213"/>
      <c r="V108" s="212">
        <f t="shared" si="33"/>
        <v>15412.81</v>
      </c>
      <c r="W108" s="41">
        <f>1619.51*Z100</f>
        <v>24292.65</v>
      </c>
      <c r="X108" s="41">
        <f>164.61*Z100</f>
        <v>2469.15</v>
      </c>
      <c r="Y108" s="214">
        <f>2352%/100</f>
        <v>0.23519999999999999</v>
      </c>
      <c r="Z108" s="213"/>
      <c r="AB108" s="212">
        <f t="shared" si="34"/>
        <v>15412.81</v>
      </c>
      <c r="AC108" s="41">
        <f>1619.51*AF100</f>
        <v>24292.65</v>
      </c>
      <c r="AD108" s="41">
        <f>164.61*AF100</f>
        <v>2469.15</v>
      </c>
      <c r="AE108" s="214">
        <f>2352%/100</f>
        <v>0.23519999999999999</v>
      </c>
      <c r="AF108" s="213"/>
      <c r="AH108" s="212">
        <f t="shared" si="35"/>
        <v>15412.81</v>
      </c>
      <c r="AI108" s="41">
        <f>1619.51*AL100</f>
        <v>24292.65</v>
      </c>
      <c r="AJ108" s="41">
        <f>164.61*AL100</f>
        <v>2469.15</v>
      </c>
      <c r="AK108" s="214">
        <f>2352%/100</f>
        <v>0.23519999999999999</v>
      </c>
      <c r="AL108" s="213"/>
      <c r="AN108" s="212">
        <f t="shared" si="36"/>
        <v>15412.81</v>
      </c>
      <c r="AO108" s="41">
        <f>1619.51*AR100</f>
        <v>24292.65</v>
      </c>
      <c r="AP108" s="41">
        <f>164.61*AR100</f>
        <v>2469.15</v>
      </c>
      <c r="AQ108" s="214">
        <f>2352%/100</f>
        <v>0.23519999999999999</v>
      </c>
      <c r="AR108" s="213"/>
      <c r="AT108" s="212">
        <f t="shared" si="37"/>
        <v>15412.81</v>
      </c>
      <c r="AU108" s="41">
        <f>1619.51*AX100</f>
        <v>24292.65</v>
      </c>
      <c r="AV108" s="41">
        <f>164.61*AX100</f>
        <v>2469.15</v>
      </c>
      <c r="AW108" s="214">
        <f>2352%/100</f>
        <v>0.23519999999999999</v>
      </c>
      <c r="AX108" s="213"/>
      <c r="AZ108" s="212">
        <f t="shared" si="38"/>
        <v>15412.81</v>
      </c>
      <c r="BA108" s="41">
        <f>1619.51*BD100</f>
        <v>24292.65</v>
      </c>
      <c r="BB108" s="41">
        <f>164.61*BD100</f>
        <v>2469.15</v>
      </c>
      <c r="BC108" s="214">
        <f>2352%/100</f>
        <v>0.23519999999999999</v>
      </c>
      <c r="BD108" s="213"/>
      <c r="BF108" s="212">
        <f t="shared" si="39"/>
        <v>15412.81</v>
      </c>
      <c r="BG108" s="41">
        <f>1619.51*BJ100</f>
        <v>24292.65</v>
      </c>
      <c r="BH108" s="41">
        <f>164.61*BJ100</f>
        <v>2469.15</v>
      </c>
      <c r="BI108" s="214">
        <f>2352%/100</f>
        <v>0.23519999999999999</v>
      </c>
      <c r="BJ108" s="213"/>
    </row>
    <row r="109" spans="4:62" x14ac:dyDescent="0.2">
      <c r="D109" s="212">
        <f t="shared" si="30"/>
        <v>24292.66</v>
      </c>
      <c r="E109" s="41">
        <f>3091.9*H100</f>
        <v>46378.5</v>
      </c>
      <c r="F109" s="41">
        <f>303.85*H100</f>
        <v>4557.75</v>
      </c>
      <c r="G109" s="214">
        <f>3000%/100</f>
        <v>0.3</v>
      </c>
      <c r="H109" s="213"/>
      <c r="J109" s="212">
        <f t="shared" si="31"/>
        <v>24292.66</v>
      </c>
      <c r="K109" s="41">
        <f>3091.9*N100</f>
        <v>46378.5</v>
      </c>
      <c r="L109" s="41">
        <f>303.85*N100</f>
        <v>4557.75</v>
      </c>
      <c r="M109" s="214">
        <f>3000%/100</f>
        <v>0.3</v>
      </c>
      <c r="N109" s="213"/>
      <c r="P109" s="212">
        <f t="shared" si="32"/>
        <v>24292.66</v>
      </c>
      <c r="Q109" s="41">
        <f>3091.9*T100</f>
        <v>46378.5</v>
      </c>
      <c r="R109" s="41">
        <f>303.85*T100</f>
        <v>4557.75</v>
      </c>
      <c r="S109" s="214">
        <f>3000%/100</f>
        <v>0.3</v>
      </c>
      <c r="T109" s="213"/>
      <c r="V109" s="212">
        <f t="shared" si="33"/>
        <v>24292.66</v>
      </c>
      <c r="W109" s="41">
        <f>3091.9*Z100</f>
        <v>46378.5</v>
      </c>
      <c r="X109" s="41">
        <f>303.85*Z100</f>
        <v>4557.75</v>
      </c>
      <c r="Y109" s="214">
        <f>3000%/100</f>
        <v>0.3</v>
      </c>
      <c r="Z109" s="213"/>
      <c r="AB109" s="212">
        <f t="shared" si="34"/>
        <v>24292.66</v>
      </c>
      <c r="AC109" s="41">
        <f>3091.9*AF100</f>
        <v>46378.5</v>
      </c>
      <c r="AD109" s="41">
        <f>303.85*AF100</f>
        <v>4557.75</v>
      </c>
      <c r="AE109" s="214">
        <f>3000%/100</f>
        <v>0.3</v>
      </c>
      <c r="AF109" s="213"/>
      <c r="AH109" s="212">
        <f t="shared" si="35"/>
        <v>24292.66</v>
      </c>
      <c r="AI109" s="41">
        <f>3091.9*AL100</f>
        <v>46378.5</v>
      </c>
      <c r="AJ109" s="41">
        <f>303.85*AL100</f>
        <v>4557.75</v>
      </c>
      <c r="AK109" s="214">
        <f>3000%/100</f>
        <v>0.3</v>
      </c>
      <c r="AL109" s="213"/>
      <c r="AN109" s="212">
        <f t="shared" si="36"/>
        <v>24292.66</v>
      </c>
      <c r="AO109" s="41">
        <f>3091.9*AR100</f>
        <v>46378.5</v>
      </c>
      <c r="AP109" s="41">
        <f>303.85*AR100</f>
        <v>4557.75</v>
      </c>
      <c r="AQ109" s="214">
        <f>3000%/100</f>
        <v>0.3</v>
      </c>
      <c r="AR109" s="213"/>
      <c r="AT109" s="212">
        <f t="shared" si="37"/>
        <v>24292.66</v>
      </c>
      <c r="AU109" s="41">
        <f>3091.9*AX100</f>
        <v>46378.5</v>
      </c>
      <c r="AV109" s="41">
        <f>303.85*AX100</f>
        <v>4557.75</v>
      </c>
      <c r="AW109" s="214">
        <f>3000%/100</f>
        <v>0.3</v>
      </c>
      <c r="AX109" s="213"/>
      <c r="AZ109" s="212">
        <f t="shared" si="38"/>
        <v>24292.66</v>
      </c>
      <c r="BA109" s="41">
        <f>3091.9*BD100</f>
        <v>46378.5</v>
      </c>
      <c r="BB109" s="41">
        <f>303.85*BD100</f>
        <v>4557.75</v>
      </c>
      <c r="BC109" s="214">
        <f>3000%/100</f>
        <v>0.3</v>
      </c>
      <c r="BD109" s="213"/>
      <c r="BF109" s="212">
        <f t="shared" si="39"/>
        <v>24292.66</v>
      </c>
      <c r="BG109" s="41">
        <f>3091.9*BJ100</f>
        <v>46378.5</v>
      </c>
      <c r="BH109" s="41">
        <f>303.85*BJ100</f>
        <v>4557.75</v>
      </c>
      <c r="BI109" s="214">
        <f>3000%/100</f>
        <v>0.3</v>
      </c>
      <c r="BJ109" s="213"/>
    </row>
    <row r="110" spans="4:62" x14ac:dyDescent="0.2">
      <c r="D110" s="212">
        <f t="shared" si="30"/>
        <v>46378.51</v>
      </c>
      <c r="E110" s="41">
        <f>4122.54*H100</f>
        <v>61838.1</v>
      </c>
      <c r="F110" s="41">
        <f>745.56*H100</f>
        <v>11183.4</v>
      </c>
      <c r="G110" s="214">
        <f>3200%/100</f>
        <v>0.32</v>
      </c>
      <c r="H110" s="213"/>
      <c r="J110" s="212">
        <f t="shared" si="31"/>
        <v>46378.51</v>
      </c>
      <c r="K110" s="41">
        <f>4122.54*N100</f>
        <v>61838.1</v>
      </c>
      <c r="L110" s="41">
        <f>745.56*N100</f>
        <v>11183.4</v>
      </c>
      <c r="M110" s="214">
        <f>3200%/100</f>
        <v>0.32</v>
      </c>
      <c r="N110" s="213"/>
      <c r="P110" s="212">
        <f t="shared" si="32"/>
        <v>46378.51</v>
      </c>
      <c r="Q110" s="41">
        <f>4122.54*T100</f>
        <v>61838.1</v>
      </c>
      <c r="R110" s="41">
        <f>745.56*T100</f>
        <v>11183.4</v>
      </c>
      <c r="S110" s="214">
        <f>3200%/100</f>
        <v>0.32</v>
      </c>
      <c r="T110" s="213"/>
      <c r="V110" s="212">
        <f t="shared" si="33"/>
        <v>46378.51</v>
      </c>
      <c r="W110" s="41">
        <f>4122.54*Z100</f>
        <v>61838.1</v>
      </c>
      <c r="X110" s="41">
        <f>745.56*Z100</f>
        <v>11183.4</v>
      </c>
      <c r="Y110" s="214">
        <f>3200%/100</f>
        <v>0.32</v>
      </c>
      <c r="Z110" s="213"/>
      <c r="AB110" s="212">
        <f t="shared" si="34"/>
        <v>46378.51</v>
      </c>
      <c r="AC110" s="41">
        <f>4122.54*AF100</f>
        <v>61838.1</v>
      </c>
      <c r="AD110" s="41">
        <f>745.56*AF100</f>
        <v>11183.4</v>
      </c>
      <c r="AE110" s="214">
        <f>3200%/100</f>
        <v>0.32</v>
      </c>
      <c r="AF110" s="213"/>
      <c r="AH110" s="212">
        <f t="shared" si="35"/>
        <v>46378.51</v>
      </c>
      <c r="AI110" s="41">
        <f>4122.54*AL100</f>
        <v>61838.1</v>
      </c>
      <c r="AJ110" s="41">
        <f>745.56*AL100</f>
        <v>11183.4</v>
      </c>
      <c r="AK110" s="214">
        <f>3200%/100</f>
        <v>0.32</v>
      </c>
      <c r="AL110" s="213"/>
      <c r="AN110" s="212">
        <f t="shared" si="36"/>
        <v>46378.51</v>
      </c>
      <c r="AO110" s="41">
        <f>4122.54*AR100</f>
        <v>61838.1</v>
      </c>
      <c r="AP110" s="41">
        <f>745.56*AR100</f>
        <v>11183.4</v>
      </c>
      <c r="AQ110" s="214">
        <f>3200%/100</f>
        <v>0.32</v>
      </c>
      <c r="AR110" s="213"/>
      <c r="AT110" s="212">
        <f t="shared" si="37"/>
        <v>46378.51</v>
      </c>
      <c r="AU110" s="41">
        <f>4122.54*AX100</f>
        <v>61838.1</v>
      </c>
      <c r="AV110" s="41">
        <f>745.56*AX100</f>
        <v>11183.4</v>
      </c>
      <c r="AW110" s="214">
        <f>3200%/100</f>
        <v>0.32</v>
      </c>
      <c r="AX110" s="213"/>
      <c r="AZ110" s="212">
        <f t="shared" si="38"/>
        <v>46378.51</v>
      </c>
      <c r="BA110" s="41">
        <f>4122.54*BD100</f>
        <v>61838.1</v>
      </c>
      <c r="BB110" s="41">
        <f>745.56*BD100</f>
        <v>11183.4</v>
      </c>
      <c r="BC110" s="214">
        <f>3200%/100</f>
        <v>0.32</v>
      </c>
      <c r="BD110" s="213"/>
      <c r="BF110" s="212">
        <f t="shared" si="39"/>
        <v>46378.51</v>
      </c>
      <c r="BG110" s="41">
        <f>4122.54*BJ100</f>
        <v>61838.1</v>
      </c>
      <c r="BH110" s="41">
        <f>745.56*BJ100</f>
        <v>11183.4</v>
      </c>
      <c r="BI110" s="214">
        <f>3200%/100</f>
        <v>0.32</v>
      </c>
      <c r="BJ110" s="213"/>
    </row>
    <row r="111" spans="4:62" x14ac:dyDescent="0.2">
      <c r="D111" s="212">
        <f>+E110+0.01</f>
        <v>61838.11</v>
      </c>
      <c r="E111" s="41">
        <f>12367.62*H100</f>
        <v>185514.30000000002</v>
      </c>
      <c r="F111" s="41">
        <f>1075.37*H100</f>
        <v>16130.55</v>
      </c>
      <c r="G111" s="214">
        <f>3400%/100</f>
        <v>0.34</v>
      </c>
      <c r="H111" s="213"/>
      <c r="J111" s="212">
        <f>+K110+0.01</f>
        <v>61838.11</v>
      </c>
      <c r="K111" s="41">
        <f>12367.62*N100</f>
        <v>185514.30000000002</v>
      </c>
      <c r="L111" s="41">
        <f>1075.37*N100</f>
        <v>16130.55</v>
      </c>
      <c r="M111" s="214">
        <f>3400%/100</f>
        <v>0.34</v>
      </c>
      <c r="N111" s="213"/>
      <c r="P111" s="212">
        <f>+Q110+0.01</f>
        <v>61838.11</v>
      </c>
      <c r="Q111" s="41">
        <f>12367.62*T100</f>
        <v>185514.30000000002</v>
      </c>
      <c r="R111" s="41">
        <f>1075.37*T100</f>
        <v>16130.55</v>
      </c>
      <c r="S111" s="214">
        <f>3400%/100</f>
        <v>0.34</v>
      </c>
      <c r="T111" s="213"/>
      <c r="V111" s="212">
        <f>+W110+0.01</f>
        <v>61838.11</v>
      </c>
      <c r="W111" s="41">
        <f>12367.62*Z100</f>
        <v>185514.30000000002</v>
      </c>
      <c r="X111" s="41">
        <f>1075.37*Z100</f>
        <v>16130.55</v>
      </c>
      <c r="Y111" s="214">
        <f>3400%/100</f>
        <v>0.34</v>
      </c>
      <c r="Z111" s="213"/>
      <c r="AB111" s="212">
        <f>+AC110+0.01</f>
        <v>61838.11</v>
      </c>
      <c r="AC111" s="41">
        <f>12367.62*AF100</f>
        <v>185514.30000000002</v>
      </c>
      <c r="AD111" s="41">
        <f>1075.37*AF100</f>
        <v>16130.55</v>
      </c>
      <c r="AE111" s="214">
        <f>3400%/100</f>
        <v>0.34</v>
      </c>
      <c r="AF111" s="213"/>
      <c r="AH111" s="212">
        <f>+AI110+0.01</f>
        <v>61838.11</v>
      </c>
      <c r="AI111" s="41">
        <f>12367.62*AL100</f>
        <v>185514.30000000002</v>
      </c>
      <c r="AJ111" s="41">
        <f>1075.37*AL100</f>
        <v>16130.55</v>
      </c>
      <c r="AK111" s="214">
        <f>3400%/100</f>
        <v>0.34</v>
      </c>
      <c r="AL111" s="213"/>
      <c r="AN111" s="212">
        <f>+AO110+0.01</f>
        <v>61838.11</v>
      </c>
      <c r="AO111" s="41">
        <f>12367.62*AR100</f>
        <v>185514.30000000002</v>
      </c>
      <c r="AP111" s="41">
        <f>1075.37*AR100</f>
        <v>16130.55</v>
      </c>
      <c r="AQ111" s="214">
        <f>3400%/100</f>
        <v>0.34</v>
      </c>
      <c r="AR111" s="213"/>
      <c r="AT111" s="212">
        <f>+AU110+0.01</f>
        <v>61838.11</v>
      </c>
      <c r="AU111" s="41">
        <f>12367.62*AX100</f>
        <v>185514.30000000002</v>
      </c>
      <c r="AV111" s="41">
        <f>1075.37*AX100</f>
        <v>16130.55</v>
      </c>
      <c r="AW111" s="214">
        <f>3400%/100</f>
        <v>0.34</v>
      </c>
      <c r="AX111" s="213"/>
      <c r="AZ111" s="212">
        <f>+BA110+0.01</f>
        <v>61838.11</v>
      </c>
      <c r="BA111" s="41">
        <f>12367.62*BD100</f>
        <v>185514.30000000002</v>
      </c>
      <c r="BB111" s="41">
        <f>1075.37*BD100</f>
        <v>16130.55</v>
      </c>
      <c r="BC111" s="214">
        <f>3400%/100</f>
        <v>0.34</v>
      </c>
      <c r="BD111" s="213"/>
      <c r="BF111" s="212">
        <f>+BG110+0.01</f>
        <v>61838.11</v>
      </c>
      <c r="BG111" s="41">
        <f>12367.62*BJ100</f>
        <v>185514.30000000002</v>
      </c>
      <c r="BH111" s="41">
        <f>1075.37*BJ100</f>
        <v>16130.55</v>
      </c>
      <c r="BI111" s="214">
        <f>3400%/100</f>
        <v>0.34</v>
      </c>
      <c r="BJ111" s="213"/>
    </row>
    <row r="112" spans="4:62" x14ac:dyDescent="0.2">
      <c r="D112" s="212">
        <f>+E111+0.01</f>
        <v>185514.31000000003</v>
      </c>
      <c r="E112" s="41" t="s">
        <v>58</v>
      </c>
      <c r="F112" s="41">
        <f>3878.69*H100</f>
        <v>58180.35</v>
      </c>
      <c r="G112" s="214">
        <f>3500%/100</f>
        <v>0.35</v>
      </c>
      <c r="H112" s="213"/>
      <c r="J112" s="212">
        <f>+K111+0.01</f>
        <v>185514.31000000003</v>
      </c>
      <c r="K112" s="41" t="s">
        <v>58</v>
      </c>
      <c r="L112" s="41">
        <f>3878.69*N100</f>
        <v>58180.35</v>
      </c>
      <c r="M112" s="214">
        <f>3500%/100</f>
        <v>0.35</v>
      </c>
      <c r="N112" s="213"/>
      <c r="P112" s="212">
        <f>+Q111+0.01</f>
        <v>185514.31000000003</v>
      </c>
      <c r="Q112" s="41" t="s">
        <v>58</v>
      </c>
      <c r="R112" s="41">
        <f>3878.69*T100</f>
        <v>58180.35</v>
      </c>
      <c r="S112" s="214">
        <f>3500%/100</f>
        <v>0.35</v>
      </c>
      <c r="T112" s="213"/>
      <c r="V112" s="212">
        <f>+W111+0.01</f>
        <v>185514.31000000003</v>
      </c>
      <c r="W112" s="41" t="s">
        <v>58</v>
      </c>
      <c r="X112" s="41">
        <f>3878.69*Z100</f>
        <v>58180.35</v>
      </c>
      <c r="Y112" s="214">
        <f>3500%/100</f>
        <v>0.35</v>
      </c>
      <c r="Z112" s="213"/>
      <c r="AB112" s="212">
        <f>+AC111+0.01</f>
        <v>185514.31000000003</v>
      </c>
      <c r="AC112" s="41" t="s">
        <v>58</v>
      </c>
      <c r="AD112" s="41">
        <f>3878.69*AF100</f>
        <v>58180.35</v>
      </c>
      <c r="AE112" s="214">
        <f>3500%/100</f>
        <v>0.35</v>
      </c>
      <c r="AF112" s="213"/>
      <c r="AH112" s="212">
        <f>+AI111+0.01</f>
        <v>185514.31000000003</v>
      </c>
      <c r="AI112" s="41" t="s">
        <v>58</v>
      </c>
      <c r="AJ112" s="41">
        <f>3878.69*AL100</f>
        <v>58180.35</v>
      </c>
      <c r="AK112" s="214">
        <f>3500%/100</f>
        <v>0.35</v>
      </c>
      <c r="AL112" s="213"/>
      <c r="AN112" s="212">
        <f>+AO111+0.01</f>
        <v>185514.31000000003</v>
      </c>
      <c r="AO112" s="41" t="s">
        <v>58</v>
      </c>
      <c r="AP112" s="41">
        <f>3878.69*AR100</f>
        <v>58180.35</v>
      </c>
      <c r="AQ112" s="214">
        <f>3500%/100</f>
        <v>0.35</v>
      </c>
      <c r="AR112" s="213"/>
      <c r="AT112" s="212">
        <f>+AU111+0.01</f>
        <v>185514.31000000003</v>
      </c>
      <c r="AU112" s="41" t="s">
        <v>58</v>
      </c>
      <c r="AV112" s="41">
        <f>3878.69*AX100</f>
        <v>58180.35</v>
      </c>
      <c r="AW112" s="214">
        <f>3500%/100</f>
        <v>0.35</v>
      </c>
      <c r="AX112" s="213"/>
      <c r="AZ112" s="212">
        <f>+BA111+0.01</f>
        <v>185514.31000000003</v>
      </c>
      <c r="BA112" s="41" t="s">
        <v>58</v>
      </c>
      <c r="BB112" s="41">
        <f>3878.69*BD100</f>
        <v>58180.35</v>
      </c>
      <c r="BC112" s="214">
        <f>3500%/100</f>
        <v>0.35</v>
      </c>
      <c r="BD112" s="213"/>
      <c r="BF112" s="212">
        <f>+BG111+0.01</f>
        <v>185514.31000000003</v>
      </c>
      <c r="BG112" s="41" t="s">
        <v>58</v>
      </c>
      <c r="BH112" s="41">
        <f>3878.69*BJ100</f>
        <v>58180.35</v>
      </c>
      <c r="BI112" s="214">
        <f>3500%/100</f>
        <v>0.35</v>
      </c>
      <c r="BJ112" s="213"/>
    </row>
    <row r="113" spans="4:62" x14ac:dyDescent="0.2">
      <c r="D113" s="212"/>
      <c r="G113" s="214"/>
      <c r="H113" s="213"/>
      <c r="J113" s="212"/>
      <c r="M113" s="214"/>
      <c r="N113" s="213"/>
      <c r="P113" s="212"/>
      <c r="S113" s="214"/>
      <c r="T113" s="213"/>
      <c r="V113" s="212"/>
      <c r="Y113" s="214"/>
      <c r="Z113" s="213"/>
      <c r="AB113" s="212"/>
      <c r="AE113" s="214"/>
      <c r="AF113" s="213"/>
      <c r="AH113" s="212"/>
      <c r="AK113" s="214"/>
      <c r="AL113" s="213"/>
      <c r="AN113" s="212"/>
      <c r="AQ113" s="214"/>
      <c r="AR113" s="213"/>
      <c r="AT113" s="212"/>
      <c r="AW113" s="214"/>
      <c r="AX113" s="213"/>
      <c r="AZ113" s="212"/>
      <c r="BC113" s="214"/>
      <c r="BD113" s="213"/>
      <c r="BF113" s="212"/>
      <c r="BI113" s="214"/>
      <c r="BJ113" s="213"/>
    </row>
    <row r="114" spans="4:62" x14ac:dyDescent="0.2">
      <c r="D114" s="208" t="s">
        <v>355</v>
      </c>
      <c r="E114" s="209"/>
      <c r="F114" s="209"/>
      <c r="G114" s="210"/>
      <c r="H114" s="215" t="s">
        <v>130</v>
      </c>
      <c r="J114" s="208" t="s">
        <v>355</v>
      </c>
      <c r="K114" s="209"/>
      <c r="L114" s="209"/>
      <c r="M114" s="210"/>
      <c r="N114" s="215" t="s">
        <v>130</v>
      </c>
      <c r="P114" s="208" t="s">
        <v>355</v>
      </c>
      <c r="Q114" s="209"/>
      <c r="R114" s="209"/>
      <c r="S114" s="210"/>
      <c r="T114" s="215" t="s">
        <v>130</v>
      </c>
      <c r="V114" s="208" t="s">
        <v>355</v>
      </c>
      <c r="W114" s="209"/>
      <c r="X114" s="209"/>
      <c r="Y114" s="210"/>
      <c r="Z114" s="215" t="s">
        <v>130</v>
      </c>
      <c r="AB114" s="208" t="s">
        <v>355</v>
      </c>
      <c r="AC114" s="209"/>
      <c r="AD114" s="209"/>
      <c r="AE114" s="210"/>
      <c r="AF114" s="215" t="s">
        <v>130</v>
      </c>
      <c r="AH114" s="208" t="s">
        <v>355</v>
      </c>
      <c r="AI114" s="209"/>
      <c r="AJ114" s="209"/>
      <c r="AK114" s="210"/>
      <c r="AL114" s="215" t="s">
        <v>130</v>
      </c>
      <c r="AN114" s="208" t="s">
        <v>355</v>
      </c>
      <c r="AO114" s="209"/>
      <c r="AP114" s="209"/>
      <c r="AQ114" s="210"/>
      <c r="AR114" s="215" t="s">
        <v>130</v>
      </c>
      <c r="AT114" s="208" t="s">
        <v>355</v>
      </c>
      <c r="AU114" s="209"/>
      <c r="AV114" s="209"/>
      <c r="AW114" s="210"/>
      <c r="AX114" s="215" t="s">
        <v>130</v>
      </c>
      <c r="AZ114" s="208" t="s">
        <v>355</v>
      </c>
      <c r="BA114" s="209"/>
      <c r="BB114" s="209"/>
      <c r="BC114" s="210"/>
      <c r="BD114" s="215" t="s">
        <v>130</v>
      </c>
      <c r="BF114" s="208" t="s">
        <v>355</v>
      </c>
      <c r="BG114" s="209"/>
      <c r="BH114" s="209"/>
      <c r="BI114" s="210"/>
      <c r="BJ114" s="215" t="s">
        <v>130</v>
      </c>
    </row>
    <row r="115" spans="4:62" x14ac:dyDescent="0.2">
      <c r="D115" s="212"/>
      <c r="G115" s="214"/>
      <c r="H115" s="213"/>
      <c r="J115" s="212"/>
      <c r="M115" s="214"/>
      <c r="N115" s="213"/>
      <c r="P115" s="212"/>
      <c r="S115" s="214"/>
      <c r="T115" s="213"/>
      <c r="V115" s="212"/>
      <c r="Y115" s="214"/>
      <c r="Z115" s="213"/>
      <c r="AB115" s="212"/>
      <c r="AE115" s="214"/>
      <c r="AF115" s="213"/>
      <c r="AH115" s="212"/>
      <c r="AK115" s="214"/>
      <c r="AL115" s="213"/>
      <c r="AN115" s="212"/>
      <c r="AQ115" s="214"/>
      <c r="AR115" s="213"/>
      <c r="AT115" s="212"/>
      <c r="AW115" s="214"/>
      <c r="AX115" s="213"/>
      <c r="AZ115" s="212"/>
      <c r="BC115" s="214"/>
      <c r="BD115" s="213"/>
      <c r="BF115" s="212"/>
      <c r="BI115" s="214"/>
      <c r="BJ115" s="213"/>
    </row>
    <row r="116" spans="4:62" ht="25.5" customHeight="1" x14ac:dyDescent="0.2">
      <c r="D116" s="216" t="s">
        <v>133</v>
      </c>
      <c r="E116" s="217" t="s">
        <v>132</v>
      </c>
      <c r="F116" s="217" t="s">
        <v>131</v>
      </c>
      <c r="G116" s="218"/>
      <c r="H116" s="211">
        <f>+H100</f>
        <v>15</v>
      </c>
      <c r="J116" s="216" t="s">
        <v>133</v>
      </c>
      <c r="K116" s="217" t="s">
        <v>132</v>
      </c>
      <c r="L116" s="217" t="s">
        <v>131</v>
      </c>
      <c r="M116" s="218"/>
      <c r="N116" s="211">
        <f>+N100</f>
        <v>15</v>
      </c>
      <c r="P116" s="216" t="s">
        <v>133</v>
      </c>
      <c r="Q116" s="217" t="s">
        <v>132</v>
      </c>
      <c r="R116" s="217" t="s">
        <v>131</v>
      </c>
      <c r="S116" s="218"/>
      <c r="T116" s="211">
        <f>+T100</f>
        <v>15</v>
      </c>
      <c r="V116" s="216" t="s">
        <v>133</v>
      </c>
      <c r="W116" s="217" t="s">
        <v>132</v>
      </c>
      <c r="X116" s="217" t="s">
        <v>131</v>
      </c>
      <c r="Y116" s="218"/>
      <c r="Z116" s="211">
        <f>+Z100</f>
        <v>15</v>
      </c>
      <c r="AB116" s="216" t="s">
        <v>133</v>
      </c>
      <c r="AC116" s="217" t="s">
        <v>132</v>
      </c>
      <c r="AD116" s="217" t="s">
        <v>131</v>
      </c>
      <c r="AE116" s="218"/>
      <c r="AF116" s="211">
        <f>+AF100</f>
        <v>15</v>
      </c>
      <c r="AH116" s="216" t="s">
        <v>133</v>
      </c>
      <c r="AI116" s="217" t="s">
        <v>132</v>
      </c>
      <c r="AJ116" s="217" t="s">
        <v>131</v>
      </c>
      <c r="AK116" s="218"/>
      <c r="AL116" s="211">
        <f>+AL100</f>
        <v>15</v>
      </c>
      <c r="AN116" s="216" t="s">
        <v>133</v>
      </c>
      <c r="AO116" s="217" t="s">
        <v>132</v>
      </c>
      <c r="AP116" s="217" t="s">
        <v>131</v>
      </c>
      <c r="AQ116" s="218"/>
      <c r="AR116" s="211">
        <f>+AR100</f>
        <v>15</v>
      </c>
      <c r="AT116" s="216" t="s">
        <v>133</v>
      </c>
      <c r="AU116" s="217" t="s">
        <v>132</v>
      </c>
      <c r="AV116" s="217" t="s">
        <v>131</v>
      </c>
      <c r="AW116" s="218"/>
      <c r="AX116" s="211">
        <f>+AX100</f>
        <v>15</v>
      </c>
      <c r="AZ116" s="216" t="s">
        <v>133</v>
      </c>
      <c r="BA116" s="217" t="s">
        <v>132</v>
      </c>
      <c r="BB116" s="217" t="s">
        <v>131</v>
      </c>
      <c r="BC116" s="218"/>
      <c r="BD116" s="211">
        <f>+BD100</f>
        <v>15</v>
      </c>
      <c r="BF116" s="216" t="s">
        <v>133</v>
      </c>
      <c r="BG116" s="217" t="s">
        <v>132</v>
      </c>
      <c r="BH116" s="217" t="s">
        <v>131</v>
      </c>
      <c r="BI116" s="218"/>
      <c r="BJ116" s="211">
        <f>+BJ100</f>
        <v>15</v>
      </c>
    </row>
    <row r="117" spans="4:62" x14ac:dyDescent="0.2">
      <c r="D117" s="212" t="s">
        <v>57</v>
      </c>
      <c r="E117" s="41" t="s">
        <v>57</v>
      </c>
      <c r="F117" s="41" t="s">
        <v>57</v>
      </c>
      <c r="G117" s="41"/>
      <c r="H117" s="213"/>
      <c r="J117" s="212" t="s">
        <v>57</v>
      </c>
      <c r="K117" s="41" t="s">
        <v>57</v>
      </c>
      <c r="L117" s="41" t="s">
        <v>57</v>
      </c>
      <c r="N117" s="213"/>
      <c r="P117" s="212" t="s">
        <v>57</v>
      </c>
      <c r="Q117" s="41" t="s">
        <v>57</v>
      </c>
      <c r="R117" s="41" t="s">
        <v>57</v>
      </c>
      <c r="T117" s="213"/>
      <c r="V117" s="212" t="s">
        <v>57</v>
      </c>
      <c r="W117" s="41" t="s">
        <v>57</v>
      </c>
      <c r="X117" s="41" t="s">
        <v>57</v>
      </c>
      <c r="Z117" s="213"/>
      <c r="AB117" s="212" t="s">
        <v>57</v>
      </c>
      <c r="AC117" s="41" t="s">
        <v>57</v>
      </c>
      <c r="AD117" s="41" t="s">
        <v>57</v>
      </c>
      <c r="AF117" s="213"/>
      <c r="AH117" s="212" t="s">
        <v>57</v>
      </c>
      <c r="AI117" s="41" t="s">
        <v>57</v>
      </c>
      <c r="AJ117" s="41" t="s">
        <v>57</v>
      </c>
      <c r="AL117" s="213"/>
      <c r="AN117" s="212" t="s">
        <v>57</v>
      </c>
      <c r="AO117" s="41" t="s">
        <v>57</v>
      </c>
      <c r="AP117" s="41" t="s">
        <v>57</v>
      </c>
      <c r="AR117" s="213"/>
      <c r="AT117" s="212" t="s">
        <v>57</v>
      </c>
      <c r="AU117" s="41" t="s">
        <v>57</v>
      </c>
      <c r="AV117" s="41" t="s">
        <v>57</v>
      </c>
      <c r="AX117" s="213"/>
      <c r="AZ117" s="212" t="s">
        <v>57</v>
      </c>
      <c r="BA117" s="41" t="s">
        <v>57</v>
      </c>
      <c r="BB117" s="41" t="s">
        <v>57</v>
      </c>
      <c r="BD117" s="213"/>
      <c r="BF117" s="212" t="s">
        <v>57</v>
      </c>
      <c r="BG117" s="41" t="s">
        <v>57</v>
      </c>
      <c r="BH117" s="41" t="s">
        <v>57</v>
      </c>
      <c r="BJ117" s="213"/>
    </row>
    <row r="118" spans="4:62" x14ac:dyDescent="0.2">
      <c r="D118" s="262">
        <v>0.01</v>
      </c>
      <c r="E118" s="41">
        <f>334.5723*H116</f>
        <v>5018.5844999999999</v>
      </c>
      <c r="F118" s="41">
        <f>15.6233*H116</f>
        <v>234.34950000000001</v>
      </c>
      <c r="G118" s="41"/>
      <c r="H118" s="213"/>
      <c r="J118" s="262">
        <v>0.01</v>
      </c>
      <c r="K118" s="41">
        <f>334.5723*N116</f>
        <v>5018.5844999999999</v>
      </c>
      <c r="L118" s="41">
        <f>15.6233*N116</f>
        <v>234.34950000000001</v>
      </c>
      <c r="N118" s="213"/>
      <c r="P118" s="262">
        <v>0.01</v>
      </c>
      <c r="Q118" s="41">
        <f>334.5723*T116</f>
        <v>5018.5844999999999</v>
      </c>
      <c r="R118" s="41">
        <f>15.6233*T116</f>
        <v>234.34950000000001</v>
      </c>
      <c r="T118" s="213"/>
      <c r="V118" s="262">
        <v>0.01</v>
      </c>
      <c r="W118" s="41">
        <f>334.5723*Z116</f>
        <v>5018.5844999999999</v>
      </c>
      <c r="X118" s="41">
        <f>15.6233*Z116</f>
        <v>234.34950000000001</v>
      </c>
      <c r="Z118" s="213"/>
      <c r="AB118" s="262">
        <v>0.01</v>
      </c>
      <c r="AC118" s="41">
        <f>334.5723*AF116</f>
        <v>5018.5844999999999</v>
      </c>
      <c r="AD118" s="41">
        <f>15.6233*AF116</f>
        <v>234.34950000000001</v>
      </c>
      <c r="AF118" s="213"/>
      <c r="AH118" s="262">
        <v>0.01</v>
      </c>
      <c r="AI118" s="41">
        <f>334.5723*AL116</f>
        <v>5018.5844999999999</v>
      </c>
      <c r="AJ118" s="41">
        <f>15.6233*AL116</f>
        <v>234.34950000000001</v>
      </c>
      <c r="AL118" s="213"/>
      <c r="AN118" s="262">
        <v>0.01</v>
      </c>
      <c r="AO118" s="41">
        <f>334.5723*AR116</f>
        <v>5018.5844999999999</v>
      </c>
      <c r="AP118" s="41">
        <f>15.6233*AR116</f>
        <v>234.34950000000001</v>
      </c>
      <c r="AR118" s="213"/>
      <c r="AT118" s="262">
        <v>0.01</v>
      </c>
      <c r="AU118" s="41">
        <f>334.5723*AX116</f>
        <v>5018.5844999999999</v>
      </c>
      <c r="AV118" s="41">
        <f>15.6233*AX116</f>
        <v>234.34950000000001</v>
      </c>
      <c r="AX118" s="213"/>
      <c r="AZ118" s="262">
        <v>0.01</v>
      </c>
      <c r="BA118" s="41">
        <f>334.5723*BD116</f>
        <v>5018.5844999999999</v>
      </c>
      <c r="BB118" s="41">
        <f>15.6233*BD116</f>
        <v>234.34950000000001</v>
      </c>
      <c r="BD118" s="213"/>
      <c r="BF118" s="262">
        <v>0.01</v>
      </c>
      <c r="BG118" s="41">
        <f>334.5723*BJ116</f>
        <v>5018.5844999999999</v>
      </c>
      <c r="BH118" s="41">
        <f>15.6233*BJ116</f>
        <v>234.34950000000001</v>
      </c>
      <c r="BJ118" s="213"/>
    </row>
    <row r="119" spans="4:62" x14ac:dyDescent="0.2">
      <c r="D119" s="212">
        <f>E118+0.01</f>
        <v>5018.5945000000002</v>
      </c>
      <c r="E119" s="41">
        <v>10171.02</v>
      </c>
      <c r="F119" s="213">
        <v>0</v>
      </c>
      <c r="G119" s="41"/>
      <c r="H119" s="213"/>
      <c r="J119" s="212">
        <f>K118+0.01</f>
        <v>5018.5945000000002</v>
      </c>
      <c r="K119" s="41">
        <v>10171.02</v>
      </c>
      <c r="L119" s="213">
        <v>0</v>
      </c>
      <c r="N119" s="213"/>
      <c r="P119" s="212">
        <f>Q118+0.01</f>
        <v>5018.5945000000002</v>
      </c>
      <c r="Q119" s="41">
        <v>10171.02</v>
      </c>
      <c r="R119" s="213">
        <v>0</v>
      </c>
      <c r="T119" s="213"/>
      <c r="V119" s="212">
        <f>W118+0.01</f>
        <v>5018.5945000000002</v>
      </c>
      <c r="W119" s="41">
        <v>10171.02</v>
      </c>
      <c r="X119" s="213">
        <v>0</v>
      </c>
      <c r="Z119" s="213"/>
      <c r="AB119" s="212">
        <f>AC118+0.01</f>
        <v>5018.5945000000002</v>
      </c>
      <c r="AC119" s="41">
        <v>10171.02</v>
      </c>
      <c r="AD119" s="213">
        <v>0</v>
      </c>
      <c r="AF119" s="213"/>
      <c r="AH119" s="212">
        <f>AI118+0.01</f>
        <v>5018.5945000000002</v>
      </c>
      <c r="AI119" s="41">
        <v>10171.02</v>
      </c>
      <c r="AJ119" s="213">
        <v>0</v>
      </c>
      <c r="AL119" s="213"/>
      <c r="AN119" s="212">
        <f>AO118+0.01</f>
        <v>5018.5945000000002</v>
      </c>
      <c r="AO119" s="41">
        <v>10171.02</v>
      </c>
      <c r="AP119" s="213">
        <v>0</v>
      </c>
      <c r="AR119" s="213"/>
      <c r="AT119" s="212">
        <f>AU118+0.01</f>
        <v>5018.5945000000002</v>
      </c>
      <c r="AU119" s="41">
        <v>10171.02</v>
      </c>
      <c r="AV119" s="213">
        <v>0</v>
      </c>
      <c r="AX119" s="213"/>
      <c r="AZ119" s="212">
        <f>BA118+0.01</f>
        <v>5018.5945000000002</v>
      </c>
      <c r="BA119" s="41">
        <v>10171.02</v>
      </c>
      <c r="BB119" s="213">
        <v>0</v>
      </c>
      <c r="BD119" s="213"/>
      <c r="BF119" s="212">
        <f>BG118+0.01</f>
        <v>5018.5945000000002</v>
      </c>
      <c r="BG119" s="41">
        <v>10171.02</v>
      </c>
      <c r="BH119" s="213">
        <v>0</v>
      </c>
      <c r="BJ119" s="213"/>
    </row>
    <row r="120" spans="4:62" x14ac:dyDescent="0.2">
      <c r="D120" s="212">
        <v>10171.030000000001</v>
      </c>
      <c r="E120" s="212">
        <v>10171.040000000001</v>
      </c>
      <c r="F120" s="213">
        <v>0</v>
      </c>
      <c r="G120" s="41"/>
      <c r="H120" s="213"/>
      <c r="J120" s="212">
        <v>10171.030000000001</v>
      </c>
      <c r="K120" s="212">
        <v>10171.040000000001</v>
      </c>
      <c r="L120" s="213">
        <v>0</v>
      </c>
      <c r="N120" s="213"/>
      <c r="P120" s="212">
        <v>10171.030000000001</v>
      </c>
      <c r="Q120" s="212">
        <v>10171.040000000001</v>
      </c>
      <c r="R120" s="213">
        <v>0</v>
      </c>
      <c r="T120" s="213"/>
      <c r="V120" s="212">
        <v>10171.030000000001</v>
      </c>
      <c r="W120" s="212">
        <v>10171.040000000001</v>
      </c>
      <c r="X120" s="213">
        <v>0</v>
      </c>
      <c r="Z120" s="213"/>
      <c r="AB120" s="212">
        <v>10171.030000000001</v>
      </c>
      <c r="AC120" s="212">
        <v>10171.040000000001</v>
      </c>
      <c r="AD120" s="213">
        <v>0</v>
      </c>
      <c r="AF120" s="213"/>
      <c r="AH120" s="212">
        <v>10171.030000000001</v>
      </c>
      <c r="AI120" s="212">
        <v>10171.040000000001</v>
      </c>
      <c r="AJ120" s="213">
        <v>0</v>
      </c>
      <c r="AL120" s="213"/>
      <c r="AN120" s="212">
        <v>10171.030000000001</v>
      </c>
      <c r="AO120" s="212">
        <v>10171.040000000001</v>
      </c>
      <c r="AP120" s="213">
        <v>0</v>
      </c>
      <c r="AR120" s="213"/>
      <c r="AT120" s="212">
        <v>10171.030000000001</v>
      </c>
      <c r="AU120" s="212">
        <v>10171.040000000001</v>
      </c>
      <c r="AV120" s="213">
        <v>0</v>
      </c>
      <c r="AX120" s="213"/>
      <c r="AZ120" s="212">
        <v>10171.030000000001</v>
      </c>
      <c r="BA120" s="212">
        <v>10171.040000000001</v>
      </c>
      <c r="BB120" s="213">
        <v>0</v>
      </c>
      <c r="BD120" s="213"/>
      <c r="BF120" s="212">
        <v>10171.030000000001</v>
      </c>
      <c r="BG120" s="212">
        <v>10171.040000000001</v>
      </c>
      <c r="BH120" s="213">
        <v>0</v>
      </c>
      <c r="BJ120" s="213"/>
    </row>
    <row r="121" spans="4:62" x14ac:dyDescent="0.2">
      <c r="D121" s="212">
        <v>10171.049999999999</v>
      </c>
      <c r="E121" s="212">
        <v>10171.06</v>
      </c>
      <c r="F121" s="213">
        <v>0</v>
      </c>
      <c r="G121" s="41"/>
      <c r="H121" s="213"/>
      <c r="J121" s="212">
        <v>10171.049999999999</v>
      </c>
      <c r="K121" s="212">
        <v>10171.06</v>
      </c>
      <c r="L121" s="213">
        <v>0</v>
      </c>
      <c r="N121" s="213"/>
      <c r="P121" s="212">
        <v>10171.049999999999</v>
      </c>
      <c r="Q121" s="212">
        <v>10171.06</v>
      </c>
      <c r="R121" s="213">
        <v>0</v>
      </c>
      <c r="T121" s="213"/>
      <c r="V121" s="212">
        <v>10171.049999999999</v>
      </c>
      <c r="W121" s="212">
        <v>10171.06</v>
      </c>
      <c r="X121" s="213">
        <v>0</v>
      </c>
      <c r="Z121" s="213"/>
      <c r="AB121" s="212">
        <v>10171.049999999999</v>
      </c>
      <c r="AC121" s="212">
        <v>10171.06</v>
      </c>
      <c r="AD121" s="213">
        <v>0</v>
      </c>
      <c r="AF121" s="213"/>
      <c r="AH121" s="212">
        <v>10171.049999999999</v>
      </c>
      <c r="AI121" s="212">
        <v>10171.06</v>
      </c>
      <c r="AJ121" s="213">
        <v>0</v>
      </c>
      <c r="AL121" s="213"/>
      <c r="AN121" s="212">
        <v>10171.049999999999</v>
      </c>
      <c r="AO121" s="212">
        <v>10171.06</v>
      </c>
      <c r="AP121" s="213">
        <v>0</v>
      </c>
      <c r="AR121" s="213"/>
      <c r="AT121" s="212">
        <v>10171.049999999999</v>
      </c>
      <c r="AU121" s="212">
        <v>10171.06</v>
      </c>
      <c r="AV121" s="213">
        <v>0</v>
      </c>
      <c r="AX121" s="213"/>
      <c r="AZ121" s="212">
        <v>10171.049999999999</v>
      </c>
      <c r="BA121" s="212">
        <v>10171.06</v>
      </c>
      <c r="BB121" s="213">
        <v>0</v>
      </c>
      <c r="BD121" s="213"/>
      <c r="BF121" s="212">
        <v>10171.049999999999</v>
      </c>
      <c r="BG121" s="212">
        <v>10171.06</v>
      </c>
      <c r="BH121" s="213">
        <v>0</v>
      </c>
      <c r="BJ121" s="213"/>
    </row>
    <row r="122" spans="4:62" x14ac:dyDescent="0.2">
      <c r="D122" s="212">
        <v>10171.07</v>
      </c>
      <c r="E122" s="212">
        <v>10171.08</v>
      </c>
      <c r="F122" s="213">
        <v>0</v>
      </c>
      <c r="G122" s="41"/>
      <c r="H122" s="213"/>
      <c r="J122" s="212">
        <v>10171.07</v>
      </c>
      <c r="K122" s="212">
        <v>10171.08</v>
      </c>
      <c r="L122" s="213">
        <v>0</v>
      </c>
      <c r="N122" s="213"/>
      <c r="P122" s="212">
        <v>10171.07</v>
      </c>
      <c r="Q122" s="212">
        <v>10171.08</v>
      </c>
      <c r="R122" s="213">
        <v>0</v>
      </c>
      <c r="T122" s="213"/>
      <c r="V122" s="212">
        <v>10171.07</v>
      </c>
      <c r="W122" s="212">
        <v>10171.08</v>
      </c>
      <c r="X122" s="213">
        <v>0</v>
      </c>
      <c r="Z122" s="213"/>
      <c r="AB122" s="212">
        <v>10171.07</v>
      </c>
      <c r="AC122" s="212">
        <v>10171.08</v>
      </c>
      <c r="AD122" s="213">
        <v>0</v>
      </c>
      <c r="AF122" s="213"/>
      <c r="AH122" s="212">
        <v>10171.07</v>
      </c>
      <c r="AI122" s="212">
        <v>10171.08</v>
      </c>
      <c r="AJ122" s="213">
        <v>0</v>
      </c>
      <c r="AL122" s="213"/>
      <c r="AN122" s="212">
        <v>10171.07</v>
      </c>
      <c r="AO122" s="212">
        <v>10171.08</v>
      </c>
      <c r="AP122" s="213">
        <v>0</v>
      </c>
      <c r="AR122" s="213"/>
      <c r="AT122" s="212">
        <v>10171.07</v>
      </c>
      <c r="AU122" s="212">
        <v>10171.08</v>
      </c>
      <c r="AV122" s="213">
        <v>0</v>
      </c>
      <c r="AX122" s="213"/>
      <c r="AZ122" s="212">
        <v>10171.07</v>
      </c>
      <c r="BA122" s="212">
        <v>10171.08</v>
      </c>
      <c r="BB122" s="213">
        <v>0</v>
      </c>
      <c r="BD122" s="213"/>
      <c r="BF122" s="212">
        <v>10171.07</v>
      </c>
      <c r="BG122" s="212">
        <v>10171.08</v>
      </c>
      <c r="BH122" s="213">
        <v>0</v>
      </c>
      <c r="BJ122" s="213"/>
    </row>
    <row r="123" spans="4:62" x14ac:dyDescent="0.2">
      <c r="D123" s="212">
        <v>10171.09</v>
      </c>
      <c r="E123" s="212">
        <v>10171.1</v>
      </c>
      <c r="F123" s="213">
        <v>0</v>
      </c>
      <c r="G123" s="41"/>
      <c r="H123" s="213"/>
      <c r="J123" s="212">
        <v>10171.09</v>
      </c>
      <c r="K123" s="212">
        <v>10171.1</v>
      </c>
      <c r="L123" s="213">
        <v>0</v>
      </c>
      <c r="N123" s="213"/>
      <c r="P123" s="212">
        <v>10171.09</v>
      </c>
      <c r="Q123" s="212">
        <v>10171.1</v>
      </c>
      <c r="R123" s="213">
        <v>0</v>
      </c>
      <c r="T123" s="213"/>
      <c r="V123" s="212">
        <v>10171.09</v>
      </c>
      <c r="W123" s="212">
        <v>10171.1</v>
      </c>
      <c r="X123" s="213">
        <v>0</v>
      </c>
      <c r="Z123" s="213"/>
      <c r="AB123" s="212">
        <v>10171.09</v>
      </c>
      <c r="AC123" s="212">
        <v>10171.1</v>
      </c>
      <c r="AD123" s="213">
        <v>0</v>
      </c>
      <c r="AF123" s="213"/>
      <c r="AH123" s="212">
        <v>10171.09</v>
      </c>
      <c r="AI123" s="212">
        <v>10171.1</v>
      </c>
      <c r="AJ123" s="213">
        <v>0</v>
      </c>
      <c r="AL123" s="213"/>
      <c r="AN123" s="212">
        <v>10171.09</v>
      </c>
      <c r="AO123" s="212">
        <v>10171.1</v>
      </c>
      <c r="AP123" s="213">
        <v>0</v>
      </c>
      <c r="AR123" s="213"/>
      <c r="AT123" s="212">
        <v>10171.09</v>
      </c>
      <c r="AU123" s="212">
        <v>10171.1</v>
      </c>
      <c r="AV123" s="213">
        <v>0</v>
      </c>
      <c r="AX123" s="213"/>
      <c r="AZ123" s="212">
        <v>10171.09</v>
      </c>
      <c r="BA123" s="212">
        <v>10171.1</v>
      </c>
      <c r="BB123" s="213">
        <v>0</v>
      </c>
      <c r="BD123" s="213"/>
      <c r="BF123" s="212">
        <v>10171.09</v>
      </c>
      <c r="BG123" s="212">
        <v>10171.1</v>
      </c>
      <c r="BH123" s="213">
        <v>0</v>
      </c>
      <c r="BJ123" s="213"/>
    </row>
    <row r="124" spans="4:62" x14ac:dyDescent="0.2">
      <c r="D124" s="212">
        <v>10171.11</v>
      </c>
      <c r="E124" s="212">
        <v>10171.120000000001</v>
      </c>
      <c r="F124" s="213">
        <v>0</v>
      </c>
      <c r="G124" s="41"/>
      <c r="H124" s="213"/>
      <c r="J124" s="212">
        <v>10171.11</v>
      </c>
      <c r="K124" s="212">
        <v>10171.120000000001</v>
      </c>
      <c r="L124" s="213">
        <v>0</v>
      </c>
      <c r="N124" s="213"/>
      <c r="P124" s="212">
        <v>10171.11</v>
      </c>
      <c r="Q124" s="212">
        <v>10171.120000000001</v>
      </c>
      <c r="R124" s="213">
        <v>0</v>
      </c>
      <c r="T124" s="213"/>
      <c r="V124" s="212">
        <v>10171.11</v>
      </c>
      <c r="W124" s="212">
        <v>10171.120000000001</v>
      </c>
      <c r="X124" s="213">
        <v>0</v>
      </c>
      <c r="Z124" s="213"/>
      <c r="AB124" s="212">
        <v>10171.11</v>
      </c>
      <c r="AC124" s="212">
        <v>10171.120000000001</v>
      </c>
      <c r="AD124" s="213">
        <v>0</v>
      </c>
      <c r="AF124" s="213"/>
      <c r="AH124" s="212">
        <v>10171.11</v>
      </c>
      <c r="AI124" s="212">
        <v>10171.120000000001</v>
      </c>
      <c r="AJ124" s="213">
        <v>0</v>
      </c>
      <c r="AL124" s="213"/>
      <c r="AN124" s="212">
        <v>10171.11</v>
      </c>
      <c r="AO124" s="212">
        <v>10171.120000000001</v>
      </c>
      <c r="AP124" s="213">
        <v>0</v>
      </c>
      <c r="AR124" s="213"/>
      <c r="AT124" s="212">
        <v>10171.11</v>
      </c>
      <c r="AU124" s="212">
        <v>10171.120000000001</v>
      </c>
      <c r="AV124" s="213">
        <v>0</v>
      </c>
      <c r="AX124" s="213"/>
      <c r="AZ124" s="212">
        <v>10171.11</v>
      </c>
      <c r="BA124" s="212">
        <v>10171.120000000001</v>
      </c>
      <c r="BB124" s="213">
        <v>0</v>
      </c>
      <c r="BD124" s="213"/>
      <c r="BF124" s="212">
        <v>10171.11</v>
      </c>
      <c r="BG124" s="212">
        <v>10171.120000000001</v>
      </c>
      <c r="BH124" s="213">
        <v>0</v>
      </c>
      <c r="BJ124" s="213"/>
    </row>
    <row r="125" spans="4:62" x14ac:dyDescent="0.2">
      <c r="D125" s="212">
        <v>10171.129999999999</v>
      </c>
      <c r="E125" s="212">
        <v>10171.14</v>
      </c>
      <c r="F125" s="213">
        <v>0</v>
      </c>
      <c r="G125" s="41"/>
      <c r="H125" s="213"/>
      <c r="J125" s="212">
        <v>10171.129999999999</v>
      </c>
      <c r="K125" s="212">
        <v>10171.14</v>
      </c>
      <c r="L125" s="213">
        <v>0</v>
      </c>
      <c r="N125" s="213"/>
      <c r="P125" s="212">
        <v>10171.129999999999</v>
      </c>
      <c r="Q125" s="212">
        <v>10171.14</v>
      </c>
      <c r="R125" s="213">
        <v>0</v>
      </c>
      <c r="T125" s="213"/>
      <c r="V125" s="212">
        <v>10171.129999999999</v>
      </c>
      <c r="W125" s="212">
        <v>10171.14</v>
      </c>
      <c r="X125" s="213">
        <v>0</v>
      </c>
      <c r="Z125" s="213"/>
      <c r="AB125" s="212">
        <v>10171.129999999999</v>
      </c>
      <c r="AC125" s="212">
        <v>10171.14</v>
      </c>
      <c r="AD125" s="213">
        <v>0</v>
      </c>
      <c r="AF125" s="213"/>
      <c r="AH125" s="212">
        <v>10171.129999999999</v>
      </c>
      <c r="AI125" s="212">
        <v>10171.14</v>
      </c>
      <c r="AJ125" s="213">
        <v>0</v>
      </c>
      <c r="AL125" s="213"/>
      <c r="AN125" s="212">
        <v>10171.129999999999</v>
      </c>
      <c r="AO125" s="212">
        <v>10171.14</v>
      </c>
      <c r="AP125" s="213">
        <v>0</v>
      </c>
      <c r="AR125" s="213"/>
      <c r="AT125" s="212">
        <v>10171.129999999999</v>
      </c>
      <c r="AU125" s="212">
        <v>10171.14</v>
      </c>
      <c r="AV125" s="213">
        <v>0</v>
      </c>
      <c r="AX125" s="213"/>
      <c r="AZ125" s="212">
        <v>10171.129999999999</v>
      </c>
      <c r="BA125" s="212">
        <v>10171.14</v>
      </c>
      <c r="BB125" s="213">
        <v>0</v>
      </c>
      <c r="BD125" s="213"/>
      <c r="BF125" s="212">
        <v>10171.129999999999</v>
      </c>
      <c r="BG125" s="212">
        <v>10171.14</v>
      </c>
      <c r="BH125" s="213">
        <v>0</v>
      </c>
      <c r="BJ125" s="213"/>
    </row>
    <row r="126" spans="4:62" x14ac:dyDescent="0.2">
      <c r="D126" s="212">
        <v>10171.15</v>
      </c>
      <c r="E126" s="212">
        <v>10171.16</v>
      </c>
      <c r="F126" s="213">
        <v>0</v>
      </c>
      <c r="G126" s="41"/>
      <c r="H126" s="213"/>
      <c r="J126" s="212">
        <v>10171.15</v>
      </c>
      <c r="K126" s="212">
        <v>10171.16</v>
      </c>
      <c r="L126" s="213">
        <v>0</v>
      </c>
      <c r="N126" s="213"/>
      <c r="P126" s="212">
        <v>10171.15</v>
      </c>
      <c r="Q126" s="212">
        <v>10171.16</v>
      </c>
      <c r="R126" s="213">
        <v>0</v>
      </c>
      <c r="T126" s="213"/>
      <c r="V126" s="212">
        <v>10171.15</v>
      </c>
      <c r="W126" s="212">
        <v>10171.16</v>
      </c>
      <c r="X126" s="213">
        <v>0</v>
      </c>
      <c r="Z126" s="213"/>
      <c r="AB126" s="212">
        <v>10171.15</v>
      </c>
      <c r="AC126" s="212">
        <v>10171.16</v>
      </c>
      <c r="AD126" s="213">
        <v>0</v>
      </c>
      <c r="AF126" s="213"/>
      <c r="AH126" s="212">
        <v>10171.15</v>
      </c>
      <c r="AI126" s="212">
        <v>10171.16</v>
      </c>
      <c r="AJ126" s="213">
        <v>0</v>
      </c>
      <c r="AL126" s="213"/>
      <c r="AN126" s="212">
        <v>10171.15</v>
      </c>
      <c r="AO126" s="212">
        <v>10171.16</v>
      </c>
      <c r="AP126" s="213">
        <v>0</v>
      </c>
      <c r="AR126" s="213"/>
      <c r="AT126" s="212">
        <v>10171.15</v>
      </c>
      <c r="AU126" s="212">
        <v>10171.16</v>
      </c>
      <c r="AV126" s="213">
        <v>0</v>
      </c>
      <c r="AX126" s="213"/>
      <c r="AZ126" s="212">
        <v>10171.15</v>
      </c>
      <c r="BA126" s="212">
        <v>10171.16</v>
      </c>
      <c r="BB126" s="213">
        <v>0</v>
      </c>
      <c r="BD126" s="213"/>
      <c r="BF126" s="212">
        <v>10171.15</v>
      </c>
      <c r="BG126" s="212">
        <v>10171.16</v>
      </c>
      <c r="BH126" s="213">
        <v>0</v>
      </c>
      <c r="BJ126" s="213"/>
    </row>
    <row r="127" spans="4:62" x14ac:dyDescent="0.2">
      <c r="D127" s="212">
        <v>10171.17</v>
      </c>
      <c r="E127" s="212">
        <v>10171.18</v>
      </c>
      <c r="F127" s="213">
        <v>0</v>
      </c>
      <c r="G127" s="41"/>
      <c r="H127" s="213"/>
      <c r="J127" s="212">
        <v>10171.17</v>
      </c>
      <c r="K127" s="212">
        <v>10171.18</v>
      </c>
      <c r="L127" s="213">
        <v>0</v>
      </c>
      <c r="N127" s="213"/>
      <c r="P127" s="212">
        <v>10171.17</v>
      </c>
      <c r="Q127" s="212">
        <v>10171.18</v>
      </c>
      <c r="R127" s="213">
        <v>0</v>
      </c>
      <c r="T127" s="213"/>
      <c r="V127" s="212">
        <v>10171.17</v>
      </c>
      <c r="W127" s="212">
        <v>10171.18</v>
      </c>
      <c r="X127" s="213">
        <v>0</v>
      </c>
      <c r="Z127" s="213"/>
      <c r="AB127" s="212">
        <v>10171.17</v>
      </c>
      <c r="AC127" s="212">
        <v>10171.18</v>
      </c>
      <c r="AD127" s="213">
        <v>0</v>
      </c>
      <c r="AF127" s="213"/>
      <c r="AH127" s="212">
        <v>10171.17</v>
      </c>
      <c r="AI127" s="212">
        <v>10171.18</v>
      </c>
      <c r="AJ127" s="213">
        <v>0</v>
      </c>
      <c r="AL127" s="213"/>
      <c r="AN127" s="212">
        <v>10171.17</v>
      </c>
      <c r="AO127" s="212">
        <v>10171.18</v>
      </c>
      <c r="AP127" s="213">
        <v>0</v>
      </c>
      <c r="AR127" s="213"/>
      <c r="AT127" s="212">
        <v>10171.17</v>
      </c>
      <c r="AU127" s="212">
        <v>10171.18</v>
      </c>
      <c r="AV127" s="213">
        <v>0</v>
      </c>
      <c r="AX127" s="213"/>
      <c r="AZ127" s="212">
        <v>10171.17</v>
      </c>
      <c r="BA127" s="212">
        <v>10171.18</v>
      </c>
      <c r="BB127" s="213">
        <v>0</v>
      </c>
      <c r="BD127" s="213"/>
      <c r="BF127" s="212">
        <v>10171.17</v>
      </c>
      <c r="BG127" s="212">
        <v>10171.18</v>
      </c>
      <c r="BH127" s="213">
        <v>0</v>
      </c>
      <c r="BJ127" s="213"/>
    </row>
    <row r="128" spans="4:62" ht="13.5" thickBot="1" x14ac:dyDescent="0.25">
      <c r="D128" s="219">
        <v>10171.19</v>
      </c>
      <c r="E128" s="219">
        <v>999999999</v>
      </c>
      <c r="F128" s="221">
        <v>0</v>
      </c>
      <c r="G128" s="220"/>
      <c r="H128" s="221"/>
      <c r="J128" s="219">
        <v>10171.19</v>
      </c>
      <c r="K128" s="219">
        <v>999999999</v>
      </c>
      <c r="L128" s="221">
        <v>0</v>
      </c>
      <c r="M128" s="220"/>
      <c r="N128" s="221"/>
      <c r="P128" s="219">
        <v>10171.19</v>
      </c>
      <c r="Q128" s="219">
        <v>999999999</v>
      </c>
      <c r="R128" s="221">
        <v>0</v>
      </c>
      <c r="S128" s="220"/>
      <c r="T128" s="221"/>
      <c r="V128" s="219">
        <v>10171.19</v>
      </c>
      <c r="W128" s="219">
        <v>999999999</v>
      </c>
      <c r="X128" s="221">
        <v>0</v>
      </c>
      <c r="Y128" s="220"/>
      <c r="Z128" s="221"/>
      <c r="AB128" s="219">
        <v>10171.19</v>
      </c>
      <c r="AC128" s="219">
        <v>999999999</v>
      </c>
      <c r="AD128" s="221">
        <v>0</v>
      </c>
      <c r="AE128" s="220"/>
      <c r="AF128" s="221"/>
      <c r="AH128" s="219">
        <v>10171.19</v>
      </c>
      <c r="AI128" s="219">
        <v>999999999</v>
      </c>
      <c r="AJ128" s="221">
        <v>0</v>
      </c>
      <c r="AK128" s="220"/>
      <c r="AL128" s="221"/>
      <c r="AN128" s="219">
        <v>10171.19</v>
      </c>
      <c r="AO128" s="219">
        <v>999999999</v>
      </c>
      <c r="AP128" s="221">
        <v>0</v>
      </c>
      <c r="AQ128" s="220"/>
      <c r="AR128" s="221"/>
      <c r="AT128" s="219">
        <v>10171.19</v>
      </c>
      <c r="AU128" s="219">
        <v>999999999</v>
      </c>
      <c r="AV128" s="221">
        <v>0</v>
      </c>
      <c r="AW128" s="220"/>
      <c r="AX128" s="221"/>
      <c r="AZ128" s="219">
        <v>10171.19</v>
      </c>
      <c r="BA128" s="219">
        <v>999999999</v>
      </c>
      <c r="BB128" s="221">
        <v>0</v>
      </c>
      <c r="BC128" s="220"/>
      <c r="BD128" s="221"/>
      <c r="BF128" s="219">
        <v>10171.19</v>
      </c>
      <c r="BG128" s="219">
        <v>999999999</v>
      </c>
      <c r="BH128" s="221">
        <v>0</v>
      </c>
      <c r="BI128" s="220"/>
      <c r="BJ128" s="221"/>
    </row>
    <row r="130" spans="4:62" ht="16.5" thickBot="1" x14ac:dyDescent="0.3">
      <c r="D130" s="438" t="s">
        <v>178</v>
      </c>
      <c r="E130" s="438"/>
      <c r="F130" s="438"/>
      <c r="G130" s="438"/>
      <c r="H130" s="438"/>
      <c r="J130" s="438" t="s">
        <v>179</v>
      </c>
      <c r="K130" s="438"/>
      <c r="L130" s="438"/>
      <c r="M130" s="438"/>
      <c r="N130" s="438"/>
      <c r="P130" s="438" t="s">
        <v>180</v>
      </c>
      <c r="Q130" s="438"/>
      <c r="R130" s="438"/>
      <c r="S130" s="438"/>
      <c r="T130" s="438"/>
      <c r="V130" s="438" t="s">
        <v>181</v>
      </c>
      <c r="W130" s="438"/>
      <c r="X130" s="438"/>
      <c r="Y130" s="438"/>
      <c r="Z130" s="438"/>
      <c r="AB130" s="438" t="s">
        <v>182</v>
      </c>
      <c r="AC130" s="438"/>
      <c r="AD130" s="438"/>
      <c r="AE130" s="438"/>
      <c r="AF130" s="438"/>
      <c r="AH130" s="438" t="s">
        <v>183</v>
      </c>
      <c r="AI130" s="438"/>
      <c r="AJ130" s="438"/>
      <c r="AK130" s="438"/>
      <c r="AL130" s="438"/>
      <c r="AN130" s="438" t="s">
        <v>184</v>
      </c>
      <c r="AO130" s="438"/>
      <c r="AP130" s="438"/>
      <c r="AQ130" s="438"/>
      <c r="AR130" s="438"/>
      <c r="AT130" s="438" t="s">
        <v>185</v>
      </c>
      <c r="AU130" s="438"/>
      <c r="AV130" s="438"/>
      <c r="AW130" s="438"/>
      <c r="AX130" s="438"/>
      <c r="AZ130" s="438" t="s">
        <v>186</v>
      </c>
      <c r="BA130" s="438"/>
      <c r="BB130" s="438"/>
      <c r="BC130" s="438"/>
      <c r="BD130" s="438"/>
      <c r="BF130" s="438" t="s">
        <v>187</v>
      </c>
      <c r="BG130" s="438"/>
      <c r="BH130" s="438"/>
      <c r="BI130" s="438"/>
      <c r="BJ130" s="438"/>
    </row>
    <row r="131" spans="4:62" x14ac:dyDescent="0.2">
      <c r="D131" s="203" t="s">
        <v>354</v>
      </c>
      <c r="E131" s="204"/>
      <c r="F131" s="205"/>
      <c r="G131" s="206"/>
      <c r="H131" s="207" t="s">
        <v>129</v>
      </c>
      <c r="J131" s="203" t="s">
        <v>354</v>
      </c>
      <c r="K131" s="204"/>
      <c r="L131" s="205"/>
      <c r="M131" s="206"/>
      <c r="N131" s="207" t="s">
        <v>129</v>
      </c>
      <c r="P131" s="203" t="s">
        <v>354</v>
      </c>
      <c r="Q131" s="204"/>
      <c r="R131" s="205"/>
      <c r="S131" s="206"/>
      <c r="T131" s="207" t="s">
        <v>129</v>
      </c>
      <c r="V131" s="203" t="s">
        <v>354</v>
      </c>
      <c r="W131" s="204"/>
      <c r="X131" s="205"/>
      <c r="Y131" s="206"/>
      <c r="Z131" s="207" t="s">
        <v>129</v>
      </c>
      <c r="AB131" s="203" t="s">
        <v>354</v>
      </c>
      <c r="AC131" s="204"/>
      <c r="AD131" s="205"/>
      <c r="AE131" s="206"/>
      <c r="AF131" s="207" t="s">
        <v>129</v>
      </c>
      <c r="AH131" s="203" t="s">
        <v>354</v>
      </c>
      <c r="AI131" s="204"/>
      <c r="AJ131" s="205"/>
      <c r="AK131" s="206"/>
      <c r="AL131" s="207" t="s">
        <v>129</v>
      </c>
      <c r="AN131" s="203" t="s">
        <v>354</v>
      </c>
      <c r="AO131" s="204"/>
      <c r="AP131" s="205"/>
      <c r="AQ131" s="206"/>
      <c r="AR131" s="207" t="s">
        <v>129</v>
      </c>
      <c r="AT131" s="203" t="s">
        <v>354</v>
      </c>
      <c r="AU131" s="204"/>
      <c r="AV131" s="205"/>
      <c r="AW131" s="206"/>
      <c r="AX131" s="207" t="s">
        <v>129</v>
      </c>
      <c r="AZ131" s="203" t="s">
        <v>354</v>
      </c>
      <c r="BA131" s="204"/>
      <c r="BB131" s="205"/>
      <c r="BC131" s="206"/>
      <c r="BD131" s="207" t="s">
        <v>129</v>
      </c>
      <c r="BF131" s="203" t="s">
        <v>354</v>
      </c>
      <c r="BG131" s="204"/>
      <c r="BH131" s="205"/>
      <c r="BI131" s="206"/>
      <c r="BJ131" s="207" t="s">
        <v>129</v>
      </c>
    </row>
    <row r="132" spans="4:62" x14ac:dyDescent="0.2">
      <c r="D132" s="208" t="s">
        <v>55</v>
      </c>
      <c r="E132" s="209" t="s">
        <v>56</v>
      </c>
      <c r="F132" s="209" t="s">
        <v>127</v>
      </c>
      <c r="G132" s="210" t="s">
        <v>128</v>
      </c>
      <c r="H132" s="211">
        <f>+'ISR '!H48</f>
        <v>15</v>
      </c>
      <c r="J132" s="208" t="s">
        <v>55</v>
      </c>
      <c r="K132" s="209" t="s">
        <v>56</v>
      </c>
      <c r="L132" s="209" t="s">
        <v>127</v>
      </c>
      <c r="M132" s="210" t="s">
        <v>128</v>
      </c>
      <c r="N132" s="211">
        <f>+'ISR '!H49</f>
        <v>15</v>
      </c>
      <c r="P132" s="208" t="s">
        <v>55</v>
      </c>
      <c r="Q132" s="209" t="s">
        <v>56</v>
      </c>
      <c r="R132" s="209" t="s">
        <v>127</v>
      </c>
      <c r="S132" s="210" t="s">
        <v>128</v>
      </c>
      <c r="T132" s="211">
        <f>+'ISR '!H50</f>
        <v>15</v>
      </c>
      <c r="V132" s="208" t="s">
        <v>55</v>
      </c>
      <c r="W132" s="209" t="s">
        <v>56</v>
      </c>
      <c r="X132" s="209" t="s">
        <v>127</v>
      </c>
      <c r="Y132" s="210" t="s">
        <v>128</v>
      </c>
      <c r="Z132" s="211">
        <f>+'ISR '!H51</f>
        <v>15</v>
      </c>
      <c r="AB132" s="208" t="s">
        <v>55</v>
      </c>
      <c r="AC132" s="209" t="s">
        <v>56</v>
      </c>
      <c r="AD132" s="209" t="s">
        <v>127</v>
      </c>
      <c r="AE132" s="210" t="s">
        <v>128</v>
      </c>
      <c r="AF132" s="211">
        <f>+'ISR '!H52</f>
        <v>15</v>
      </c>
      <c r="AH132" s="208" t="s">
        <v>55</v>
      </c>
      <c r="AI132" s="209" t="s">
        <v>56</v>
      </c>
      <c r="AJ132" s="209" t="s">
        <v>127</v>
      </c>
      <c r="AK132" s="210" t="s">
        <v>128</v>
      </c>
      <c r="AL132" s="211">
        <f>+'ISR '!H53</f>
        <v>15</v>
      </c>
      <c r="AN132" s="208" t="s">
        <v>55</v>
      </c>
      <c r="AO132" s="209" t="s">
        <v>56</v>
      </c>
      <c r="AP132" s="209" t="s">
        <v>127</v>
      </c>
      <c r="AQ132" s="210" t="s">
        <v>128</v>
      </c>
      <c r="AR132" s="211">
        <f>+'ISR '!H54</f>
        <v>15</v>
      </c>
      <c r="AT132" s="208" t="s">
        <v>55</v>
      </c>
      <c r="AU132" s="209" t="s">
        <v>56</v>
      </c>
      <c r="AV132" s="209" t="s">
        <v>127</v>
      </c>
      <c r="AW132" s="210" t="s">
        <v>128</v>
      </c>
      <c r="AX132" s="211">
        <f>+'ISR '!H55</f>
        <v>15</v>
      </c>
      <c r="AZ132" s="208" t="s">
        <v>55</v>
      </c>
      <c r="BA132" s="209" t="s">
        <v>56</v>
      </c>
      <c r="BB132" s="209" t="s">
        <v>127</v>
      </c>
      <c r="BC132" s="210" t="s">
        <v>128</v>
      </c>
      <c r="BD132" s="211">
        <f>+'ISR '!H56</f>
        <v>15</v>
      </c>
      <c r="BF132" s="208" t="s">
        <v>55</v>
      </c>
      <c r="BG132" s="209" t="s">
        <v>56</v>
      </c>
      <c r="BH132" s="209" t="s">
        <v>127</v>
      </c>
      <c r="BI132" s="210" t="s">
        <v>128</v>
      </c>
      <c r="BJ132" s="211">
        <f>+'ISR '!H57</f>
        <v>15</v>
      </c>
    </row>
    <row r="133" spans="4:62" x14ac:dyDescent="0.2">
      <c r="D133" s="212" t="s">
        <v>57</v>
      </c>
      <c r="E133" s="41" t="s">
        <v>57</v>
      </c>
      <c r="F133" s="41" t="s">
        <v>57</v>
      </c>
      <c r="G133" s="41" t="s">
        <v>54</v>
      </c>
      <c r="H133" s="213"/>
      <c r="J133" s="212" t="s">
        <v>57</v>
      </c>
      <c r="K133" s="41" t="s">
        <v>57</v>
      </c>
      <c r="L133" s="41" t="s">
        <v>57</v>
      </c>
      <c r="M133" s="41" t="s">
        <v>54</v>
      </c>
      <c r="N133" s="213"/>
      <c r="P133" s="212" t="s">
        <v>57</v>
      </c>
      <c r="Q133" s="41" t="s">
        <v>57</v>
      </c>
      <c r="R133" s="41" t="s">
        <v>57</v>
      </c>
      <c r="S133" s="41" t="s">
        <v>54</v>
      </c>
      <c r="T133" s="213"/>
      <c r="V133" s="212" t="s">
        <v>57</v>
      </c>
      <c r="W133" s="41" t="s">
        <v>57</v>
      </c>
      <c r="X133" s="41" t="s">
        <v>57</v>
      </c>
      <c r="Y133" s="41" t="s">
        <v>54</v>
      </c>
      <c r="Z133" s="213"/>
      <c r="AB133" s="212" t="s">
        <v>57</v>
      </c>
      <c r="AC133" s="41" t="s">
        <v>57</v>
      </c>
      <c r="AD133" s="41" t="s">
        <v>57</v>
      </c>
      <c r="AE133" s="41" t="s">
        <v>54</v>
      </c>
      <c r="AF133" s="213"/>
      <c r="AH133" s="212" t="s">
        <v>57</v>
      </c>
      <c r="AI133" s="41" t="s">
        <v>57</v>
      </c>
      <c r="AJ133" s="41" t="s">
        <v>57</v>
      </c>
      <c r="AK133" s="41" t="s">
        <v>54</v>
      </c>
      <c r="AL133" s="213"/>
      <c r="AN133" s="212" t="s">
        <v>57</v>
      </c>
      <c r="AO133" s="41" t="s">
        <v>57</v>
      </c>
      <c r="AP133" s="41" t="s">
        <v>57</v>
      </c>
      <c r="AQ133" s="41" t="s">
        <v>54</v>
      </c>
      <c r="AR133" s="213"/>
      <c r="AT133" s="212" t="s">
        <v>57</v>
      </c>
      <c r="AU133" s="41" t="s">
        <v>57</v>
      </c>
      <c r="AV133" s="41" t="s">
        <v>57</v>
      </c>
      <c r="AW133" s="41" t="s">
        <v>54</v>
      </c>
      <c r="AX133" s="213"/>
      <c r="AZ133" s="212" t="s">
        <v>57</v>
      </c>
      <c r="BA133" s="41" t="s">
        <v>57</v>
      </c>
      <c r="BB133" s="41" t="s">
        <v>57</v>
      </c>
      <c r="BC133" s="41" t="s">
        <v>54</v>
      </c>
      <c r="BD133" s="213"/>
      <c r="BF133" s="212" t="s">
        <v>57</v>
      </c>
      <c r="BG133" s="41" t="s">
        <v>57</v>
      </c>
      <c r="BH133" s="41" t="s">
        <v>57</v>
      </c>
      <c r="BI133" s="41" t="s">
        <v>54</v>
      </c>
      <c r="BJ133" s="213"/>
    </row>
    <row r="134" spans="4:62" x14ac:dyDescent="0.2">
      <c r="D134" s="212">
        <v>0.01</v>
      </c>
      <c r="E134" s="41">
        <f>24.54*H132</f>
        <v>368.09999999999997</v>
      </c>
      <c r="F134" s="41">
        <v>0</v>
      </c>
      <c r="G134" s="214">
        <f>192%/100</f>
        <v>1.9199999999999998E-2</v>
      </c>
      <c r="H134" s="213"/>
      <c r="J134" s="212">
        <v>0.01</v>
      </c>
      <c r="K134" s="41">
        <f>24.54*N132</f>
        <v>368.09999999999997</v>
      </c>
      <c r="L134" s="41">
        <v>0</v>
      </c>
      <c r="M134" s="214">
        <f>192%/100</f>
        <v>1.9199999999999998E-2</v>
      </c>
      <c r="N134" s="213"/>
      <c r="P134" s="212">
        <v>0.01</v>
      </c>
      <c r="Q134" s="41">
        <f>24.54*T132</f>
        <v>368.09999999999997</v>
      </c>
      <c r="R134" s="41">
        <v>0</v>
      </c>
      <c r="S134" s="214">
        <f>192%/100</f>
        <v>1.9199999999999998E-2</v>
      </c>
      <c r="T134" s="213"/>
      <c r="V134" s="212">
        <v>0.01</v>
      </c>
      <c r="W134" s="41">
        <f>24.54*Z132</f>
        <v>368.09999999999997</v>
      </c>
      <c r="X134" s="41">
        <v>0</v>
      </c>
      <c r="Y134" s="214">
        <f>192%/100</f>
        <v>1.9199999999999998E-2</v>
      </c>
      <c r="Z134" s="213"/>
      <c r="AB134" s="212">
        <v>0.01</v>
      </c>
      <c r="AC134" s="41">
        <f>24.54*AF132</f>
        <v>368.09999999999997</v>
      </c>
      <c r="AD134" s="41">
        <v>0</v>
      </c>
      <c r="AE134" s="214">
        <f>192%/100</f>
        <v>1.9199999999999998E-2</v>
      </c>
      <c r="AF134" s="213"/>
      <c r="AH134" s="212">
        <v>0.01</v>
      </c>
      <c r="AI134" s="41">
        <f>24.54*AL132</f>
        <v>368.09999999999997</v>
      </c>
      <c r="AJ134" s="41">
        <v>0</v>
      </c>
      <c r="AK134" s="214">
        <f>192%/100</f>
        <v>1.9199999999999998E-2</v>
      </c>
      <c r="AL134" s="213"/>
      <c r="AN134" s="212">
        <v>0.01</v>
      </c>
      <c r="AO134" s="41">
        <f>24.54*AR132</f>
        <v>368.09999999999997</v>
      </c>
      <c r="AP134" s="41">
        <v>0</v>
      </c>
      <c r="AQ134" s="214">
        <f>192%/100</f>
        <v>1.9199999999999998E-2</v>
      </c>
      <c r="AR134" s="213"/>
      <c r="AT134" s="212">
        <v>0.01</v>
      </c>
      <c r="AU134" s="41">
        <f>24.54*AX132</f>
        <v>368.09999999999997</v>
      </c>
      <c r="AV134" s="41">
        <v>0</v>
      </c>
      <c r="AW134" s="214">
        <f>192%/100</f>
        <v>1.9199999999999998E-2</v>
      </c>
      <c r="AX134" s="213"/>
      <c r="AZ134" s="212">
        <v>0.01</v>
      </c>
      <c r="BA134" s="41">
        <f>24.54*BD132</f>
        <v>368.09999999999997</v>
      </c>
      <c r="BB134" s="41">
        <v>0</v>
      </c>
      <c r="BC134" s="214">
        <f>192%/100</f>
        <v>1.9199999999999998E-2</v>
      </c>
      <c r="BD134" s="213"/>
      <c r="BF134" s="212">
        <v>0.01</v>
      </c>
      <c r="BG134" s="41">
        <f>24.54*BJ132</f>
        <v>368.09999999999997</v>
      </c>
      <c r="BH134" s="41">
        <v>0</v>
      </c>
      <c r="BI134" s="214">
        <f>192%/100</f>
        <v>1.9199999999999998E-2</v>
      </c>
      <c r="BJ134" s="213"/>
    </row>
    <row r="135" spans="4:62" x14ac:dyDescent="0.2">
      <c r="D135" s="212">
        <f>+E134+0.01</f>
        <v>368.10999999999996</v>
      </c>
      <c r="E135" s="41">
        <f>208.29*H132</f>
        <v>3124.35</v>
      </c>
      <c r="F135" s="41">
        <f>0.47*H132</f>
        <v>7.05</v>
      </c>
      <c r="G135" s="214">
        <f>640%/100</f>
        <v>6.4000000000000001E-2</v>
      </c>
      <c r="H135" s="213"/>
      <c r="J135" s="212">
        <f>+K134+0.01</f>
        <v>368.10999999999996</v>
      </c>
      <c r="K135" s="41">
        <f>208.29*N132</f>
        <v>3124.35</v>
      </c>
      <c r="L135" s="41">
        <f>0.47*N132</f>
        <v>7.05</v>
      </c>
      <c r="M135" s="214">
        <f>640%/100</f>
        <v>6.4000000000000001E-2</v>
      </c>
      <c r="N135" s="213"/>
      <c r="P135" s="212">
        <f>+Q134+0.01</f>
        <v>368.10999999999996</v>
      </c>
      <c r="Q135" s="41">
        <f>208.29*T132</f>
        <v>3124.35</v>
      </c>
      <c r="R135" s="41">
        <f>0.47*T132</f>
        <v>7.05</v>
      </c>
      <c r="S135" s="214">
        <f>640%/100</f>
        <v>6.4000000000000001E-2</v>
      </c>
      <c r="T135" s="213"/>
      <c r="V135" s="212">
        <f>+W134+0.01</f>
        <v>368.10999999999996</v>
      </c>
      <c r="W135" s="41">
        <f>208.29*Z132</f>
        <v>3124.35</v>
      </c>
      <c r="X135" s="41">
        <f>0.47*Z132</f>
        <v>7.05</v>
      </c>
      <c r="Y135" s="214">
        <f>640%/100</f>
        <v>6.4000000000000001E-2</v>
      </c>
      <c r="Z135" s="213"/>
      <c r="AB135" s="212">
        <f>+AC134+0.01</f>
        <v>368.10999999999996</v>
      </c>
      <c r="AC135" s="41">
        <f>208.29*AF132</f>
        <v>3124.35</v>
      </c>
      <c r="AD135" s="41">
        <f>0.47*AF132</f>
        <v>7.05</v>
      </c>
      <c r="AE135" s="214">
        <f>640%/100</f>
        <v>6.4000000000000001E-2</v>
      </c>
      <c r="AF135" s="213"/>
      <c r="AH135" s="212">
        <f>+AI134+0.01</f>
        <v>368.10999999999996</v>
      </c>
      <c r="AI135" s="41">
        <f>208.29*AL132</f>
        <v>3124.35</v>
      </c>
      <c r="AJ135" s="41">
        <f>0.47*AL132</f>
        <v>7.05</v>
      </c>
      <c r="AK135" s="214">
        <f>640%/100</f>
        <v>6.4000000000000001E-2</v>
      </c>
      <c r="AL135" s="213"/>
      <c r="AN135" s="212">
        <f>+AO134+0.01</f>
        <v>368.10999999999996</v>
      </c>
      <c r="AO135" s="41">
        <f>208.29*AR132</f>
        <v>3124.35</v>
      </c>
      <c r="AP135" s="41">
        <f>0.47*AR132</f>
        <v>7.05</v>
      </c>
      <c r="AQ135" s="214">
        <f>640%/100</f>
        <v>6.4000000000000001E-2</v>
      </c>
      <c r="AR135" s="213"/>
      <c r="AT135" s="212">
        <f>+AU134+0.01</f>
        <v>368.10999999999996</v>
      </c>
      <c r="AU135" s="41">
        <f>208.29*AX132</f>
        <v>3124.35</v>
      </c>
      <c r="AV135" s="41">
        <f>0.47*AX132</f>
        <v>7.05</v>
      </c>
      <c r="AW135" s="214">
        <f>640%/100</f>
        <v>6.4000000000000001E-2</v>
      </c>
      <c r="AX135" s="213"/>
      <c r="AZ135" s="212">
        <f>+BA134+0.01</f>
        <v>368.10999999999996</v>
      </c>
      <c r="BA135" s="41">
        <f>208.29*BD132</f>
        <v>3124.35</v>
      </c>
      <c r="BB135" s="41">
        <f>0.47*BD132</f>
        <v>7.05</v>
      </c>
      <c r="BC135" s="214">
        <f>640%/100</f>
        <v>6.4000000000000001E-2</v>
      </c>
      <c r="BD135" s="213"/>
      <c r="BF135" s="212">
        <f>+BG134+0.01</f>
        <v>368.10999999999996</v>
      </c>
      <c r="BG135" s="41">
        <f>208.29*BJ132</f>
        <v>3124.35</v>
      </c>
      <c r="BH135" s="41">
        <f>0.47*BJ132</f>
        <v>7.05</v>
      </c>
      <c r="BI135" s="214">
        <f>640%/100</f>
        <v>6.4000000000000001E-2</v>
      </c>
      <c r="BJ135" s="213"/>
    </row>
    <row r="136" spans="4:62" x14ac:dyDescent="0.2">
      <c r="D136" s="212">
        <f>+E135+0.01</f>
        <v>3124.36</v>
      </c>
      <c r="E136" s="41">
        <f>366.05*H132</f>
        <v>5490.75</v>
      </c>
      <c r="F136" s="41">
        <f>12.23*H132</f>
        <v>183.45000000000002</v>
      </c>
      <c r="G136" s="214">
        <f>1088%/100</f>
        <v>0.10880000000000001</v>
      </c>
      <c r="H136" s="213"/>
      <c r="J136" s="212">
        <f>+K135+0.01</f>
        <v>3124.36</v>
      </c>
      <c r="K136" s="41">
        <f>366.05*N132</f>
        <v>5490.75</v>
      </c>
      <c r="L136" s="41">
        <f>12.23*N132</f>
        <v>183.45000000000002</v>
      </c>
      <c r="M136" s="214">
        <f>1088%/100</f>
        <v>0.10880000000000001</v>
      </c>
      <c r="N136" s="213"/>
      <c r="P136" s="212">
        <f>+Q135+0.01</f>
        <v>3124.36</v>
      </c>
      <c r="Q136" s="41">
        <f>366.05*T132</f>
        <v>5490.75</v>
      </c>
      <c r="R136" s="41">
        <f>12.23*T132</f>
        <v>183.45000000000002</v>
      </c>
      <c r="S136" s="214">
        <f>1088%/100</f>
        <v>0.10880000000000001</v>
      </c>
      <c r="T136" s="213"/>
      <c r="V136" s="212">
        <f>+W135+0.01</f>
        <v>3124.36</v>
      </c>
      <c r="W136" s="41">
        <f>366.05*Z132</f>
        <v>5490.75</v>
      </c>
      <c r="X136" s="41">
        <f>12.23*Z132</f>
        <v>183.45000000000002</v>
      </c>
      <c r="Y136" s="214">
        <f>1088%/100</f>
        <v>0.10880000000000001</v>
      </c>
      <c r="Z136" s="213"/>
      <c r="AB136" s="212">
        <f>+AC135+0.01</f>
        <v>3124.36</v>
      </c>
      <c r="AC136" s="41">
        <f>366.05*AF132</f>
        <v>5490.75</v>
      </c>
      <c r="AD136" s="41">
        <f>12.23*AF132</f>
        <v>183.45000000000002</v>
      </c>
      <c r="AE136" s="214">
        <f>1088%/100</f>
        <v>0.10880000000000001</v>
      </c>
      <c r="AF136" s="213"/>
      <c r="AH136" s="212">
        <f>+AI135+0.01</f>
        <v>3124.36</v>
      </c>
      <c r="AI136" s="41">
        <f>366.05*AL132</f>
        <v>5490.75</v>
      </c>
      <c r="AJ136" s="41">
        <f>12.23*AL132</f>
        <v>183.45000000000002</v>
      </c>
      <c r="AK136" s="214">
        <f>1088%/100</f>
        <v>0.10880000000000001</v>
      </c>
      <c r="AL136" s="213"/>
      <c r="AN136" s="212">
        <f>+AO135+0.01</f>
        <v>3124.36</v>
      </c>
      <c r="AO136" s="41">
        <f>366.05*AR132</f>
        <v>5490.75</v>
      </c>
      <c r="AP136" s="41">
        <f>12.23*AR132</f>
        <v>183.45000000000002</v>
      </c>
      <c r="AQ136" s="214">
        <f>1088%/100</f>
        <v>0.10880000000000001</v>
      </c>
      <c r="AR136" s="213"/>
      <c r="AT136" s="212">
        <f>+AU135+0.01</f>
        <v>3124.36</v>
      </c>
      <c r="AU136" s="41">
        <f>366.05*AX132</f>
        <v>5490.75</v>
      </c>
      <c r="AV136" s="41">
        <f>12.23*AX132</f>
        <v>183.45000000000002</v>
      </c>
      <c r="AW136" s="214">
        <f>1088%/100</f>
        <v>0.10880000000000001</v>
      </c>
      <c r="AX136" s="213"/>
      <c r="AZ136" s="212">
        <f>+BA135+0.01</f>
        <v>3124.36</v>
      </c>
      <c r="BA136" s="41">
        <f>366.05*BD132</f>
        <v>5490.75</v>
      </c>
      <c r="BB136" s="41">
        <f>12.23*BD132</f>
        <v>183.45000000000002</v>
      </c>
      <c r="BC136" s="214">
        <f>1088%/100</f>
        <v>0.10880000000000001</v>
      </c>
      <c r="BD136" s="213"/>
      <c r="BF136" s="212">
        <f>+BG135+0.01</f>
        <v>3124.36</v>
      </c>
      <c r="BG136" s="41">
        <f>366.05*BJ132</f>
        <v>5490.75</v>
      </c>
      <c r="BH136" s="41">
        <f>12.23*BJ132</f>
        <v>183.45000000000002</v>
      </c>
      <c r="BI136" s="214">
        <f>1088%/100</f>
        <v>0.10880000000000001</v>
      </c>
      <c r="BJ136" s="213"/>
    </row>
    <row r="137" spans="4:62" x14ac:dyDescent="0.2">
      <c r="D137" s="212">
        <f t="shared" ref="D137:D142" si="40">+E136+0.01</f>
        <v>5490.76</v>
      </c>
      <c r="E137" s="41">
        <f>425.52*H132</f>
        <v>6382.7999999999993</v>
      </c>
      <c r="F137" s="41">
        <f>29.4*H132</f>
        <v>441</v>
      </c>
      <c r="G137" s="214">
        <f>1600%/100</f>
        <v>0.16</v>
      </c>
      <c r="H137" s="213"/>
      <c r="J137" s="212">
        <f t="shared" ref="J137:J142" si="41">+K136+0.01</f>
        <v>5490.76</v>
      </c>
      <c r="K137" s="41">
        <f>425.52*N132</f>
        <v>6382.7999999999993</v>
      </c>
      <c r="L137" s="41">
        <f>29.4*N132</f>
        <v>441</v>
      </c>
      <c r="M137" s="214">
        <f>1600%/100</f>
        <v>0.16</v>
      </c>
      <c r="N137" s="213"/>
      <c r="P137" s="212">
        <f t="shared" ref="P137:P142" si="42">+Q136+0.01</f>
        <v>5490.76</v>
      </c>
      <c r="Q137" s="41">
        <f>425.52*T132</f>
        <v>6382.7999999999993</v>
      </c>
      <c r="R137" s="41">
        <f>29.4*T132</f>
        <v>441</v>
      </c>
      <c r="S137" s="214">
        <f>1600%/100</f>
        <v>0.16</v>
      </c>
      <c r="T137" s="213"/>
      <c r="V137" s="212">
        <f t="shared" ref="V137:V142" si="43">+W136+0.01</f>
        <v>5490.76</v>
      </c>
      <c r="W137" s="41">
        <f>425.52*Z132</f>
        <v>6382.7999999999993</v>
      </c>
      <c r="X137" s="41">
        <f>29.4*Z132</f>
        <v>441</v>
      </c>
      <c r="Y137" s="214">
        <f>1600%/100</f>
        <v>0.16</v>
      </c>
      <c r="Z137" s="213"/>
      <c r="AB137" s="212">
        <f t="shared" ref="AB137:AB142" si="44">+AC136+0.01</f>
        <v>5490.76</v>
      </c>
      <c r="AC137" s="41">
        <f>425.52*AF132</f>
        <v>6382.7999999999993</v>
      </c>
      <c r="AD137" s="41">
        <f>29.4*AF132</f>
        <v>441</v>
      </c>
      <c r="AE137" s="214">
        <f>1600%/100</f>
        <v>0.16</v>
      </c>
      <c r="AF137" s="213"/>
      <c r="AH137" s="212">
        <f t="shared" ref="AH137:AH142" si="45">+AI136+0.01</f>
        <v>5490.76</v>
      </c>
      <c r="AI137" s="41">
        <f>425.52*AL132</f>
        <v>6382.7999999999993</v>
      </c>
      <c r="AJ137" s="41">
        <f>29.4*AL132</f>
        <v>441</v>
      </c>
      <c r="AK137" s="214">
        <f>1600%/100</f>
        <v>0.16</v>
      </c>
      <c r="AL137" s="213"/>
      <c r="AN137" s="212">
        <f t="shared" ref="AN137:AN142" si="46">+AO136+0.01</f>
        <v>5490.76</v>
      </c>
      <c r="AO137" s="41">
        <f>425.52*AR132</f>
        <v>6382.7999999999993</v>
      </c>
      <c r="AP137" s="41">
        <f>29.4*AR132</f>
        <v>441</v>
      </c>
      <c r="AQ137" s="214">
        <f>1600%/100</f>
        <v>0.16</v>
      </c>
      <c r="AR137" s="213"/>
      <c r="AT137" s="212">
        <f t="shared" ref="AT137:AT142" si="47">+AU136+0.01</f>
        <v>5490.76</v>
      </c>
      <c r="AU137" s="41">
        <f>425.52*AX132</f>
        <v>6382.7999999999993</v>
      </c>
      <c r="AV137" s="41">
        <f>29.4*AX132</f>
        <v>441</v>
      </c>
      <c r="AW137" s="214">
        <f>1600%/100</f>
        <v>0.16</v>
      </c>
      <c r="AX137" s="213"/>
      <c r="AZ137" s="212">
        <f t="shared" ref="AZ137:AZ142" si="48">+BA136+0.01</f>
        <v>5490.76</v>
      </c>
      <c r="BA137" s="41">
        <f>425.52*BD132</f>
        <v>6382.7999999999993</v>
      </c>
      <c r="BB137" s="41">
        <f>29.4*BD132</f>
        <v>441</v>
      </c>
      <c r="BC137" s="214">
        <f>1600%/100</f>
        <v>0.16</v>
      </c>
      <c r="BD137" s="213"/>
      <c r="BF137" s="212">
        <f t="shared" ref="BF137:BF142" si="49">+BG136+0.01</f>
        <v>5490.76</v>
      </c>
      <c r="BG137" s="41">
        <f>425.52*BJ132</f>
        <v>6382.7999999999993</v>
      </c>
      <c r="BH137" s="41">
        <f>29.4*BJ132</f>
        <v>441</v>
      </c>
      <c r="BI137" s="214">
        <f>1600%/100</f>
        <v>0.16</v>
      </c>
      <c r="BJ137" s="213"/>
    </row>
    <row r="138" spans="4:62" x14ac:dyDescent="0.2">
      <c r="D138" s="212">
        <f t="shared" si="40"/>
        <v>6382.8099999999995</v>
      </c>
      <c r="E138" s="41">
        <f>509.46*H132</f>
        <v>7641.9</v>
      </c>
      <c r="F138" s="41">
        <f>38.91*H132</f>
        <v>583.65</v>
      </c>
      <c r="G138" s="214">
        <f>1792%/100</f>
        <v>0.17920000000000003</v>
      </c>
      <c r="H138" s="213"/>
      <c r="J138" s="212">
        <f t="shared" si="41"/>
        <v>6382.8099999999995</v>
      </c>
      <c r="K138" s="41">
        <f>509.46*N132</f>
        <v>7641.9</v>
      </c>
      <c r="L138" s="41">
        <f>38.91*N132</f>
        <v>583.65</v>
      </c>
      <c r="M138" s="214">
        <f>1792%/100</f>
        <v>0.17920000000000003</v>
      </c>
      <c r="N138" s="213"/>
      <c r="P138" s="212">
        <f t="shared" si="42"/>
        <v>6382.8099999999995</v>
      </c>
      <c r="Q138" s="41">
        <f>509.46*T132</f>
        <v>7641.9</v>
      </c>
      <c r="R138" s="41">
        <f>38.91*T132</f>
        <v>583.65</v>
      </c>
      <c r="S138" s="214">
        <f>1792%/100</f>
        <v>0.17920000000000003</v>
      </c>
      <c r="T138" s="213"/>
      <c r="V138" s="212">
        <f t="shared" si="43"/>
        <v>6382.8099999999995</v>
      </c>
      <c r="W138" s="41">
        <f>509.46*Z132</f>
        <v>7641.9</v>
      </c>
      <c r="X138" s="41">
        <f>38.91*Z132</f>
        <v>583.65</v>
      </c>
      <c r="Y138" s="214">
        <f>1792%/100</f>
        <v>0.17920000000000003</v>
      </c>
      <c r="Z138" s="213"/>
      <c r="AB138" s="212">
        <f t="shared" si="44"/>
        <v>6382.8099999999995</v>
      </c>
      <c r="AC138" s="41">
        <f>509.46*AF132</f>
        <v>7641.9</v>
      </c>
      <c r="AD138" s="41">
        <f>38.91*AF132</f>
        <v>583.65</v>
      </c>
      <c r="AE138" s="214">
        <f>1792%/100</f>
        <v>0.17920000000000003</v>
      </c>
      <c r="AF138" s="213"/>
      <c r="AH138" s="212">
        <f t="shared" si="45"/>
        <v>6382.8099999999995</v>
      </c>
      <c r="AI138" s="41">
        <f>509.46*AL132</f>
        <v>7641.9</v>
      </c>
      <c r="AJ138" s="41">
        <f>38.91*AL132</f>
        <v>583.65</v>
      </c>
      <c r="AK138" s="214">
        <f>1792%/100</f>
        <v>0.17920000000000003</v>
      </c>
      <c r="AL138" s="213"/>
      <c r="AN138" s="212">
        <f t="shared" si="46"/>
        <v>6382.8099999999995</v>
      </c>
      <c r="AO138" s="41">
        <f>509.46*AR132</f>
        <v>7641.9</v>
      </c>
      <c r="AP138" s="41">
        <f>38.91*AR132</f>
        <v>583.65</v>
      </c>
      <c r="AQ138" s="214">
        <f>1792%/100</f>
        <v>0.17920000000000003</v>
      </c>
      <c r="AR138" s="213"/>
      <c r="AT138" s="212">
        <f t="shared" si="47"/>
        <v>6382.8099999999995</v>
      </c>
      <c r="AU138" s="41">
        <f>509.46*AX132</f>
        <v>7641.9</v>
      </c>
      <c r="AV138" s="41">
        <f>38.91*AX132</f>
        <v>583.65</v>
      </c>
      <c r="AW138" s="214">
        <f>1792%/100</f>
        <v>0.17920000000000003</v>
      </c>
      <c r="AX138" s="213"/>
      <c r="AZ138" s="212">
        <f t="shared" si="48"/>
        <v>6382.8099999999995</v>
      </c>
      <c r="BA138" s="41">
        <f>509.46*BD132</f>
        <v>7641.9</v>
      </c>
      <c r="BB138" s="41">
        <f>38.91*BD132</f>
        <v>583.65</v>
      </c>
      <c r="BC138" s="214">
        <f>1792%/100</f>
        <v>0.17920000000000003</v>
      </c>
      <c r="BD138" s="213"/>
      <c r="BF138" s="212">
        <f t="shared" si="49"/>
        <v>6382.8099999999995</v>
      </c>
      <c r="BG138" s="41">
        <f>509.46*BJ132</f>
        <v>7641.9</v>
      </c>
      <c r="BH138" s="41">
        <f>38.91*BJ132</f>
        <v>583.65</v>
      </c>
      <c r="BI138" s="214">
        <f>1792%/100</f>
        <v>0.17920000000000003</v>
      </c>
      <c r="BJ138" s="213"/>
    </row>
    <row r="139" spans="4:62" x14ac:dyDescent="0.2">
      <c r="D139" s="212">
        <f t="shared" si="40"/>
        <v>7641.91</v>
      </c>
      <c r="E139" s="41">
        <f>1027.52*H132</f>
        <v>15412.8</v>
      </c>
      <c r="F139" s="41">
        <f>53.95*H132</f>
        <v>809.25</v>
      </c>
      <c r="G139" s="214">
        <f>2136%/100</f>
        <v>0.21359999999999998</v>
      </c>
      <c r="H139" s="213"/>
      <c r="J139" s="212">
        <f t="shared" si="41"/>
        <v>7641.91</v>
      </c>
      <c r="K139" s="41">
        <f>1027.52*N132</f>
        <v>15412.8</v>
      </c>
      <c r="L139" s="41">
        <f>53.95*N132</f>
        <v>809.25</v>
      </c>
      <c r="M139" s="214">
        <f>2136%/100</f>
        <v>0.21359999999999998</v>
      </c>
      <c r="N139" s="213"/>
      <c r="P139" s="212">
        <f t="shared" si="42"/>
        <v>7641.91</v>
      </c>
      <c r="Q139" s="41">
        <f>1027.52*T132</f>
        <v>15412.8</v>
      </c>
      <c r="R139" s="41">
        <f>53.95*T132</f>
        <v>809.25</v>
      </c>
      <c r="S139" s="214">
        <f>2136%/100</f>
        <v>0.21359999999999998</v>
      </c>
      <c r="T139" s="213"/>
      <c r="V139" s="212">
        <f t="shared" si="43"/>
        <v>7641.91</v>
      </c>
      <c r="W139" s="41">
        <f>1027.52*Z132</f>
        <v>15412.8</v>
      </c>
      <c r="X139" s="41">
        <f>53.95*Z132</f>
        <v>809.25</v>
      </c>
      <c r="Y139" s="214">
        <f>2136%/100</f>
        <v>0.21359999999999998</v>
      </c>
      <c r="Z139" s="213"/>
      <c r="AB139" s="212">
        <f t="shared" si="44"/>
        <v>7641.91</v>
      </c>
      <c r="AC139" s="41">
        <f>1027.52*AF132</f>
        <v>15412.8</v>
      </c>
      <c r="AD139" s="41">
        <f>53.95*AF132</f>
        <v>809.25</v>
      </c>
      <c r="AE139" s="214">
        <f>2136%/100</f>
        <v>0.21359999999999998</v>
      </c>
      <c r="AF139" s="213"/>
      <c r="AH139" s="212">
        <f t="shared" si="45"/>
        <v>7641.91</v>
      </c>
      <c r="AI139" s="41">
        <f>1027.52*AL132</f>
        <v>15412.8</v>
      </c>
      <c r="AJ139" s="41">
        <f>53.95*AL132</f>
        <v>809.25</v>
      </c>
      <c r="AK139" s="214">
        <f>2136%/100</f>
        <v>0.21359999999999998</v>
      </c>
      <c r="AL139" s="213"/>
      <c r="AN139" s="212">
        <f t="shared" si="46"/>
        <v>7641.91</v>
      </c>
      <c r="AO139" s="41">
        <f>1027.52*AR132</f>
        <v>15412.8</v>
      </c>
      <c r="AP139" s="41">
        <f>53.95*AR132</f>
        <v>809.25</v>
      </c>
      <c r="AQ139" s="214">
        <f>2136%/100</f>
        <v>0.21359999999999998</v>
      </c>
      <c r="AR139" s="213"/>
      <c r="AT139" s="212">
        <f t="shared" si="47"/>
        <v>7641.91</v>
      </c>
      <c r="AU139" s="41">
        <f>1027.52*AX132</f>
        <v>15412.8</v>
      </c>
      <c r="AV139" s="41">
        <f>53.95*AX132</f>
        <v>809.25</v>
      </c>
      <c r="AW139" s="214">
        <f>2136%/100</f>
        <v>0.21359999999999998</v>
      </c>
      <c r="AX139" s="213"/>
      <c r="AZ139" s="212">
        <f t="shared" si="48"/>
        <v>7641.91</v>
      </c>
      <c r="BA139" s="41">
        <f>1027.52*BD132</f>
        <v>15412.8</v>
      </c>
      <c r="BB139" s="41">
        <f>53.95*BD132</f>
        <v>809.25</v>
      </c>
      <c r="BC139" s="214">
        <f>2136%/100</f>
        <v>0.21359999999999998</v>
      </c>
      <c r="BD139" s="213"/>
      <c r="BF139" s="212">
        <f t="shared" si="49"/>
        <v>7641.91</v>
      </c>
      <c r="BG139" s="41">
        <f>1027.52*BJ132</f>
        <v>15412.8</v>
      </c>
      <c r="BH139" s="41">
        <f>53.95*BJ132</f>
        <v>809.25</v>
      </c>
      <c r="BI139" s="214">
        <f>2136%/100</f>
        <v>0.21359999999999998</v>
      </c>
      <c r="BJ139" s="213"/>
    </row>
    <row r="140" spans="4:62" x14ac:dyDescent="0.2">
      <c r="D140" s="212">
        <f t="shared" si="40"/>
        <v>15412.81</v>
      </c>
      <c r="E140" s="41">
        <f>1619.51*H132</f>
        <v>24292.65</v>
      </c>
      <c r="F140" s="41">
        <f>164.61*H132</f>
        <v>2469.15</v>
      </c>
      <c r="G140" s="214">
        <f>2352%/100</f>
        <v>0.23519999999999999</v>
      </c>
      <c r="H140" s="213"/>
      <c r="J140" s="212">
        <f t="shared" si="41"/>
        <v>15412.81</v>
      </c>
      <c r="K140" s="41">
        <f>1619.51*N132</f>
        <v>24292.65</v>
      </c>
      <c r="L140" s="41">
        <f>164.61*N132</f>
        <v>2469.15</v>
      </c>
      <c r="M140" s="214">
        <f>2352%/100</f>
        <v>0.23519999999999999</v>
      </c>
      <c r="N140" s="213"/>
      <c r="P140" s="212">
        <f t="shared" si="42"/>
        <v>15412.81</v>
      </c>
      <c r="Q140" s="41">
        <f>1619.51*T132</f>
        <v>24292.65</v>
      </c>
      <c r="R140" s="41">
        <f>164.61*T132</f>
        <v>2469.15</v>
      </c>
      <c r="S140" s="214">
        <f>2352%/100</f>
        <v>0.23519999999999999</v>
      </c>
      <c r="T140" s="213"/>
      <c r="V140" s="212">
        <f t="shared" si="43"/>
        <v>15412.81</v>
      </c>
      <c r="W140" s="41">
        <f>1619.51*Z132</f>
        <v>24292.65</v>
      </c>
      <c r="X140" s="41">
        <f>164.61*Z132</f>
        <v>2469.15</v>
      </c>
      <c r="Y140" s="214">
        <f>2352%/100</f>
        <v>0.23519999999999999</v>
      </c>
      <c r="Z140" s="213"/>
      <c r="AB140" s="212">
        <f t="shared" si="44"/>
        <v>15412.81</v>
      </c>
      <c r="AC140" s="41">
        <f>1619.51*AF132</f>
        <v>24292.65</v>
      </c>
      <c r="AD140" s="41">
        <f>164.61*AF132</f>
        <v>2469.15</v>
      </c>
      <c r="AE140" s="214">
        <f>2352%/100</f>
        <v>0.23519999999999999</v>
      </c>
      <c r="AF140" s="213"/>
      <c r="AH140" s="212">
        <f t="shared" si="45"/>
        <v>15412.81</v>
      </c>
      <c r="AI140" s="41">
        <f>1619.51*AL132</f>
        <v>24292.65</v>
      </c>
      <c r="AJ140" s="41">
        <f>164.61*AL132</f>
        <v>2469.15</v>
      </c>
      <c r="AK140" s="214">
        <f>2352%/100</f>
        <v>0.23519999999999999</v>
      </c>
      <c r="AL140" s="213"/>
      <c r="AN140" s="212">
        <f t="shared" si="46"/>
        <v>15412.81</v>
      </c>
      <c r="AO140" s="41">
        <f>1619.51*AR132</f>
        <v>24292.65</v>
      </c>
      <c r="AP140" s="41">
        <f>164.61*AR132</f>
        <v>2469.15</v>
      </c>
      <c r="AQ140" s="214">
        <f>2352%/100</f>
        <v>0.23519999999999999</v>
      </c>
      <c r="AR140" s="213"/>
      <c r="AT140" s="212">
        <f t="shared" si="47"/>
        <v>15412.81</v>
      </c>
      <c r="AU140" s="41">
        <f>1619.51*AX132</f>
        <v>24292.65</v>
      </c>
      <c r="AV140" s="41">
        <f>164.61*AX132</f>
        <v>2469.15</v>
      </c>
      <c r="AW140" s="214">
        <f>2352%/100</f>
        <v>0.23519999999999999</v>
      </c>
      <c r="AX140" s="213"/>
      <c r="AZ140" s="212">
        <f t="shared" si="48"/>
        <v>15412.81</v>
      </c>
      <c r="BA140" s="41">
        <f>1619.51*BD132</f>
        <v>24292.65</v>
      </c>
      <c r="BB140" s="41">
        <f>164.61*BD132</f>
        <v>2469.15</v>
      </c>
      <c r="BC140" s="214">
        <f>2352%/100</f>
        <v>0.23519999999999999</v>
      </c>
      <c r="BD140" s="213"/>
      <c r="BF140" s="212">
        <f t="shared" si="49"/>
        <v>15412.81</v>
      </c>
      <c r="BG140" s="41">
        <f>1619.51*BJ132</f>
        <v>24292.65</v>
      </c>
      <c r="BH140" s="41">
        <f>164.61*BJ132</f>
        <v>2469.15</v>
      </c>
      <c r="BI140" s="214">
        <f>2352%/100</f>
        <v>0.23519999999999999</v>
      </c>
      <c r="BJ140" s="213"/>
    </row>
    <row r="141" spans="4:62" x14ac:dyDescent="0.2">
      <c r="D141" s="212">
        <f t="shared" si="40"/>
        <v>24292.66</v>
      </c>
      <c r="E141" s="41">
        <f>3091.9*H132</f>
        <v>46378.5</v>
      </c>
      <c r="F141" s="41">
        <f>303.85*H132</f>
        <v>4557.75</v>
      </c>
      <c r="G141" s="214">
        <f>3000%/100</f>
        <v>0.3</v>
      </c>
      <c r="H141" s="213"/>
      <c r="J141" s="212">
        <f t="shared" si="41"/>
        <v>24292.66</v>
      </c>
      <c r="K141" s="41">
        <f>3091.9*N132</f>
        <v>46378.5</v>
      </c>
      <c r="L141" s="41">
        <f>303.85*N132</f>
        <v>4557.75</v>
      </c>
      <c r="M141" s="214">
        <f>3000%/100</f>
        <v>0.3</v>
      </c>
      <c r="N141" s="213"/>
      <c r="P141" s="212">
        <f t="shared" si="42"/>
        <v>24292.66</v>
      </c>
      <c r="Q141" s="41">
        <f>3091.9*T132</f>
        <v>46378.5</v>
      </c>
      <c r="R141" s="41">
        <f>303.85*T132</f>
        <v>4557.75</v>
      </c>
      <c r="S141" s="214">
        <f>3000%/100</f>
        <v>0.3</v>
      </c>
      <c r="T141" s="213"/>
      <c r="V141" s="212">
        <f t="shared" si="43"/>
        <v>24292.66</v>
      </c>
      <c r="W141" s="41">
        <f>3091.9*Z132</f>
        <v>46378.5</v>
      </c>
      <c r="X141" s="41">
        <f>303.85*Z132</f>
        <v>4557.75</v>
      </c>
      <c r="Y141" s="214">
        <f>3000%/100</f>
        <v>0.3</v>
      </c>
      <c r="Z141" s="213"/>
      <c r="AB141" s="212">
        <f t="shared" si="44"/>
        <v>24292.66</v>
      </c>
      <c r="AC141" s="41">
        <f>3091.9*AF132</f>
        <v>46378.5</v>
      </c>
      <c r="AD141" s="41">
        <f>303.85*AF132</f>
        <v>4557.75</v>
      </c>
      <c r="AE141" s="214">
        <f>3000%/100</f>
        <v>0.3</v>
      </c>
      <c r="AF141" s="213"/>
      <c r="AH141" s="212">
        <f t="shared" si="45"/>
        <v>24292.66</v>
      </c>
      <c r="AI141" s="41">
        <f>3091.9*AL132</f>
        <v>46378.5</v>
      </c>
      <c r="AJ141" s="41">
        <f>303.85*AL132</f>
        <v>4557.75</v>
      </c>
      <c r="AK141" s="214">
        <f>3000%/100</f>
        <v>0.3</v>
      </c>
      <c r="AL141" s="213"/>
      <c r="AN141" s="212">
        <f t="shared" si="46"/>
        <v>24292.66</v>
      </c>
      <c r="AO141" s="41">
        <f>3091.9*AR132</f>
        <v>46378.5</v>
      </c>
      <c r="AP141" s="41">
        <f>303.85*AR132</f>
        <v>4557.75</v>
      </c>
      <c r="AQ141" s="214">
        <f>3000%/100</f>
        <v>0.3</v>
      </c>
      <c r="AR141" s="213"/>
      <c r="AT141" s="212">
        <f t="shared" si="47"/>
        <v>24292.66</v>
      </c>
      <c r="AU141" s="41">
        <f>3091.9*AX132</f>
        <v>46378.5</v>
      </c>
      <c r="AV141" s="41">
        <f>303.85*AX132</f>
        <v>4557.75</v>
      </c>
      <c r="AW141" s="214">
        <f>3000%/100</f>
        <v>0.3</v>
      </c>
      <c r="AX141" s="213"/>
      <c r="AZ141" s="212">
        <f t="shared" si="48"/>
        <v>24292.66</v>
      </c>
      <c r="BA141" s="41">
        <f>3091.9*BD132</f>
        <v>46378.5</v>
      </c>
      <c r="BB141" s="41">
        <f>303.85*BD132</f>
        <v>4557.75</v>
      </c>
      <c r="BC141" s="214">
        <f>3000%/100</f>
        <v>0.3</v>
      </c>
      <c r="BD141" s="213"/>
      <c r="BF141" s="212">
        <f t="shared" si="49"/>
        <v>24292.66</v>
      </c>
      <c r="BG141" s="41">
        <f>3091.9*BJ132</f>
        <v>46378.5</v>
      </c>
      <c r="BH141" s="41">
        <f>303.85*BJ132</f>
        <v>4557.75</v>
      </c>
      <c r="BI141" s="214">
        <f>3000%/100</f>
        <v>0.3</v>
      </c>
      <c r="BJ141" s="213"/>
    </row>
    <row r="142" spans="4:62" x14ac:dyDescent="0.2">
      <c r="D142" s="212">
        <f t="shared" si="40"/>
        <v>46378.51</v>
      </c>
      <c r="E142" s="41">
        <f>4122.54*H132</f>
        <v>61838.1</v>
      </c>
      <c r="F142" s="41">
        <f>745.56*H132</f>
        <v>11183.4</v>
      </c>
      <c r="G142" s="214">
        <f>3200%/100</f>
        <v>0.32</v>
      </c>
      <c r="H142" s="213"/>
      <c r="J142" s="212">
        <f t="shared" si="41"/>
        <v>46378.51</v>
      </c>
      <c r="K142" s="41">
        <f>4122.54*N132</f>
        <v>61838.1</v>
      </c>
      <c r="L142" s="41">
        <f>745.56*N132</f>
        <v>11183.4</v>
      </c>
      <c r="M142" s="214">
        <f>3200%/100</f>
        <v>0.32</v>
      </c>
      <c r="N142" s="213"/>
      <c r="P142" s="212">
        <f t="shared" si="42"/>
        <v>46378.51</v>
      </c>
      <c r="Q142" s="41">
        <f>4122.54*T132</f>
        <v>61838.1</v>
      </c>
      <c r="R142" s="41">
        <f>745.56*T132</f>
        <v>11183.4</v>
      </c>
      <c r="S142" s="214">
        <f>3200%/100</f>
        <v>0.32</v>
      </c>
      <c r="T142" s="213"/>
      <c r="V142" s="212">
        <f t="shared" si="43"/>
        <v>46378.51</v>
      </c>
      <c r="W142" s="41">
        <f>4122.54*Z132</f>
        <v>61838.1</v>
      </c>
      <c r="X142" s="41">
        <f>745.56*Z132</f>
        <v>11183.4</v>
      </c>
      <c r="Y142" s="214">
        <f>3200%/100</f>
        <v>0.32</v>
      </c>
      <c r="Z142" s="213"/>
      <c r="AB142" s="212">
        <f t="shared" si="44"/>
        <v>46378.51</v>
      </c>
      <c r="AC142" s="41">
        <f>4122.54*AF132</f>
        <v>61838.1</v>
      </c>
      <c r="AD142" s="41">
        <f>745.56*AF132</f>
        <v>11183.4</v>
      </c>
      <c r="AE142" s="214">
        <f>3200%/100</f>
        <v>0.32</v>
      </c>
      <c r="AF142" s="213"/>
      <c r="AH142" s="212">
        <f t="shared" si="45"/>
        <v>46378.51</v>
      </c>
      <c r="AI142" s="41">
        <f>4122.54*AL132</f>
        <v>61838.1</v>
      </c>
      <c r="AJ142" s="41">
        <f>745.56*AL132</f>
        <v>11183.4</v>
      </c>
      <c r="AK142" s="214">
        <f>3200%/100</f>
        <v>0.32</v>
      </c>
      <c r="AL142" s="213"/>
      <c r="AN142" s="212">
        <f t="shared" si="46"/>
        <v>46378.51</v>
      </c>
      <c r="AO142" s="41">
        <f>4122.54*AR132</f>
        <v>61838.1</v>
      </c>
      <c r="AP142" s="41">
        <f>745.56*AR132</f>
        <v>11183.4</v>
      </c>
      <c r="AQ142" s="214">
        <f>3200%/100</f>
        <v>0.32</v>
      </c>
      <c r="AR142" s="213"/>
      <c r="AT142" s="212">
        <f t="shared" si="47"/>
        <v>46378.51</v>
      </c>
      <c r="AU142" s="41">
        <f>4122.54*AX132</f>
        <v>61838.1</v>
      </c>
      <c r="AV142" s="41">
        <f>745.56*AX132</f>
        <v>11183.4</v>
      </c>
      <c r="AW142" s="214">
        <f>3200%/100</f>
        <v>0.32</v>
      </c>
      <c r="AX142" s="213"/>
      <c r="AZ142" s="212">
        <f t="shared" si="48"/>
        <v>46378.51</v>
      </c>
      <c r="BA142" s="41">
        <f>4122.54*BD132</f>
        <v>61838.1</v>
      </c>
      <c r="BB142" s="41">
        <f>745.56*BD132</f>
        <v>11183.4</v>
      </c>
      <c r="BC142" s="214">
        <f>3200%/100</f>
        <v>0.32</v>
      </c>
      <c r="BD142" s="213"/>
      <c r="BF142" s="212">
        <f t="shared" si="49"/>
        <v>46378.51</v>
      </c>
      <c r="BG142" s="41">
        <f>4122.54*BJ132</f>
        <v>61838.1</v>
      </c>
      <c r="BH142" s="41">
        <f>745.56*BJ132</f>
        <v>11183.4</v>
      </c>
      <c r="BI142" s="214">
        <f>3200%/100</f>
        <v>0.32</v>
      </c>
      <c r="BJ142" s="213"/>
    </row>
    <row r="143" spans="4:62" x14ac:dyDescent="0.2">
      <c r="D143" s="212">
        <f>+E142+0.01</f>
        <v>61838.11</v>
      </c>
      <c r="E143" s="41">
        <f>12367.62*H132</f>
        <v>185514.30000000002</v>
      </c>
      <c r="F143" s="41">
        <f>1075.37*H132</f>
        <v>16130.55</v>
      </c>
      <c r="G143" s="214">
        <f>3400%/100</f>
        <v>0.34</v>
      </c>
      <c r="H143" s="213"/>
      <c r="J143" s="212">
        <f>+K142+0.01</f>
        <v>61838.11</v>
      </c>
      <c r="K143" s="41">
        <f>12367.62*N132</f>
        <v>185514.30000000002</v>
      </c>
      <c r="L143" s="41">
        <f>1075.37*N132</f>
        <v>16130.55</v>
      </c>
      <c r="M143" s="214">
        <f>3400%/100</f>
        <v>0.34</v>
      </c>
      <c r="N143" s="213"/>
      <c r="P143" s="212">
        <f>+Q142+0.01</f>
        <v>61838.11</v>
      </c>
      <c r="Q143" s="41">
        <f>12367.62*T132</f>
        <v>185514.30000000002</v>
      </c>
      <c r="R143" s="41">
        <f>1075.37*T132</f>
        <v>16130.55</v>
      </c>
      <c r="S143" s="214">
        <f>3400%/100</f>
        <v>0.34</v>
      </c>
      <c r="T143" s="213"/>
      <c r="V143" s="212">
        <f>+W142+0.01</f>
        <v>61838.11</v>
      </c>
      <c r="W143" s="41">
        <f>12367.62*Z132</f>
        <v>185514.30000000002</v>
      </c>
      <c r="X143" s="41">
        <f>1075.37*Z132</f>
        <v>16130.55</v>
      </c>
      <c r="Y143" s="214">
        <f>3400%/100</f>
        <v>0.34</v>
      </c>
      <c r="Z143" s="213"/>
      <c r="AB143" s="212">
        <f>+AC142+0.01</f>
        <v>61838.11</v>
      </c>
      <c r="AC143" s="41">
        <f>12367.62*AF132</f>
        <v>185514.30000000002</v>
      </c>
      <c r="AD143" s="41">
        <f>1075.37*AF132</f>
        <v>16130.55</v>
      </c>
      <c r="AE143" s="214">
        <f>3400%/100</f>
        <v>0.34</v>
      </c>
      <c r="AF143" s="213"/>
      <c r="AH143" s="212">
        <f>+AI142+0.01</f>
        <v>61838.11</v>
      </c>
      <c r="AI143" s="41">
        <f>12367.62*AL132</f>
        <v>185514.30000000002</v>
      </c>
      <c r="AJ143" s="41">
        <f>1075.37*AL132</f>
        <v>16130.55</v>
      </c>
      <c r="AK143" s="214">
        <f>3400%/100</f>
        <v>0.34</v>
      </c>
      <c r="AL143" s="213"/>
      <c r="AN143" s="212">
        <f>+AO142+0.01</f>
        <v>61838.11</v>
      </c>
      <c r="AO143" s="41">
        <f>12367.62*AR132</f>
        <v>185514.30000000002</v>
      </c>
      <c r="AP143" s="41">
        <f>1075.37*AR132</f>
        <v>16130.55</v>
      </c>
      <c r="AQ143" s="214">
        <f>3400%/100</f>
        <v>0.34</v>
      </c>
      <c r="AR143" s="213"/>
      <c r="AT143" s="212">
        <f>+AU142+0.01</f>
        <v>61838.11</v>
      </c>
      <c r="AU143" s="41">
        <f>12367.62*AX132</f>
        <v>185514.30000000002</v>
      </c>
      <c r="AV143" s="41">
        <f>1075.37*AX132</f>
        <v>16130.55</v>
      </c>
      <c r="AW143" s="214">
        <f>3400%/100</f>
        <v>0.34</v>
      </c>
      <c r="AX143" s="213"/>
      <c r="AZ143" s="212">
        <f>+BA142+0.01</f>
        <v>61838.11</v>
      </c>
      <c r="BA143" s="41">
        <f>12367.62*BD132</f>
        <v>185514.30000000002</v>
      </c>
      <c r="BB143" s="41">
        <f>1075.37*BD132</f>
        <v>16130.55</v>
      </c>
      <c r="BC143" s="214">
        <f>3400%/100</f>
        <v>0.34</v>
      </c>
      <c r="BD143" s="213"/>
      <c r="BF143" s="212">
        <f>+BG142+0.01</f>
        <v>61838.11</v>
      </c>
      <c r="BG143" s="41">
        <f>12367.62*BJ132</f>
        <v>185514.30000000002</v>
      </c>
      <c r="BH143" s="41">
        <f>1075.37*BJ132</f>
        <v>16130.55</v>
      </c>
      <c r="BI143" s="214">
        <f>3400%/100</f>
        <v>0.34</v>
      </c>
      <c r="BJ143" s="213"/>
    </row>
    <row r="144" spans="4:62" x14ac:dyDescent="0.2">
      <c r="D144" s="212">
        <f>+E143+0.01</f>
        <v>185514.31000000003</v>
      </c>
      <c r="E144" s="41" t="s">
        <v>58</v>
      </c>
      <c r="F144" s="41">
        <f>3878.69*H132</f>
        <v>58180.35</v>
      </c>
      <c r="G144" s="214">
        <f>3500%/100</f>
        <v>0.35</v>
      </c>
      <c r="H144" s="213"/>
      <c r="J144" s="212">
        <f>+K143+0.01</f>
        <v>185514.31000000003</v>
      </c>
      <c r="K144" s="41" t="s">
        <v>58</v>
      </c>
      <c r="L144" s="41">
        <f>3878.69*N132</f>
        <v>58180.35</v>
      </c>
      <c r="M144" s="214">
        <f>3500%/100</f>
        <v>0.35</v>
      </c>
      <c r="N144" s="213"/>
      <c r="P144" s="212">
        <f>+Q143+0.01</f>
        <v>185514.31000000003</v>
      </c>
      <c r="Q144" s="41" t="s">
        <v>58</v>
      </c>
      <c r="R144" s="41">
        <f>3878.69*T132</f>
        <v>58180.35</v>
      </c>
      <c r="S144" s="214">
        <f>3500%/100</f>
        <v>0.35</v>
      </c>
      <c r="T144" s="213"/>
      <c r="V144" s="212">
        <f>+W143+0.01</f>
        <v>185514.31000000003</v>
      </c>
      <c r="W144" s="41" t="s">
        <v>58</v>
      </c>
      <c r="X144" s="41">
        <f>3878.69*Z132</f>
        <v>58180.35</v>
      </c>
      <c r="Y144" s="214">
        <f>3500%/100</f>
        <v>0.35</v>
      </c>
      <c r="Z144" s="213"/>
      <c r="AB144" s="212">
        <f>+AC143+0.01</f>
        <v>185514.31000000003</v>
      </c>
      <c r="AC144" s="41" t="s">
        <v>58</v>
      </c>
      <c r="AD144" s="41">
        <f>3878.69*AF132</f>
        <v>58180.35</v>
      </c>
      <c r="AE144" s="214">
        <f>3500%/100</f>
        <v>0.35</v>
      </c>
      <c r="AF144" s="213"/>
      <c r="AH144" s="212">
        <f>+AI143+0.01</f>
        <v>185514.31000000003</v>
      </c>
      <c r="AI144" s="41" t="s">
        <v>58</v>
      </c>
      <c r="AJ144" s="41">
        <f>3878.69*AL132</f>
        <v>58180.35</v>
      </c>
      <c r="AK144" s="214">
        <f>3500%/100</f>
        <v>0.35</v>
      </c>
      <c r="AL144" s="213"/>
      <c r="AN144" s="212">
        <f>+AO143+0.01</f>
        <v>185514.31000000003</v>
      </c>
      <c r="AO144" s="41" t="s">
        <v>58</v>
      </c>
      <c r="AP144" s="41">
        <f>3878.69*AR132</f>
        <v>58180.35</v>
      </c>
      <c r="AQ144" s="214">
        <f>3500%/100</f>
        <v>0.35</v>
      </c>
      <c r="AR144" s="213"/>
      <c r="AT144" s="212">
        <f>+AU143+0.01</f>
        <v>185514.31000000003</v>
      </c>
      <c r="AU144" s="41" t="s">
        <v>58</v>
      </c>
      <c r="AV144" s="41">
        <f>3878.69*AX132</f>
        <v>58180.35</v>
      </c>
      <c r="AW144" s="214">
        <f>3500%/100</f>
        <v>0.35</v>
      </c>
      <c r="AX144" s="213"/>
      <c r="AZ144" s="212">
        <f>+BA143+0.01</f>
        <v>185514.31000000003</v>
      </c>
      <c r="BA144" s="41" t="s">
        <v>58</v>
      </c>
      <c r="BB144" s="41">
        <f>3878.69*BD132</f>
        <v>58180.35</v>
      </c>
      <c r="BC144" s="214">
        <f>3500%/100</f>
        <v>0.35</v>
      </c>
      <c r="BD144" s="213"/>
      <c r="BF144" s="212">
        <f>+BG143+0.01</f>
        <v>185514.31000000003</v>
      </c>
      <c r="BG144" s="41" t="s">
        <v>58</v>
      </c>
      <c r="BH144" s="41">
        <f>3878.69*BJ132</f>
        <v>58180.35</v>
      </c>
      <c r="BI144" s="214">
        <f>3500%/100</f>
        <v>0.35</v>
      </c>
      <c r="BJ144" s="213"/>
    </row>
    <row r="145" spans="4:62" x14ac:dyDescent="0.2">
      <c r="D145" s="212"/>
      <c r="G145" s="214"/>
      <c r="H145" s="213"/>
      <c r="J145" s="212"/>
      <c r="M145" s="214"/>
      <c r="N145" s="213"/>
      <c r="P145" s="212"/>
      <c r="S145" s="214"/>
      <c r="T145" s="213"/>
      <c r="V145" s="212"/>
      <c r="Y145" s="214"/>
      <c r="Z145" s="213"/>
      <c r="AB145" s="212"/>
      <c r="AE145" s="214"/>
      <c r="AF145" s="213"/>
      <c r="AH145" s="212"/>
      <c r="AK145" s="214"/>
      <c r="AL145" s="213"/>
      <c r="AN145" s="212"/>
      <c r="AQ145" s="214"/>
      <c r="AR145" s="213"/>
      <c r="AT145" s="212"/>
      <c r="AW145" s="214"/>
      <c r="AX145" s="213"/>
      <c r="AZ145" s="212"/>
      <c r="BC145" s="214"/>
      <c r="BD145" s="213"/>
      <c r="BF145" s="212"/>
      <c r="BI145" s="214"/>
      <c r="BJ145" s="213"/>
    </row>
    <row r="146" spans="4:62" x14ac:dyDescent="0.2">
      <c r="D146" s="208" t="s">
        <v>355</v>
      </c>
      <c r="E146" s="209"/>
      <c r="F146" s="209"/>
      <c r="G146" s="210"/>
      <c r="H146" s="215" t="s">
        <v>130</v>
      </c>
      <c r="J146" s="208" t="s">
        <v>355</v>
      </c>
      <c r="K146" s="209"/>
      <c r="L146" s="209"/>
      <c r="M146" s="210"/>
      <c r="N146" s="215" t="s">
        <v>130</v>
      </c>
      <c r="P146" s="208" t="s">
        <v>355</v>
      </c>
      <c r="Q146" s="209"/>
      <c r="R146" s="209"/>
      <c r="S146" s="210"/>
      <c r="T146" s="215" t="s">
        <v>130</v>
      </c>
      <c r="V146" s="208" t="s">
        <v>355</v>
      </c>
      <c r="W146" s="209"/>
      <c r="X146" s="209"/>
      <c r="Y146" s="210"/>
      <c r="Z146" s="215" t="s">
        <v>130</v>
      </c>
      <c r="AB146" s="208" t="s">
        <v>355</v>
      </c>
      <c r="AC146" s="209"/>
      <c r="AD146" s="209"/>
      <c r="AE146" s="210"/>
      <c r="AF146" s="215" t="s">
        <v>130</v>
      </c>
      <c r="AH146" s="208" t="s">
        <v>355</v>
      </c>
      <c r="AI146" s="209"/>
      <c r="AJ146" s="209"/>
      <c r="AK146" s="210"/>
      <c r="AL146" s="215" t="s">
        <v>130</v>
      </c>
      <c r="AN146" s="208" t="s">
        <v>355</v>
      </c>
      <c r="AO146" s="209"/>
      <c r="AP146" s="209"/>
      <c r="AQ146" s="210"/>
      <c r="AR146" s="215" t="s">
        <v>130</v>
      </c>
      <c r="AT146" s="208" t="s">
        <v>355</v>
      </c>
      <c r="AU146" s="209"/>
      <c r="AV146" s="209"/>
      <c r="AW146" s="210"/>
      <c r="AX146" s="215" t="s">
        <v>130</v>
      </c>
      <c r="AZ146" s="208" t="s">
        <v>355</v>
      </c>
      <c r="BA146" s="209"/>
      <c r="BB146" s="209"/>
      <c r="BC146" s="210"/>
      <c r="BD146" s="215" t="s">
        <v>130</v>
      </c>
      <c r="BF146" s="208" t="s">
        <v>355</v>
      </c>
      <c r="BG146" s="209"/>
      <c r="BH146" s="209"/>
      <c r="BI146" s="210"/>
      <c r="BJ146" s="215" t="s">
        <v>130</v>
      </c>
    </row>
    <row r="147" spans="4:62" x14ac:dyDescent="0.2">
      <c r="D147" s="212"/>
      <c r="G147" s="214"/>
      <c r="H147" s="213"/>
      <c r="J147" s="212"/>
      <c r="M147" s="214"/>
      <c r="N147" s="213"/>
      <c r="P147" s="212"/>
      <c r="S147" s="214"/>
      <c r="T147" s="213"/>
      <c r="V147" s="212"/>
      <c r="Y147" s="214"/>
      <c r="Z147" s="213"/>
      <c r="AB147" s="212"/>
      <c r="AE147" s="214"/>
      <c r="AF147" s="213"/>
      <c r="AH147" s="212"/>
      <c r="AK147" s="214"/>
      <c r="AL147" s="213"/>
      <c r="AN147" s="212"/>
      <c r="AQ147" s="214"/>
      <c r="AR147" s="213"/>
      <c r="AT147" s="212"/>
      <c r="AW147" s="214"/>
      <c r="AX147" s="213"/>
      <c r="AZ147" s="212"/>
      <c r="BC147" s="214"/>
      <c r="BD147" s="213"/>
      <c r="BF147" s="212"/>
      <c r="BI147" s="214"/>
      <c r="BJ147" s="213"/>
    </row>
    <row r="148" spans="4:62" ht="25.5" customHeight="1" x14ac:dyDescent="0.2">
      <c r="D148" s="216" t="s">
        <v>133</v>
      </c>
      <c r="E148" s="217" t="s">
        <v>132</v>
      </c>
      <c r="F148" s="217" t="s">
        <v>131</v>
      </c>
      <c r="G148" s="218"/>
      <c r="H148" s="211">
        <f>+H132</f>
        <v>15</v>
      </c>
      <c r="J148" s="216" t="s">
        <v>133</v>
      </c>
      <c r="K148" s="217" t="s">
        <v>132</v>
      </c>
      <c r="L148" s="217" t="s">
        <v>131</v>
      </c>
      <c r="M148" s="218"/>
      <c r="N148" s="211">
        <f>+N132</f>
        <v>15</v>
      </c>
      <c r="P148" s="216" t="s">
        <v>133</v>
      </c>
      <c r="Q148" s="217" t="s">
        <v>132</v>
      </c>
      <c r="R148" s="217" t="s">
        <v>131</v>
      </c>
      <c r="S148" s="218"/>
      <c r="T148" s="211">
        <f>+T132</f>
        <v>15</v>
      </c>
      <c r="V148" s="216" t="s">
        <v>133</v>
      </c>
      <c r="W148" s="217" t="s">
        <v>132</v>
      </c>
      <c r="X148" s="217" t="s">
        <v>131</v>
      </c>
      <c r="Y148" s="218"/>
      <c r="Z148" s="211">
        <f>+Z132</f>
        <v>15</v>
      </c>
      <c r="AB148" s="216" t="s">
        <v>133</v>
      </c>
      <c r="AC148" s="217" t="s">
        <v>132</v>
      </c>
      <c r="AD148" s="217" t="s">
        <v>131</v>
      </c>
      <c r="AE148" s="218"/>
      <c r="AF148" s="211">
        <f>+AF132</f>
        <v>15</v>
      </c>
      <c r="AH148" s="216" t="s">
        <v>133</v>
      </c>
      <c r="AI148" s="217" t="s">
        <v>132</v>
      </c>
      <c r="AJ148" s="217" t="s">
        <v>131</v>
      </c>
      <c r="AK148" s="218"/>
      <c r="AL148" s="211">
        <f>+AL132</f>
        <v>15</v>
      </c>
      <c r="AN148" s="216" t="s">
        <v>133</v>
      </c>
      <c r="AO148" s="217" t="s">
        <v>132</v>
      </c>
      <c r="AP148" s="217" t="s">
        <v>131</v>
      </c>
      <c r="AQ148" s="218"/>
      <c r="AR148" s="211">
        <f>+AR132</f>
        <v>15</v>
      </c>
      <c r="AT148" s="216" t="s">
        <v>133</v>
      </c>
      <c r="AU148" s="217" t="s">
        <v>132</v>
      </c>
      <c r="AV148" s="217" t="s">
        <v>131</v>
      </c>
      <c r="AW148" s="218"/>
      <c r="AX148" s="211">
        <f>+AX132</f>
        <v>15</v>
      </c>
      <c r="AZ148" s="216" t="s">
        <v>133</v>
      </c>
      <c r="BA148" s="217" t="s">
        <v>132</v>
      </c>
      <c r="BB148" s="217" t="s">
        <v>131</v>
      </c>
      <c r="BC148" s="218"/>
      <c r="BD148" s="211">
        <f>+BD132</f>
        <v>15</v>
      </c>
      <c r="BF148" s="216" t="s">
        <v>133</v>
      </c>
      <c r="BG148" s="217" t="s">
        <v>132</v>
      </c>
      <c r="BH148" s="217" t="s">
        <v>131</v>
      </c>
      <c r="BI148" s="218"/>
      <c r="BJ148" s="211">
        <f>+BJ132</f>
        <v>15</v>
      </c>
    </row>
    <row r="149" spans="4:62" x14ac:dyDescent="0.2">
      <c r="D149" s="212" t="s">
        <v>57</v>
      </c>
      <c r="E149" s="41" t="s">
        <v>57</v>
      </c>
      <c r="F149" s="41" t="s">
        <v>57</v>
      </c>
      <c r="G149" s="41"/>
      <c r="H149" s="213"/>
      <c r="J149" s="212" t="s">
        <v>57</v>
      </c>
      <c r="K149" s="41" t="s">
        <v>57</v>
      </c>
      <c r="L149" s="41" t="s">
        <v>57</v>
      </c>
      <c r="N149" s="213"/>
      <c r="P149" s="212" t="s">
        <v>57</v>
      </c>
      <c r="Q149" s="41" t="s">
        <v>57</v>
      </c>
      <c r="R149" s="41" t="s">
        <v>57</v>
      </c>
      <c r="T149" s="213"/>
      <c r="V149" s="212" t="s">
        <v>57</v>
      </c>
      <c r="W149" s="41" t="s">
        <v>57</v>
      </c>
      <c r="X149" s="41" t="s">
        <v>57</v>
      </c>
      <c r="Z149" s="213"/>
      <c r="AB149" s="212" t="s">
        <v>57</v>
      </c>
      <c r="AC149" s="41" t="s">
        <v>57</v>
      </c>
      <c r="AD149" s="41" t="s">
        <v>57</v>
      </c>
      <c r="AF149" s="213"/>
      <c r="AH149" s="212" t="s">
        <v>57</v>
      </c>
      <c r="AI149" s="41" t="s">
        <v>57</v>
      </c>
      <c r="AJ149" s="41" t="s">
        <v>57</v>
      </c>
      <c r="AL149" s="213"/>
      <c r="AN149" s="212" t="s">
        <v>57</v>
      </c>
      <c r="AO149" s="41" t="s">
        <v>57</v>
      </c>
      <c r="AP149" s="41" t="s">
        <v>57</v>
      </c>
      <c r="AR149" s="213"/>
      <c r="AT149" s="212" t="s">
        <v>57</v>
      </c>
      <c r="AU149" s="41" t="s">
        <v>57</v>
      </c>
      <c r="AV149" s="41" t="s">
        <v>57</v>
      </c>
      <c r="AX149" s="213"/>
      <c r="AZ149" s="212" t="s">
        <v>57</v>
      </c>
      <c r="BA149" s="41" t="s">
        <v>57</v>
      </c>
      <c r="BB149" s="41" t="s">
        <v>57</v>
      </c>
      <c r="BD149" s="213"/>
      <c r="BF149" s="212" t="s">
        <v>57</v>
      </c>
      <c r="BG149" s="41" t="s">
        <v>57</v>
      </c>
      <c r="BH149" s="41" t="s">
        <v>57</v>
      </c>
      <c r="BJ149" s="213"/>
    </row>
    <row r="150" spans="4:62" x14ac:dyDescent="0.2">
      <c r="D150" s="262">
        <v>0.01</v>
      </c>
      <c r="E150" s="41">
        <f>334.5723*H148</f>
        <v>5018.5844999999999</v>
      </c>
      <c r="F150" s="41">
        <f>15.6233*H148</f>
        <v>234.34950000000001</v>
      </c>
      <c r="G150" s="41"/>
      <c r="H150" s="213"/>
      <c r="J150" s="262">
        <v>0.01</v>
      </c>
      <c r="K150" s="41">
        <f>334.5723*N148</f>
        <v>5018.5844999999999</v>
      </c>
      <c r="L150" s="41">
        <f>15.6233*N148</f>
        <v>234.34950000000001</v>
      </c>
      <c r="N150" s="213"/>
      <c r="P150" s="262">
        <v>0.01</v>
      </c>
      <c r="Q150" s="41">
        <f>334.5723*T148</f>
        <v>5018.5844999999999</v>
      </c>
      <c r="R150" s="41">
        <f>15.6233*T148</f>
        <v>234.34950000000001</v>
      </c>
      <c r="T150" s="213"/>
      <c r="V150" s="262">
        <v>0.01</v>
      </c>
      <c r="W150" s="41">
        <f>334.5723*Z148</f>
        <v>5018.5844999999999</v>
      </c>
      <c r="X150" s="41">
        <f>15.6233*Z148</f>
        <v>234.34950000000001</v>
      </c>
      <c r="Z150" s="213"/>
      <c r="AB150" s="262">
        <v>0.01</v>
      </c>
      <c r="AC150" s="41">
        <f>334.5723*AF148</f>
        <v>5018.5844999999999</v>
      </c>
      <c r="AD150" s="41">
        <f>15.6233*AF148</f>
        <v>234.34950000000001</v>
      </c>
      <c r="AF150" s="213"/>
      <c r="AH150" s="262">
        <v>0.01</v>
      </c>
      <c r="AI150" s="41">
        <f>334.5723*AL148</f>
        <v>5018.5844999999999</v>
      </c>
      <c r="AJ150" s="41">
        <f>15.6233*AL148</f>
        <v>234.34950000000001</v>
      </c>
      <c r="AL150" s="213"/>
      <c r="AN150" s="262">
        <v>0.01</v>
      </c>
      <c r="AO150" s="41">
        <f>334.5723*AR148</f>
        <v>5018.5844999999999</v>
      </c>
      <c r="AP150" s="41">
        <f>15.6233*AR148</f>
        <v>234.34950000000001</v>
      </c>
      <c r="AR150" s="213"/>
      <c r="AT150" s="262">
        <v>0.01</v>
      </c>
      <c r="AU150" s="41">
        <f>334.5723*AX148</f>
        <v>5018.5844999999999</v>
      </c>
      <c r="AV150" s="41">
        <f>15.6233*AX148</f>
        <v>234.34950000000001</v>
      </c>
      <c r="AX150" s="213"/>
      <c r="AZ150" s="262">
        <v>0.01</v>
      </c>
      <c r="BA150" s="41">
        <f>334.5723*BD148</f>
        <v>5018.5844999999999</v>
      </c>
      <c r="BB150" s="41">
        <f>15.6233*BD148</f>
        <v>234.34950000000001</v>
      </c>
      <c r="BD150" s="213"/>
      <c r="BF150" s="262">
        <v>0.01</v>
      </c>
      <c r="BG150" s="41">
        <f>334.5723*BJ148</f>
        <v>5018.5844999999999</v>
      </c>
      <c r="BH150" s="41">
        <f>15.6233*BJ148</f>
        <v>234.34950000000001</v>
      </c>
      <c r="BJ150" s="213"/>
    </row>
    <row r="151" spans="4:62" x14ac:dyDescent="0.2">
      <c r="D151" s="212">
        <f>E150+0.01</f>
        <v>5018.5945000000002</v>
      </c>
      <c r="E151" s="41">
        <v>10171.02</v>
      </c>
      <c r="F151" s="213">
        <v>0</v>
      </c>
      <c r="G151" s="41"/>
      <c r="H151" s="213"/>
      <c r="J151" s="212">
        <f>K150+0.01</f>
        <v>5018.5945000000002</v>
      </c>
      <c r="K151" s="41">
        <v>10171.02</v>
      </c>
      <c r="L151" s="213">
        <v>0</v>
      </c>
      <c r="N151" s="213"/>
      <c r="P151" s="212">
        <f>Q150+0.01</f>
        <v>5018.5945000000002</v>
      </c>
      <c r="Q151" s="41">
        <v>10171.02</v>
      </c>
      <c r="R151" s="213">
        <v>0</v>
      </c>
      <c r="T151" s="213"/>
      <c r="V151" s="212">
        <f>W150+0.01</f>
        <v>5018.5945000000002</v>
      </c>
      <c r="W151" s="41">
        <v>10171.02</v>
      </c>
      <c r="X151" s="213">
        <v>0</v>
      </c>
      <c r="Z151" s="213"/>
      <c r="AB151" s="212">
        <f>AC150+0.01</f>
        <v>5018.5945000000002</v>
      </c>
      <c r="AC151" s="41">
        <v>10171.02</v>
      </c>
      <c r="AD151" s="213">
        <v>0</v>
      </c>
      <c r="AF151" s="213"/>
      <c r="AH151" s="212">
        <f>AI150+0.01</f>
        <v>5018.5945000000002</v>
      </c>
      <c r="AI151" s="41">
        <v>10171.02</v>
      </c>
      <c r="AJ151" s="213">
        <v>0</v>
      </c>
      <c r="AL151" s="213"/>
      <c r="AN151" s="212">
        <f>AO150+0.01</f>
        <v>5018.5945000000002</v>
      </c>
      <c r="AO151" s="41">
        <v>10171.02</v>
      </c>
      <c r="AP151" s="213">
        <v>0</v>
      </c>
      <c r="AR151" s="213"/>
      <c r="AT151" s="212">
        <f>AU150+0.01</f>
        <v>5018.5945000000002</v>
      </c>
      <c r="AU151" s="41">
        <v>10171.02</v>
      </c>
      <c r="AV151" s="213">
        <v>0</v>
      </c>
      <c r="AX151" s="213"/>
      <c r="AZ151" s="212">
        <f>BA150+0.01</f>
        <v>5018.5945000000002</v>
      </c>
      <c r="BA151" s="41">
        <v>10171.02</v>
      </c>
      <c r="BB151" s="213">
        <v>0</v>
      </c>
      <c r="BD151" s="213"/>
      <c r="BF151" s="212">
        <f>BG150+0.01</f>
        <v>5018.5945000000002</v>
      </c>
      <c r="BG151" s="41">
        <v>10171.02</v>
      </c>
      <c r="BH151" s="213">
        <v>0</v>
      </c>
      <c r="BJ151" s="213"/>
    </row>
    <row r="152" spans="4:62" x14ac:dyDescent="0.2">
      <c r="D152" s="212">
        <v>10171.030000000001</v>
      </c>
      <c r="E152" s="212">
        <v>10171.040000000001</v>
      </c>
      <c r="F152" s="213">
        <v>0</v>
      </c>
      <c r="G152" s="41"/>
      <c r="H152" s="213"/>
      <c r="J152" s="212">
        <v>10171.030000000001</v>
      </c>
      <c r="K152" s="212">
        <v>10171.040000000001</v>
      </c>
      <c r="L152" s="213">
        <v>0</v>
      </c>
      <c r="N152" s="213"/>
      <c r="P152" s="212">
        <v>10171.030000000001</v>
      </c>
      <c r="Q152" s="212">
        <v>10171.040000000001</v>
      </c>
      <c r="R152" s="213">
        <v>0</v>
      </c>
      <c r="T152" s="213"/>
      <c r="V152" s="212">
        <v>10171.030000000001</v>
      </c>
      <c r="W152" s="212">
        <v>10171.040000000001</v>
      </c>
      <c r="X152" s="213">
        <v>0</v>
      </c>
      <c r="Z152" s="213"/>
      <c r="AB152" s="212">
        <v>10171.030000000001</v>
      </c>
      <c r="AC152" s="212">
        <v>10171.040000000001</v>
      </c>
      <c r="AD152" s="213">
        <v>0</v>
      </c>
      <c r="AF152" s="213"/>
      <c r="AH152" s="212">
        <v>10171.030000000001</v>
      </c>
      <c r="AI152" s="212">
        <v>10171.040000000001</v>
      </c>
      <c r="AJ152" s="213">
        <v>0</v>
      </c>
      <c r="AL152" s="213"/>
      <c r="AN152" s="212">
        <v>10171.030000000001</v>
      </c>
      <c r="AO152" s="212">
        <v>10171.040000000001</v>
      </c>
      <c r="AP152" s="213">
        <v>0</v>
      </c>
      <c r="AR152" s="213"/>
      <c r="AT152" s="212">
        <v>10171.030000000001</v>
      </c>
      <c r="AU152" s="212">
        <v>10171.040000000001</v>
      </c>
      <c r="AV152" s="213">
        <v>0</v>
      </c>
      <c r="AX152" s="213"/>
      <c r="AZ152" s="212">
        <v>10171.030000000001</v>
      </c>
      <c r="BA152" s="212">
        <v>10171.040000000001</v>
      </c>
      <c r="BB152" s="213">
        <v>0</v>
      </c>
      <c r="BD152" s="213"/>
      <c r="BF152" s="212">
        <v>10171.030000000001</v>
      </c>
      <c r="BG152" s="212">
        <v>10171.040000000001</v>
      </c>
      <c r="BH152" s="213">
        <v>0</v>
      </c>
      <c r="BJ152" s="213"/>
    </row>
    <row r="153" spans="4:62" x14ac:dyDescent="0.2">
      <c r="D153" s="212">
        <v>10171.049999999999</v>
      </c>
      <c r="E153" s="212">
        <v>10171.06</v>
      </c>
      <c r="F153" s="213">
        <v>0</v>
      </c>
      <c r="G153" s="41"/>
      <c r="H153" s="213"/>
      <c r="J153" s="212">
        <v>10171.049999999999</v>
      </c>
      <c r="K153" s="212">
        <v>10171.06</v>
      </c>
      <c r="L153" s="213">
        <v>0</v>
      </c>
      <c r="N153" s="213"/>
      <c r="P153" s="212">
        <v>10171.049999999999</v>
      </c>
      <c r="Q153" s="212">
        <v>10171.06</v>
      </c>
      <c r="R153" s="213">
        <v>0</v>
      </c>
      <c r="T153" s="213"/>
      <c r="V153" s="212">
        <v>10171.049999999999</v>
      </c>
      <c r="W153" s="212">
        <v>10171.06</v>
      </c>
      <c r="X153" s="213">
        <v>0</v>
      </c>
      <c r="Z153" s="213"/>
      <c r="AB153" s="212">
        <v>10171.049999999999</v>
      </c>
      <c r="AC153" s="212">
        <v>10171.06</v>
      </c>
      <c r="AD153" s="213">
        <v>0</v>
      </c>
      <c r="AF153" s="213"/>
      <c r="AH153" s="212">
        <v>10171.049999999999</v>
      </c>
      <c r="AI153" s="212">
        <v>10171.06</v>
      </c>
      <c r="AJ153" s="213">
        <v>0</v>
      </c>
      <c r="AL153" s="213"/>
      <c r="AN153" s="212">
        <v>10171.049999999999</v>
      </c>
      <c r="AO153" s="212">
        <v>10171.06</v>
      </c>
      <c r="AP153" s="213">
        <v>0</v>
      </c>
      <c r="AR153" s="213"/>
      <c r="AT153" s="212">
        <v>10171.049999999999</v>
      </c>
      <c r="AU153" s="212">
        <v>10171.06</v>
      </c>
      <c r="AV153" s="213">
        <v>0</v>
      </c>
      <c r="AX153" s="213"/>
      <c r="AZ153" s="212">
        <v>10171.049999999999</v>
      </c>
      <c r="BA153" s="212">
        <v>10171.06</v>
      </c>
      <c r="BB153" s="213">
        <v>0</v>
      </c>
      <c r="BD153" s="213"/>
      <c r="BF153" s="212">
        <v>10171.049999999999</v>
      </c>
      <c r="BG153" s="212">
        <v>10171.06</v>
      </c>
      <c r="BH153" s="213">
        <v>0</v>
      </c>
      <c r="BJ153" s="213"/>
    </row>
    <row r="154" spans="4:62" x14ac:dyDescent="0.2">
      <c r="D154" s="212">
        <v>10171.07</v>
      </c>
      <c r="E154" s="212">
        <v>10171.08</v>
      </c>
      <c r="F154" s="213">
        <v>0</v>
      </c>
      <c r="G154" s="41"/>
      <c r="H154" s="213"/>
      <c r="J154" s="212">
        <v>10171.07</v>
      </c>
      <c r="K154" s="212">
        <v>10171.08</v>
      </c>
      <c r="L154" s="213">
        <v>0</v>
      </c>
      <c r="N154" s="213"/>
      <c r="P154" s="212">
        <v>10171.07</v>
      </c>
      <c r="Q154" s="212">
        <v>10171.08</v>
      </c>
      <c r="R154" s="213">
        <v>0</v>
      </c>
      <c r="T154" s="213"/>
      <c r="V154" s="212">
        <v>10171.07</v>
      </c>
      <c r="W154" s="212">
        <v>10171.08</v>
      </c>
      <c r="X154" s="213">
        <v>0</v>
      </c>
      <c r="Z154" s="213"/>
      <c r="AB154" s="212">
        <v>10171.07</v>
      </c>
      <c r="AC154" s="212">
        <v>10171.08</v>
      </c>
      <c r="AD154" s="213">
        <v>0</v>
      </c>
      <c r="AF154" s="213"/>
      <c r="AH154" s="212">
        <v>10171.07</v>
      </c>
      <c r="AI154" s="212">
        <v>10171.08</v>
      </c>
      <c r="AJ154" s="213">
        <v>0</v>
      </c>
      <c r="AL154" s="213"/>
      <c r="AN154" s="212">
        <v>10171.07</v>
      </c>
      <c r="AO154" s="212">
        <v>10171.08</v>
      </c>
      <c r="AP154" s="213">
        <v>0</v>
      </c>
      <c r="AR154" s="213"/>
      <c r="AT154" s="212">
        <v>10171.07</v>
      </c>
      <c r="AU154" s="212">
        <v>10171.08</v>
      </c>
      <c r="AV154" s="213">
        <v>0</v>
      </c>
      <c r="AX154" s="213"/>
      <c r="AZ154" s="212">
        <v>10171.07</v>
      </c>
      <c r="BA154" s="212">
        <v>10171.08</v>
      </c>
      <c r="BB154" s="213">
        <v>0</v>
      </c>
      <c r="BD154" s="213"/>
      <c r="BF154" s="212">
        <v>10171.07</v>
      </c>
      <c r="BG154" s="212">
        <v>10171.08</v>
      </c>
      <c r="BH154" s="213">
        <v>0</v>
      </c>
      <c r="BJ154" s="213"/>
    </row>
    <row r="155" spans="4:62" x14ac:dyDescent="0.2">
      <c r="D155" s="212">
        <v>10171.09</v>
      </c>
      <c r="E155" s="212">
        <v>10171.1</v>
      </c>
      <c r="F155" s="213">
        <v>0</v>
      </c>
      <c r="G155" s="41"/>
      <c r="H155" s="213"/>
      <c r="J155" s="212">
        <v>10171.09</v>
      </c>
      <c r="K155" s="212">
        <v>10171.1</v>
      </c>
      <c r="L155" s="213">
        <v>0</v>
      </c>
      <c r="N155" s="213"/>
      <c r="P155" s="212">
        <v>10171.09</v>
      </c>
      <c r="Q155" s="212">
        <v>10171.1</v>
      </c>
      <c r="R155" s="213">
        <v>0</v>
      </c>
      <c r="T155" s="213"/>
      <c r="V155" s="212">
        <v>10171.09</v>
      </c>
      <c r="W155" s="212">
        <v>10171.1</v>
      </c>
      <c r="X155" s="213">
        <v>0</v>
      </c>
      <c r="Z155" s="213"/>
      <c r="AB155" s="212">
        <v>10171.09</v>
      </c>
      <c r="AC155" s="212">
        <v>10171.1</v>
      </c>
      <c r="AD155" s="213">
        <v>0</v>
      </c>
      <c r="AF155" s="213"/>
      <c r="AH155" s="212">
        <v>10171.09</v>
      </c>
      <c r="AI155" s="212">
        <v>10171.1</v>
      </c>
      <c r="AJ155" s="213">
        <v>0</v>
      </c>
      <c r="AL155" s="213"/>
      <c r="AN155" s="212">
        <v>10171.09</v>
      </c>
      <c r="AO155" s="212">
        <v>10171.1</v>
      </c>
      <c r="AP155" s="213">
        <v>0</v>
      </c>
      <c r="AR155" s="213"/>
      <c r="AT155" s="212">
        <v>10171.09</v>
      </c>
      <c r="AU155" s="212">
        <v>10171.1</v>
      </c>
      <c r="AV155" s="213">
        <v>0</v>
      </c>
      <c r="AX155" s="213"/>
      <c r="AZ155" s="212">
        <v>10171.09</v>
      </c>
      <c r="BA155" s="212">
        <v>10171.1</v>
      </c>
      <c r="BB155" s="213">
        <v>0</v>
      </c>
      <c r="BD155" s="213"/>
      <c r="BF155" s="212">
        <v>10171.09</v>
      </c>
      <c r="BG155" s="212">
        <v>10171.1</v>
      </c>
      <c r="BH155" s="213">
        <v>0</v>
      </c>
      <c r="BJ155" s="213"/>
    </row>
    <row r="156" spans="4:62" x14ac:dyDescent="0.2">
      <c r="D156" s="212">
        <v>10171.11</v>
      </c>
      <c r="E156" s="212">
        <v>10171.120000000001</v>
      </c>
      <c r="F156" s="213">
        <v>0</v>
      </c>
      <c r="G156" s="41"/>
      <c r="H156" s="213"/>
      <c r="J156" s="212">
        <v>10171.11</v>
      </c>
      <c r="K156" s="212">
        <v>10171.120000000001</v>
      </c>
      <c r="L156" s="213">
        <v>0</v>
      </c>
      <c r="N156" s="213"/>
      <c r="P156" s="212">
        <v>10171.11</v>
      </c>
      <c r="Q156" s="212">
        <v>10171.120000000001</v>
      </c>
      <c r="R156" s="213">
        <v>0</v>
      </c>
      <c r="T156" s="213"/>
      <c r="V156" s="212">
        <v>10171.11</v>
      </c>
      <c r="W156" s="212">
        <v>10171.120000000001</v>
      </c>
      <c r="X156" s="213">
        <v>0</v>
      </c>
      <c r="Z156" s="213"/>
      <c r="AB156" s="212">
        <v>10171.11</v>
      </c>
      <c r="AC156" s="212">
        <v>10171.120000000001</v>
      </c>
      <c r="AD156" s="213">
        <v>0</v>
      </c>
      <c r="AF156" s="213"/>
      <c r="AH156" s="212">
        <v>10171.11</v>
      </c>
      <c r="AI156" s="212">
        <v>10171.120000000001</v>
      </c>
      <c r="AJ156" s="213">
        <v>0</v>
      </c>
      <c r="AL156" s="213"/>
      <c r="AN156" s="212">
        <v>10171.11</v>
      </c>
      <c r="AO156" s="212">
        <v>10171.120000000001</v>
      </c>
      <c r="AP156" s="213">
        <v>0</v>
      </c>
      <c r="AR156" s="213"/>
      <c r="AT156" s="212">
        <v>10171.11</v>
      </c>
      <c r="AU156" s="212">
        <v>10171.120000000001</v>
      </c>
      <c r="AV156" s="213">
        <v>0</v>
      </c>
      <c r="AX156" s="213"/>
      <c r="AZ156" s="212">
        <v>10171.11</v>
      </c>
      <c r="BA156" s="212">
        <v>10171.120000000001</v>
      </c>
      <c r="BB156" s="213">
        <v>0</v>
      </c>
      <c r="BD156" s="213"/>
      <c r="BF156" s="212">
        <v>10171.11</v>
      </c>
      <c r="BG156" s="212">
        <v>10171.120000000001</v>
      </c>
      <c r="BH156" s="213">
        <v>0</v>
      </c>
      <c r="BJ156" s="213"/>
    </row>
    <row r="157" spans="4:62" x14ac:dyDescent="0.2">
      <c r="D157" s="212">
        <v>10171.129999999999</v>
      </c>
      <c r="E157" s="212">
        <v>10171.14</v>
      </c>
      <c r="F157" s="213">
        <v>0</v>
      </c>
      <c r="G157" s="41"/>
      <c r="H157" s="213"/>
      <c r="J157" s="212">
        <v>10171.129999999999</v>
      </c>
      <c r="K157" s="212">
        <v>10171.14</v>
      </c>
      <c r="L157" s="213">
        <v>0</v>
      </c>
      <c r="N157" s="213"/>
      <c r="P157" s="212">
        <v>10171.129999999999</v>
      </c>
      <c r="Q157" s="212">
        <v>10171.14</v>
      </c>
      <c r="R157" s="213">
        <v>0</v>
      </c>
      <c r="T157" s="213"/>
      <c r="V157" s="212">
        <v>10171.129999999999</v>
      </c>
      <c r="W157" s="212">
        <v>10171.14</v>
      </c>
      <c r="X157" s="213">
        <v>0</v>
      </c>
      <c r="Z157" s="213"/>
      <c r="AB157" s="212">
        <v>10171.129999999999</v>
      </c>
      <c r="AC157" s="212">
        <v>10171.14</v>
      </c>
      <c r="AD157" s="213">
        <v>0</v>
      </c>
      <c r="AF157" s="213"/>
      <c r="AH157" s="212">
        <v>10171.129999999999</v>
      </c>
      <c r="AI157" s="212">
        <v>10171.14</v>
      </c>
      <c r="AJ157" s="213">
        <v>0</v>
      </c>
      <c r="AL157" s="213"/>
      <c r="AN157" s="212">
        <v>10171.129999999999</v>
      </c>
      <c r="AO157" s="212">
        <v>10171.14</v>
      </c>
      <c r="AP157" s="213">
        <v>0</v>
      </c>
      <c r="AR157" s="213"/>
      <c r="AT157" s="212">
        <v>10171.129999999999</v>
      </c>
      <c r="AU157" s="212">
        <v>10171.14</v>
      </c>
      <c r="AV157" s="213">
        <v>0</v>
      </c>
      <c r="AX157" s="213"/>
      <c r="AZ157" s="212">
        <v>10171.129999999999</v>
      </c>
      <c r="BA157" s="212">
        <v>10171.14</v>
      </c>
      <c r="BB157" s="213">
        <v>0</v>
      </c>
      <c r="BD157" s="213"/>
      <c r="BF157" s="212">
        <v>10171.129999999999</v>
      </c>
      <c r="BG157" s="212">
        <v>10171.14</v>
      </c>
      <c r="BH157" s="213">
        <v>0</v>
      </c>
      <c r="BJ157" s="213"/>
    </row>
    <row r="158" spans="4:62" x14ac:dyDescent="0.2">
      <c r="D158" s="212">
        <v>10171.15</v>
      </c>
      <c r="E158" s="212">
        <v>10171.16</v>
      </c>
      <c r="F158" s="213">
        <v>0</v>
      </c>
      <c r="G158" s="41"/>
      <c r="H158" s="213"/>
      <c r="J158" s="212">
        <v>10171.15</v>
      </c>
      <c r="K158" s="212">
        <v>10171.16</v>
      </c>
      <c r="L158" s="213">
        <v>0</v>
      </c>
      <c r="N158" s="213"/>
      <c r="P158" s="212">
        <v>10171.15</v>
      </c>
      <c r="Q158" s="212">
        <v>10171.16</v>
      </c>
      <c r="R158" s="213">
        <v>0</v>
      </c>
      <c r="T158" s="213"/>
      <c r="V158" s="212">
        <v>10171.15</v>
      </c>
      <c r="W158" s="212">
        <v>10171.16</v>
      </c>
      <c r="X158" s="213">
        <v>0</v>
      </c>
      <c r="Z158" s="213"/>
      <c r="AB158" s="212">
        <v>10171.15</v>
      </c>
      <c r="AC158" s="212">
        <v>10171.16</v>
      </c>
      <c r="AD158" s="213">
        <v>0</v>
      </c>
      <c r="AF158" s="213"/>
      <c r="AH158" s="212">
        <v>10171.15</v>
      </c>
      <c r="AI158" s="212">
        <v>10171.16</v>
      </c>
      <c r="AJ158" s="213">
        <v>0</v>
      </c>
      <c r="AL158" s="213"/>
      <c r="AN158" s="212">
        <v>10171.15</v>
      </c>
      <c r="AO158" s="212">
        <v>10171.16</v>
      </c>
      <c r="AP158" s="213">
        <v>0</v>
      </c>
      <c r="AR158" s="213"/>
      <c r="AT158" s="212">
        <v>10171.15</v>
      </c>
      <c r="AU158" s="212">
        <v>10171.16</v>
      </c>
      <c r="AV158" s="213">
        <v>0</v>
      </c>
      <c r="AX158" s="213"/>
      <c r="AZ158" s="212">
        <v>10171.15</v>
      </c>
      <c r="BA158" s="212">
        <v>10171.16</v>
      </c>
      <c r="BB158" s="213">
        <v>0</v>
      </c>
      <c r="BD158" s="213"/>
      <c r="BF158" s="212">
        <v>10171.15</v>
      </c>
      <c r="BG158" s="212">
        <v>10171.16</v>
      </c>
      <c r="BH158" s="213">
        <v>0</v>
      </c>
      <c r="BJ158" s="213"/>
    </row>
    <row r="159" spans="4:62" x14ac:dyDescent="0.2">
      <c r="D159" s="212">
        <v>10171.17</v>
      </c>
      <c r="E159" s="212">
        <v>10171.18</v>
      </c>
      <c r="F159" s="213">
        <v>0</v>
      </c>
      <c r="G159" s="41"/>
      <c r="H159" s="213"/>
      <c r="J159" s="212">
        <v>10171.17</v>
      </c>
      <c r="K159" s="212">
        <v>10171.18</v>
      </c>
      <c r="L159" s="213">
        <v>0</v>
      </c>
      <c r="N159" s="213"/>
      <c r="P159" s="212">
        <v>10171.17</v>
      </c>
      <c r="Q159" s="212">
        <v>10171.18</v>
      </c>
      <c r="R159" s="213">
        <v>0</v>
      </c>
      <c r="T159" s="213"/>
      <c r="V159" s="212">
        <v>10171.17</v>
      </c>
      <c r="W159" s="212">
        <v>10171.18</v>
      </c>
      <c r="X159" s="213">
        <v>0</v>
      </c>
      <c r="Z159" s="213"/>
      <c r="AB159" s="212">
        <v>10171.17</v>
      </c>
      <c r="AC159" s="212">
        <v>10171.18</v>
      </c>
      <c r="AD159" s="213">
        <v>0</v>
      </c>
      <c r="AF159" s="213"/>
      <c r="AH159" s="212">
        <v>10171.17</v>
      </c>
      <c r="AI159" s="212">
        <v>10171.18</v>
      </c>
      <c r="AJ159" s="213">
        <v>0</v>
      </c>
      <c r="AL159" s="213"/>
      <c r="AN159" s="212">
        <v>10171.17</v>
      </c>
      <c r="AO159" s="212">
        <v>10171.18</v>
      </c>
      <c r="AP159" s="213">
        <v>0</v>
      </c>
      <c r="AR159" s="213"/>
      <c r="AT159" s="212">
        <v>10171.17</v>
      </c>
      <c r="AU159" s="212">
        <v>10171.18</v>
      </c>
      <c r="AV159" s="213">
        <v>0</v>
      </c>
      <c r="AX159" s="213"/>
      <c r="AZ159" s="212">
        <v>10171.17</v>
      </c>
      <c r="BA159" s="212">
        <v>10171.18</v>
      </c>
      <c r="BB159" s="213">
        <v>0</v>
      </c>
      <c r="BD159" s="213"/>
      <c r="BF159" s="212">
        <v>10171.17</v>
      </c>
      <c r="BG159" s="212">
        <v>10171.18</v>
      </c>
      <c r="BH159" s="213">
        <v>0</v>
      </c>
      <c r="BJ159" s="213"/>
    </row>
    <row r="160" spans="4:62" ht="13.5" thickBot="1" x14ac:dyDescent="0.25">
      <c r="D160" s="219">
        <v>10171.19</v>
      </c>
      <c r="E160" s="219">
        <v>999999999</v>
      </c>
      <c r="F160" s="221">
        <v>0</v>
      </c>
      <c r="G160" s="220"/>
      <c r="H160" s="221"/>
      <c r="J160" s="219">
        <v>10171.19</v>
      </c>
      <c r="K160" s="219">
        <v>999999999</v>
      </c>
      <c r="L160" s="221">
        <v>0</v>
      </c>
      <c r="M160" s="220"/>
      <c r="N160" s="221"/>
      <c r="P160" s="219">
        <v>10171.19</v>
      </c>
      <c r="Q160" s="219">
        <v>999999999</v>
      </c>
      <c r="R160" s="221">
        <v>0</v>
      </c>
      <c r="S160" s="220"/>
      <c r="T160" s="221"/>
      <c r="V160" s="219">
        <v>10171.19</v>
      </c>
      <c r="W160" s="219">
        <v>999999999</v>
      </c>
      <c r="X160" s="221">
        <v>0</v>
      </c>
      <c r="Y160" s="220"/>
      <c r="Z160" s="221"/>
      <c r="AB160" s="219">
        <v>10171.19</v>
      </c>
      <c r="AC160" s="219">
        <v>999999999</v>
      </c>
      <c r="AD160" s="221">
        <v>0</v>
      </c>
      <c r="AE160" s="220"/>
      <c r="AF160" s="221"/>
      <c r="AH160" s="219">
        <v>10171.19</v>
      </c>
      <c r="AI160" s="219">
        <v>999999999</v>
      </c>
      <c r="AJ160" s="221">
        <v>0</v>
      </c>
      <c r="AK160" s="220"/>
      <c r="AL160" s="221"/>
      <c r="AN160" s="219">
        <v>10171.19</v>
      </c>
      <c r="AO160" s="219">
        <v>999999999</v>
      </c>
      <c r="AP160" s="221">
        <v>0</v>
      </c>
      <c r="AQ160" s="220"/>
      <c r="AR160" s="221"/>
      <c r="AT160" s="219">
        <v>10171.19</v>
      </c>
      <c r="AU160" s="219">
        <v>999999999</v>
      </c>
      <c r="AV160" s="221">
        <v>0</v>
      </c>
      <c r="AW160" s="220"/>
      <c r="AX160" s="221"/>
      <c r="AZ160" s="219">
        <v>10171.19</v>
      </c>
      <c r="BA160" s="219">
        <v>999999999</v>
      </c>
      <c r="BB160" s="221">
        <v>0</v>
      </c>
      <c r="BC160" s="220"/>
      <c r="BD160" s="221"/>
      <c r="BF160" s="219">
        <v>10171.19</v>
      </c>
      <c r="BG160" s="219">
        <v>999999999</v>
      </c>
      <c r="BH160" s="221">
        <v>0</v>
      </c>
      <c r="BI160" s="220"/>
      <c r="BJ160" s="221"/>
    </row>
    <row r="165" spans="4:12" ht="16.5" customHeight="1" thickBot="1" x14ac:dyDescent="0.25">
      <c r="D165" s="439" t="s">
        <v>353</v>
      </c>
      <c r="E165" s="440"/>
      <c r="F165" s="440"/>
      <c r="G165" s="440"/>
      <c r="J165" s="439" t="s">
        <v>317</v>
      </c>
      <c r="K165" s="440"/>
      <c r="L165" s="440"/>
    </row>
    <row r="166" spans="4:12" ht="51.75" thickTop="1" x14ac:dyDescent="0.2">
      <c r="D166" s="222" t="s">
        <v>55</v>
      </c>
      <c r="E166" s="222" t="s">
        <v>56</v>
      </c>
      <c r="F166" s="222" t="s">
        <v>293</v>
      </c>
      <c r="G166" s="222" t="s">
        <v>318</v>
      </c>
      <c r="J166" s="223" t="s">
        <v>319</v>
      </c>
      <c r="K166" s="223" t="s">
        <v>283</v>
      </c>
      <c r="L166" s="224" t="s">
        <v>320</v>
      </c>
    </row>
    <row r="167" spans="4:12" ht="16.5" customHeight="1" thickBot="1" x14ac:dyDescent="0.25">
      <c r="D167" s="225" t="s">
        <v>57</v>
      </c>
      <c r="E167" s="225" t="s">
        <v>57</v>
      </c>
      <c r="F167" s="225" t="s">
        <v>57</v>
      </c>
      <c r="G167" s="225" t="s">
        <v>54</v>
      </c>
      <c r="J167" s="226" t="s">
        <v>57</v>
      </c>
      <c r="K167" s="226" t="s">
        <v>57</v>
      </c>
      <c r="L167" s="226" t="s">
        <v>57</v>
      </c>
    </row>
    <row r="168" spans="4:12" ht="16.5" thickTop="1" x14ac:dyDescent="0.25">
      <c r="D168" s="227">
        <v>0.01</v>
      </c>
      <c r="E168" s="227">
        <v>746.04</v>
      </c>
      <c r="F168" s="227">
        <v>0</v>
      </c>
      <c r="G168" s="228">
        <v>1.9199999999999998E-2</v>
      </c>
      <c r="J168" s="256">
        <v>0.01</v>
      </c>
      <c r="K168" s="257">
        <v>10171</v>
      </c>
      <c r="L168" s="258">
        <v>474.95</v>
      </c>
    </row>
    <row r="169" spans="4:12" ht="15.75" x14ac:dyDescent="0.25">
      <c r="D169" s="227">
        <v>746.05</v>
      </c>
      <c r="E169" s="229">
        <v>6332.05</v>
      </c>
      <c r="F169" s="227">
        <v>14.32</v>
      </c>
      <c r="G169" s="228">
        <v>6.4000000000000001E-2</v>
      </c>
      <c r="J169" s="256">
        <v>10171.01</v>
      </c>
      <c r="K169" s="257">
        <v>10171.02</v>
      </c>
      <c r="L169" s="258">
        <v>0</v>
      </c>
    </row>
    <row r="170" spans="4:12" ht="15.75" x14ac:dyDescent="0.25">
      <c r="D170" s="229">
        <v>6332.06</v>
      </c>
      <c r="E170" s="229">
        <v>11128.01</v>
      </c>
      <c r="F170" s="227">
        <v>371.83</v>
      </c>
      <c r="G170" s="228">
        <v>0.10880000000000001</v>
      </c>
      <c r="J170" s="256">
        <v>10171.030000000001</v>
      </c>
      <c r="K170" s="257">
        <v>10171.040000000001</v>
      </c>
      <c r="L170" s="258">
        <v>0</v>
      </c>
    </row>
    <row r="171" spans="4:12" ht="15.75" x14ac:dyDescent="0.25">
      <c r="D171" s="229">
        <v>11128.02</v>
      </c>
      <c r="E171" s="229">
        <v>12935.82</v>
      </c>
      <c r="F171" s="227">
        <v>893.63</v>
      </c>
      <c r="G171" s="228">
        <v>0.16</v>
      </c>
      <c r="J171" s="256">
        <v>10171.049999999999</v>
      </c>
      <c r="K171" s="257">
        <v>10171.06</v>
      </c>
      <c r="L171" s="258">
        <v>0</v>
      </c>
    </row>
    <row r="172" spans="4:12" ht="15.75" x14ac:dyDescent="0.25">
      <c r="D172" s="229">
        <v>12935.83</v>
      </c>
      <c r="E172" s="229">
        <v>15487.71</v>
      </c>
      <c r="F172" s="229">
        <v>1182.8800000000001</v>
      </c>
      <c r="G172" s="228">
        <v>0.17920000000000003</v>
      </c>
      <c r="J172" s="256">
        <v>10171.07</v>
      </c>
      <c r="K172" s="257">
        <v>10171.08</v>
      </c>
      <c r="L172" s="258">
        <v>0</v>
      </c>
    </row>
    <row r="173" spans="4:12" ht="15.75" x14ac:dyDescent="0.25">
      <c r="D173" s="229">
        <v>15487.72</v>
      </c>
      <c r="E173" s="229">
        <v>31236.49</v>
      </c>
      <c r="F173" s="229">
        <v>1640.18</v>
      </c>
      <c r="G173" s="228">
        <v>0.21359999999999998</v>
      </c>
      <c r="J173" s="256">
        <v>10171.09</v>
      </c>
      <c r="K173" s="257">
        <v>10171.1</v>
      </c>
      <c r="L173" s="258">
        <v>0</v>
      </c>
    </row>
    <row r="174" spans="4:12" ht="15.75" x14ac:dyDescent="0.25">
      <c r="D174" s="229">
        <v>31236.5</v>
      </c>
      <c r="E174" s="229">
        <v>49233</v>
      </c>
      <c r="F174" s="229">
        <v>5004.12</v>
      </c>
      <c r="G174" s="228">
        <v>0.23519999999999999</v>
      </c>
      <c r="J174" s="256">
        <v>10171.11</v>
      </c>
      <c r="K174" s="257">
        <v>10171.120000000001</v>
      </c>
      <c r="L174" s="258">
        <v>0</v>
      </c>
    </row>
    <row r="175" spans="4:12" ht="15.75" x14ac:dyDescent="0.25">
      <c r="D175" s="229">
        <v>49233.01</v>
      </c>
      <c r="E175" s="229">
        <v>93993.9</v>
      </c>
      <c r="F175" s="229">
        <v>9236.89</v>
      </c>
      <c r="G175" s="228">
        <v>0.3</v>
      </c>
      <c r="J175" s="256">
        <v>10171.129999999999</v>
      </c>
      <c r="K175" s="257">
        <v>10171.14</v>
      </c>
      <c r="L175" s="258">
        <v>0</v>
      </c>
    </row>
    <row r="176" spans="4:12" ht="15.75" x14ac:dyDescent="0.25">
      <c r="D176" s="229">
        <v>93993.91</v>
      </c>
      <c r="E176" s="229">
        <v>125325.2</v>
      </c>
      <c r="F176" s="229">
        <v>22665.17</v>
      </c>
      <c r="G176" s="228">
        <v>0.32</v>
      </c>
      <c r="J176" s="256">
        <v>10171.15</v>
      </c>
      <c r="K176" s="257">
        <v>10171.16</v>
      </c>
      <c r="L176" s="258">
        <v>0</v>
      </c>
    </row>
    <row r="177" spans="4:12" ht="15.75" x14ac:dyDescent="0.25">
      <c r="D177" s="229">
        <v>125325.21</v>
      </c>
      <c r="E177" s="229">
        <v>375975.61</v>
      </c>
      <c r="F177" s="229">
        <v>32691.18</v>
      </c>
      <c r="G177" s="228">
        <v>0.34</v>
      </c>
      <c r="J177" s="256">
        <v>10171.17</v>
      </c>
      <c r="K177" s="257">
        <v>10171.18</v>
      </c>
      <c r="L177" s="258">
        <v>0</v>
      </c>
    </row>
    <row r="178" spans="4:12" ht="16.5" thickBot="1" x14ac:dyDescent="0.3">
      <c r="D178" s="230">
        <v>375975.62</v>
      </c>
      <c r="E178" s="231" t="s">
        <v>58</v>
      </c>
      <c r="F178" s="230">
        <v>117912.32000000001</v>
      </c>
      <c r="G178" s="232">
        <v>0.35</v>
      </c>
      <c r="J178" s="259">
        <v>10171.19</v>
      </c>
      <c r="K178" s="260">
        <v>999999999</v>
      </c>
      <c r="L178" s="261">
        <v>0</v>
      </c>
    </row>
    <row r="179" spans="4:12" ht="13.5" thickTop="1" x14ac:dyDescent="0.2"/>
  </sheetData>
  <mergeCells count="68">
    <mergeCell ref="A17:B17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B2"/>
    <mergeCell ref="A3:B3"/>
    <mergeCell ref="A4:B4"/>
    <mergeCell ref="A5:B5"/>
    <mergeCell ref="A6:B6"/>
    <mergeCell ref="D165:G165"/>
    <mergeCell ref="J165:L165"/>
    <mergeCell ref="D130:H130"/>
    <mergeCell ref="J130:N130"/>
    <mergeCell ref="P130:T130"/>
    <mergeCell ref="V130:Z130"/>
    <mergeCell ref="AB130:AF130"/>
    <mergeCell ref="AH130:AL130"/>
    <mergeCell ref="AN66:AR66"/>
    <mergeCell ref="AT66:AX66"/>
    <mergeCell ref="AZ66:BD66"/>
    <mergeCell ref="BF66:BJ66"/>
    <mergeCell ref="AH98:AL98"/>
    <mergeCell ref="AN130:AR130"/>
    <mergeCell ref="AT130:AX130"/>
    <mergeCell ref="AZ130:BD130"/>
    <mergeCell ref="BF130:BJ130"/>
    <mergeCell ref="AN98:AR98"/>
    <mergeCell ref="AT98:AX98"/>
    <mergeCell ref="AZ98:BD98"/>
    <mergeCell ref="BF98:BJ98"/>
    <mergeCell ref="D98:H98"/>
    <mergeCell ref="J98:N98"/>
    <mergeCell ref="P98:T98"/>
    <mergeCell ref="V98:Z98"/>
    <mergeCell ref="AB98:AF98"/>
    <mergeCell ref="BF1:BJ1"/>
    <mergeCell ref="D1:H1"/>
    <mergeCell ref="J1:N1"/>
    <mergeCell ref="P1:T1"/>
    <mergeCell ref="V1:Z1"/>
    <mergeCell ref="AB1:AF1"/>
    <mergeCell ref="AH1:AL1"/>
    <mergeCell ref="AN1:AR1"/>
    <mergeCell ref="AT1:AX1"/>
    <mergeCell ref="AZ1:BD1"/>
    <mergeCell ref="AN33:AR33"/>
    <mergeCell ref="AT33:AX33"/>
    <mergeCell ref="AZ33:BD33"/>
    <mergeCell ref="BF33:BJ33"/>
    <mergeCell ref="D66:H66"/>
    <mergeCell ref="AH33:AL33"/>
    <mergeCell ref="D33:H33"/>
    <mergeCell ref="J33:N33"/>
    <mergeCell ref="P33:T33"/>
    <mergeCell ref="V33:Z33"/>
    <mergeCell ref="AB33:AF33"/>
    <mergeCell ref="J66:N66"/>
    <mergeCell ref="P66:T66"/>
    <mergeCell ref="V66:Z66"/>
    <mergeCell ref="AB66:AF66"/>
    <mergeCell ref="AH66:AL66"/>
  </mergeCells>
  <hyperlinks>
    <hyperlink ref="A3:B3" location="'Datos y Resumen '!A1" display="DATOS Y RESUMEN" xr:uid="{34F6B346-273E-48BB-B47A-23EA08AEECEE}"/>
    <hyperlink ref="A4:B4" location="'LISTA TRABAJADORES'!A1" display="LISTA DE TRABAJADORES" xr:uid="{C44831E7-EDEB-42E5-BC0D-01C83F0483CD}"/>
    <hyperlink ref="A5:B5" location="'ISR '!A1" display="ISR" xr:uid="{6653AC6A-0D25-45E7-9D9E-BA6B0ABBBCDE}"/>
    <hyperlink ref="A6:B6" location="'OTRAS PRESTACIONES'!A1" display="OTRAS PRESTACIONES" xr:uid="{444206D4-2C1B-410F-A74F-8FB1886D74DD}"/>
    <hyperlink ref="A7:B7" location="'OTRAS RETENCIONES'!A1" display="OTRAS RETENCIONES" xr:uid="{015B374B-2194-41C9-9A96-4A47727D60F0}"/>
    <hyperlink ref="A11:B11" location="'CUOTAS IMSS'!A1" display="CUOTAS IMSS" xr:uid="{1822980F-0FE1-43BB-A2AF-71ED8FD568B4}"/>
    <hyperlink ref="A12:B12" location="'HORAS EXTRAS'!A1" display="HORAS EXTRAS" xr:uid="{B02357A5-EA91-4288-80F9-820E64EA22C9}"/>
    <hyperlink ref="A13:B13" location="AGUINALDO!A1" display="AGUINALDO" xr:uid="{C5AA081E-6758-41E2-9BF2-5AAD70B297B5}"/>
    <hyperlink ref="A14:B14" location="'NOMINA FISCAL'!A1" display="NOMINA FISCAL " xr:uid="{69894298-D5B3-4198-BA1E-75AC7CAF00B1}"/>
    <hyperlink ref="A15:B15" location="CONCEN!A1" display="CONCENTRADO" xr:uid="{B31B58D1-2B7F-4442-8628-76D455B25573}"/>
    <hyperlink ref="A16:B16" location="'TARIFAS 2021'!A1" display="TARIFAS 2022" xr:uid="{DB33FF00-B6C0-48F7-9D9B-BA95F2A94CF4}"/>
    <hyperlink ref="A17:B17" location="'DATOS EXTRAS'!A1" display="DATOS EXTRAS" xr:uid="{D3CD2ABD-0069-48D9-9AA9-9055D93D5D5A}"/>
  </hyperlink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2251-6BCA-44CA-8AFC-58EA772F602F}">
  <sheetPr codeName="Hoja2">
    <tabColor theme="3" tint="-0.499984740745262"/>
  </sheetPr>
  <dimension ref="A1:J65"/>
  <sheetViews>
    <sheetView zoomScaleNormal="100" workbookViewId="0">
      <selection activeCell="E7" sqref="E7"/>
    </sheetView>
  </sheetViews>
  <sheetFormatPr baseColWidth="10" defaultColWidth="0" defaultRowHeight="15" zeroHeight="1" x14ac:dyDescent="0.25"/>
  <cols>
    <col min="1" max="1" width="0.85546875" customWidth="1"/>
    <col min="2" max="2" width="10.7109375" customWidth="1"/>
    <col min="3" max="3" width="9.85546875" customWidth="1"/>
    <col min="4" max="4" width="3.28515625" customWidth="1"/>
    <col min="5" max="6" width="11.42578125" customWidth="1"/>
    <col min="7" max="7" width="35.140625" customWidth="1"/>
    <col min="8" max="8" width="11.42578125" style="34" customWidth="1"/>
    <col min="9" max="10" width="11.42578125" customWidth="1"/>
    <col min="11" max="16384" width="11.42578125" hidden="1"/>
  </cols>
  <sheetData>
    <row r="1" spans="2:8" ht="6" customHeight="1" thickBot="1" x14ac:dyDescent="0.3"/>
    <row r="2" spans="2:8" ht="18" customHeight="1" x14ac:dyDescent="0.25">
      <c r="B2" s="300" t="s">
        <v>352</v>
      </c>
      <c r="C2" s="301"/>
      <c r="E2" s="250" t="str">
        <f>+'Datos y Resumen '!AC2</f>
        <v>A</v>
      </c>
    </row>
    <row r="3" spans="2:8" ht="15.75" customHeight="1" x14ac:dyDescent="0.25">
      <c r="B3" s="302"/>
      <c r="C3" s="303"/>
      <c r="E3" s="44" t="s">
        <v>233</v>
      </c>
    </row>
    <row r="4" spans="2:8" x14ac:dyDescent="0.25">
      <c r="B4" s="304" t="s">
        <v>312</v>
      </c>
      <c r="C4" s="305"/>
    </row>
    <row r="5" spans="2:8" x14ac:dyDescent="0.25">
      <c r="B5" s="304" t="s">
        <v>233</v>
      </c>
      <c r="C5" s="305"/>
      <c r="E5" s="326" t="s">
        <v>66</v>
      </c>
      <c r="F5" s="328" t="s">
        <v>53</v>
      </c>
      <c r="G5" s="324" t="s">
        <v>65</v>
      </c>
      <c r="H5" s="322" t="s">
        <v>234</v>
      </c>
    </row>
    <row r="6" spans="2:8" x14ac:dyDescent="0.25">
      <c r="B6" s="304" t="s">
        <v>62</v>
      </c>
      <c r="C6" s="305"/>
      <c r="E6" s="327"/>
      <c r="F6" s="329"/>
      <c r="G6" s="325"/>
      <c r="H6" s="323"/>
    </row>
    <row r="7" spans="2:8" x14ac:dyDescent="0.25">
      <c r="B7" s="306" t="s">
        <v>313</v>
      </c>
      <c r="C7" s="307"/>
      <c r="E7" s="26" t="s">
        <v>113</v>
      </c>
      <c r="F7" s="84">
        <v>54008317338</v>
      </c>
      <c r="G7" s="84" t="s">
        <v>336</v>
      </c>
      <c r="H7" s="85">
        <v>278.8</v>
      </c>
    </row>
    <row r="8" spans="2:8" ht="15.75" thickBot="1" x14ac:dyDescent="0.3">
      <c r="B8" s="304" t="s">
        <v>243</v>
      </c>
      <c r="C8" s="305"/>
      <c r="E8" s="26" t="s">
        <v>77</v>
      </c>
      <c r="F8" s="84">
        <v>4008063127</v>
      </c>
      <c r="G8" s="84" t="s">
        <v>341</v>
      </c>
      <c r="H8" s="85">
        <v>278.81</v>
      </c>
    </row>
    <row r="9" spans="2:8" x14ac:dyDescent="0.25">
      <c r="B9" s="310" t="s">
        <v>344</v>
      </c>
      <c r="C9" s="311"/>
      <c r="E9" s="26" t="s">
        <v>78</v>
      </c>
      <c r="F9" s="84">
        <v>4997999471</v>
      </c>
      <c r="G9" s="84" t="s">
        <v>342</v>
      </c>
      <c r="H9" s="85">
        <v>280</v>
      </c>
    </row>
    <row r="10" spans="2:8" x14ac:dyDescent="0.25">
      <c r="B10" s="312" t="s">
        <v>345</v>
      </c>
      <c r="C10" s="313"/>
      <c r="E10" s="26" t="s">
        <v>79</v>
      </c>
      <c r="F10" s="84">
        <v>5158985232</v>
      </c>
      <c r="G10" s="84" t="s">
        <v>343</v>
      </c>
      <c r="H10" s="85">
        <v>290</v>
      </c>
    </row>
    <row r="11" spans="2:8" ht="15.75" thickBot="1" x14ac:dyDescent="0.3">
      <c r="B11" s="314" t="s">
        <v>346</v>
      </c>
      <c r="C11" s="315"/>
      <c r="E11" s="26" t="s">
        <v>80</v>
      </c>
      <c r="F11" s="84">
        <v>5478565521</v>
      </c>
      <c r="G11" s="84" t="s">
        <v>348</v>
      </c>
      <c r="H11" s="85">
        <v>300</v>
      </c>
    </row>
    <row r="12" spans="2:8" x14ac:dyDescent="0.25">
      <c r="B12" s="304" t="s">
        <v>315</v>
      </c>
      <c r="C12" s="305"/>
      <c r="E12" s="26" t="s">
        <v>81</v>
      </c>
      <c r="F12" s="84">
        <v>5258525822</v>
      </c>
      <c r="G12" s="84" t="s">
        <v>349</v>
      </c>
      <c r="H12" s="85">
        <v>350</v>
      </c>
    </row>
    <row r="13" spans="2:8" x14ac:dyDescent="0.25">
      <c r="B13" s="304" t="s">
        <v>192</v>
      </c>
      <c r="C13" s="305"/>
      <c r="E13" s="26" t="s">
        <v>82</v>
      </c>
      <c r="F13" s="84">
        <v>2587566225</v>
      </c>
      <c r="G13" s="84" t="s">
        <v>350</v>
      </c>
      <c r="H13" s="85">
        <v>400</v>
      </c>
    </row>
    <row r="14" spans="2:8" x14ac:dyDescent="0.25">
      <c r="B14" s="306" t="s">
        <v>236</v>
      </c>
      <c r="C14" s="307"/>
      <c r="E14" s="26" t="s">
        <v>83</v>
      </c>
      <c r="F14" s="84">
        <v>6585422585</v>
      </c>
      <c r="G14" s="84" t="s">
        <v>351</v>
      </c>
      <c r="H14" s="85">
        <v>500</v>
      </c>
    </row>
    <row r="15" spans="2:8" x14ac:dyDescent="0.25">
      <c r="B15" s="304" t="s">
        <v>316</v>
      </c>
      <c r="C15" s="305"/>
      <c r="E15" s="26" t="s">
        <v>84</v>
      </c>
      <c r="F15" s="84"/>
      <c r="G15" s="84"/>
      <c r="H15" s="85"/>
    </row>
    <row r="16" spans="2:8" x14ac:dyDescent="0.25">
      <c r="B16" s="306" t="s">
        <v>244</v>
      </c>
      <c r="C16" s="307"/>
      <c r="E16" s="26" t="s">
        <v>85</v>
      </c>
      <c r="F16" s="84"/>
      <c r="G16" s="84"/>
      <c r="H16" s="85"/>
    </row>
    <row r="17" spans="2:8" x14ac:dyDescent="0.25">
      <c r="B17" s="320" t="s">
        <v>356</v>
      </c>
      <c r="C17" s="321"/>
      <c r="E17" s="26" t="s">
        <v>86</v>
      </c>
      <c r="F17" s="84"/>
      <c r="G17" s="84"/>
      <c r="H17" s="85"/>
    </row>
    <row r="18" spans="2:8" ht="15.75" thickBot="1" x14ac:dyDescent="0.3">
      <c r="B18" s="318" t="s">
        <v>330</v>
      </c>
      <c r="C18" s="319"/>
      <c r="E18" s="26" t="s">
        <v>87</v>
      </c>
      <c r="F18" s="84"/>
      <c r="G18" s="84"/>
      <c r="H18" s="85"/>
    </row>
    <row r="19" spans="2:8" x14ac:dyDescent="0.25">
      <c r="B19" s="76"/>
      <c r="C19" s="76"/>
      <c r="E19" s="26" t="s">
        <v>88</v>
      </c>
      <c r="F19" s="84"/>
      <c r="G19" s="84"/>
      <c r="H19" s="85"/>
    </row>
    <row r="20" spans="2:8" x14ac:dyDescent="0.25">
      <c r="B20" s="77"/>
      <c r="C20" s="77"/>
      <c r="E20" s="26" t="s">
        <v>89</v>
      </c>
      <c r="F20" s="84"/>
      <c r="G20" s="84"/>
      <c r="H20" s="85"/>
    </row>
    <row r="21" spans="2:8" x14ac:dyDescent="0.25">
      <c r="E21" s="26" t="s">
        <v>90</v>
      </c>
      <c r="F21" s="84"/>
      <c r="G21" s="84"/>
      <c r="H21" s="85"/>
    </row>
    <row r="22" spans="2:8" x14ac:dyDescent="0.25">
      <c r="E22" s="26" t="s">
        <v>91</v>
      </c>
      <c r="F22" s="84"/>
      <c r="G22" s="84"/>
      <c r="H22" s="85"/>
    </row>
    <row r="23" spans="2:8" x14ac:dyDescent="0.25">
      <c r="E23" s="26" t="s">
        <v>92</v>
      </c>
      <c r="F23" s="84"/>
      <c r="G23" s="84"/>
      <c r="H23" s="85"/>
    </row>
    <row r="24" spans="2:8" x14ac:dyDescent="0.25">
      <c r="E24" s="26" t="s">
        <v>93</v>
      </c>
      <c r="F24" s="84"/>
      <c r="G24" s="84"/>
      <c r="H24" s="85"/>
    </row>
    <row r="25" spans="2:8" x14ac:dyDescent="0.25">
      <c r="E25" s="26" t="s">
        <v>94</v>
      </c>
      <c r="F25" s="84"/>
      <c r="G25" s="84"/>
      <c r="H25" s="85"/>
    </row>
    <row r="26" spans="2:8" x14ac:dyDescent="0.25">
      <c r="E26" s="26" t="s">
        <v>95</v>
      </c>
      <c r="F26" s="84"/>
      <c r="G26" s="84"/>
      <c r="H26" s="85"/>
    </row>
    <row r="27" spans="2:8" x14ac:dyDescent="0.25">
      <c r="E27" s="26" t="s">
        <v>96</v>
      </c>
      <c r="F27" s="84"/>
      <c r="G27" s="84"/>
      <c r="H27" s="85"/>
    </row>
    <row r="28" spans="2:8" x14ac:dyDescent="0.25">
      <c r="E28" s="26" t="s">
        <v>97</v>
      </c>
      <c r="F28" s="84"/>
      <c r="G28" s="84"/>
      <c r="H28" s="85"/>
    </row>
    <row r="29" spans="2:8" x14ac:dyDescent="0.25">
      <c r="E29" s="26" t="s">
        <v>98</v>
      </c>
      <c r="F29" s="84"/>
      <c r="G29" s="84"/>
      <c r="H29" s="85"/>
    </row>
    <row r="30" spans="2:8" x14ac:dyDescent="0.25">
      <c r="E30" s="26" t="s">
        <v>99</v>
      </c>
      <c r="F30" s="84"/>
      <c r="G30" s="84"/>
      <c r="H30" s="85"/>
    </row>
    <row r="31" spans="2:8" x14ac:dyDescent="0.25">
      <c r="E31" s="26" t="s">
        <v>100</v>
      </c>
      <c r="F31" s="84"/>
      <c r="G31" s="84"/>
      <c r="H31" s="85"/>
    </row>
    <row r="32" spans="2:8" x14ac:dyDescent="0.25">
      <c r="E32" s="26" t="s">
        <v>101</v>
      </c>
      <c r="F32" s="84"/>
      <c r="G32" s="84"/>
      <c r="H32" s="85"/>
    </row>
    <row r="33" spans="5:8" x14ac:dyDescent="0.25">
      <c r="E33" s="26" t="s">
        <v>102</v>
      </c>
      <c r="F33" s="84"/>
      <c r="G33" s="84"/>
      <c r="H33" s="85"/>
    </row>
    <row r="34" spans="5:8" x14ac:dyDescent="0.25">
      <c r="E34" s="26" t="s">
        <v>103</v>
      </c>
      <c r="F34" s="84"/>
      <c r="G34" s="84"/>
      <c r="H34" s="85"/>
    </row>
    <row r="35" spans="5:8" x14ac:dyDescent="0.25">
      <c r="E35" s="26" t="s">
        <v>104</v>
      </c>
      <c r="F35" s="84"/>
      <c r="G35" s="84"/>
      <c r="H35" s="85"/>
    </row>
    <row r="36" spans="5:8" x14ac:dyDescent="0.25">
      <c r="E36" s="26" t="s">
        <v>105</v>
      </c>
      <c r="F36" s="84"/>
      <c r="G36" s="84"/>
      <c r="H36" s="85"/>
    </row>
    <row r="37" spans="5:8" x14ac:dyDescent="0.25">
      <c r="E37" s="26" t="s">
        <v>106</v>
      </c>
      <c r="F37" s="84"/>
      <c r="G37" s="84"/>
      <c r="H37" s="85"/>
    </row>
    <row r="38" spans="5:8" x14ac:dyDescent="0.25">
      <c r="E38" s="26" t="s">
        <v>107</v>
      </c>
      <c r="F38" s="84"/>
      <c r="G38" s="84"/>
      <c r="H38" s="85"/>
    </row>
    <row r="39" spans="5:8" x14ac:dyDescent="0.25">
      <c r="E39" s="26" t="s">
        <v>108</v>
      </c>
      <c r="F39" s="84"/>
      <c r="G39" s="84"/>
      <c r="H39" s="85"/>
    </row>
    <row r="40" spans="5:8" x14ac:dyDescent="0.25">
      <c r="E40" s="26" t="s">
        <v>109</v>
      </c>
      <c r="F40" s="84"/>
      <c r="G40" s="84"/>
      <c r="H40" s="85"/>
    </row>
    <row r="41" spans="5:8" x14ac:dyDescent="0.25">
      <c r="E41" s="26" t="s">
        <v>110</v>
      </c>
      <c r="F41" s="84"/>
      <c r="G41" s="84"/>
      <c r="H41" s="85"/>
    </row>
    <row r="42" spans="5:8" x14ac:dyDescent="0.25">
      <c r="E42" s="26" t="s">
        <v>111</v>
      </c>
      <c r="F42" s="84"/>
      <c r="G42" s="84"/>
      <c r="H42" s="85"/>
    </row>
    <row r="43" spans="5:8" x14ac:dyDescent="0.25">
      <c r="E43" s="26" t="s">
        <v>112</v>
      </c>
      <c r="F43" s="84"/>
      <c r="G43" s="84"/>
      <c r="H43" s="85"/>
    </row>
    <row r="44" spans="5:8" x14ac:dyDescent="0.25">
      <c r="E44" s="26" t="s">
        <v>114</v>
      </c>
      <c r="F44" s="84"/>
      <c r="G44" s="84"/>
      <c r="H44" s="85"/>
    </row>
    <row r="45" spans="5:8" x14ac:dyDescent="0.25">
      <c r="E45" s="26" t="s">
        <v>115</v>
      </c>
      <c r="F45" s="84"/>
      <c r="G45" s="84"/>
      <c r="H45" s="85"/>
    </row>
    <row r="46" spans="5:8" x14ac:dyDescent="0.25">
      <c r="E46" s="26" t="s">
        <v>116</v>
      </c>
      <c r="F46" s="84"/>
      <c r="G46" s="84"/>
      <c r="H46" s="85"/>
    </row>
    <row r="47" spans="5:8" x14ac:dyDescent="0.25">
      <c r="E47" s="26" t="s">
        <v>117</v>
      </c>
      <c r="F47" s="84"/>
      <c r="G47" s="84"/>
      <c r="H47" s="85"/>
    </row>
    <row r="48" spans="5:8" x14ac:dyDescent="0.25">
      <c r="E48" s="26" t="s">
        <v>118</v>
      </c>
      <c r="F48" s="84"/>
      <c r="G48" s="84"/>
      <c r="H48" s="85"/>
    </row>
    <row r="49" spans="5:8" x14ac:dyDescent="0.25">
      <c r="E49" s="26" t="s">
        <v>119</v>
      </c>
      <c r="F49" s="84"/>
      <c r="G49" s="84"/>
      <c r="H49" s="85"/>
    </row>
    <row r="50" spans="5:8" x14ac:dyDescent="0.25">
      <c r="E50" s="26" t="s">
        <v>120</v>
      </c>
      <c r="F50" s="84"/>
      <c r="G50" s="84"/>
      <c r="H50" s="85"/>
    </row>
    <row r="51" spans="5:8" x14ac:dyDescent="0.25">
      <c r="E51" s="26" t="s">
        <v>121</v>
      </c>
      <c r="F51" s="84"/>
      <c r="G51" s="84"/>
      <c r="H51" s="85"/>
    </row>
    <row r="52" spans="5:8" x14ac:dyDescent="0.25">
      <c r="E52" s="26" t="s">
        <v>122</v>
      </c>
      <c r="F52" s="84"/>
      <c r="G52" s="84"/>
      <c r="H52" s="85"/>
    </row>
    <row r="53" spans="5:8" x14ac:dyDescent="0.25">
      <c r="E53" s="26" t="s">
        <v>123</v>
      </c>
      <c r="F53" s="84"/>
      <c r="G53" s="84"/>
      <c r="H53" s="85"/>
    </row>
    <row r="54" spans="5:8" x14ac:dyDescent="0.25">
      <c r="E54" s="26" t="s">
        <v>124</v>
      </c>
      <c r="F54" s="84"/>
      <c r="G54" s="84"/>
      <c r="H54" s="85"/>
    </row>
    <row r="55" spans="5:8" x14ac:dyDescent="0.25">
      <c r="E55" s="26" t="s">
        <v>125</v>
      </c>
      <c r="F55" s="84"/>
      <c r="G55" s="84"/>
      <c r="H55" s="85"/>
    </row>
    <row r="56" spans="5:8" x14ac:dyDescent="0.25">
      <c r="E56" s="29" t="s">
        <v>126</v>
      </c>
      <c r="F56" s="84"/>
      <c r="G56" s="84"/>
      <c r="H56" s="85"/>
    </row>
    <row r="57" spans="5:8" ht="15.75" thickBot="1" x14ac:dyDescent="0.3">
      <c r="E57" s="33" t="s">
        <v>126</v>
      </c>
      <c r="F57" s="36"/>
      <c r="G57" s="80"/>
      <c r="H57" s="39"/>
    </row>
    <row r="58" spans="5:8" ht="15.75" thickTop="1" x14ac:dyDescent="0.25">
      <c r="G58" s="78"/>
      <c r="H58" s="79"/>
    </row>
    <row r="59" spans="5:8" x14ac:dyDescent="0.25">
      <c r="G59" s="78"/>
      <c r="H59" s="79"/>
    </row>
    <row r="60" spans="5:8" x14ac:dyDescent="0.25">
      <c r="G60" s="78"/>
      <c r="H60" s="79"/>
    </row>
    <row r="61" spans="5:8" x14ac:dyDescent="0.25"/>
    <row r="62" spans="5:8" x14ac:dyDescent="0.25"/>
    <row r="63" spans="5:8" ht="16.5" x14ac:dyDescent="0.3">
      <c r="F63" s="122"/>
      <c r="G63" s="1"/>
    </row>
    <row r="64" spans="5:8" ht="16.5" x14ac:dyDescent="0.3">
      <c r="F64" s="252"/>
      <c r="G64" s="1"/>
    </row>
    <row r="65" spans="6:7" ht="16.5" x14ac:dyDescent="0.3">
      <c r="F65" s="122"/>
      <c r="G65" s="1"/>
    </row>
  </sheetData>
  <mergeCells count="20">
    <mergeCell ref="B18:C18"/>
    <mergeCell ref="B2:C3"/>
    <mergeCell ref="E5:E6"/>
    <mergeCell ref="F5:F6"/>
    <mergeCell ref="B6:C6"/>
    <mergeCell ref="B4:C4"/>
    <mergeCell ref="B5:C5"/>
    <mergeCell ref="B17:C17"/>
    <mergeCell ref="B7:C7"/>
    <mergeCell ref="B8:C8"/>
    <mergeCell ref="B9:C9"/>
    <mergeCell ref="B10:C10"/>
    <mergeCell ref="B11:C11"/>
    <mergeCell ref="B12:C12"/>
    <mergeCell ref="H5:H6"/>
    <mergeCell ref="B13:C13"/>
    <mergeCell ref="B14:C14"/>
    <mergeCell ref="B15:C15"/>
    <mergeCell ref="B16:C16"/>
    <mergeCell ref="G5:G6"/>
  </mergeCells>
  <hyperlinks>
    <hyperlink ref="B4:C4" location="'Datos y Resumen '!A1" display="DATOS Y RESUMEN" xr:uid="{EC42AFA1-E9C3-4186-92B3-64A5829E741A}"/>
    <hyperlink ref="B5:C5" location="'LISTA TRABAJADORES'!A1" display="LISTA DE TRABAJADORES" xr:uid="{D70439B6-844B-4089-A6A2-67FD4D6345D2}"/>
    <hyperlink ref="B6:C6" location="'ISR '!A1" display="ISR" xr:uid="{6E23495A-95D4-4329-8FAC-5F58532486FF}"/>
    <hyperlink ref="B7:C7" location="'OTRAS PRESTACIONES'!A1" display="OTRAS PRESTACIONES" xr:uid="{80C3E41F-AB50-41AA-BF2B-255F1AAC9839}"/>
    <hyperlink ref="B8:C8" location="'OTRAS RETENCIONES'!A1" display="OTRAS RETENCIONES" xr:uid="{A8D4EC1C-B99F-4C35-B2F3-08A8C395FF6C}"/>
    <hyperlink ref="B12:C12" location="'CUOTAS IMSS'!A1" display="CUOTAS IMSS" xr:uid="{B2DD2CE2-D3C1-4F1C-8BBE-23844D8EB6FF}"/>
    <hyperlink ref="B13:C13" location="'HORAS EXTRAS'!A1" display="HORAS EXTRAS" xr:uid="{5D3B5C99-AF67-4420-969E-B7468FF750EB}"/>
    <hyperlink ref="B14:C14" location="AGUINALDO!A1" display="AGUINALDO" xr:uid="{00D1845A-61FC-49C3-BDEA-A9D70AFB0D04}"/>
    <hyperlink ref="B15:C15" location="'NOMINA FISCAL'!A1" display="NOMINA FISCAL " xr:uid="{A03183BA-A1E8-4F62-9C59-B18539687D91}"/>
    <hyperlink ref="B16:C16" location="CONCEN!A1" display="CONCENTRADO" xr:uid="{4507A5DE-73AF-4BC7-9DC1-A23F35CE9AD6}"/>
    <hyperlink ref="B17:C17" location="'TARIFAS 2025'!A1" display="TARIFAS 2025" xr:uid="{92B8BBAA-B358-42A7-B7F2-A2DB30D3F9E1}"/>
    <hyperlink ref="B18:C18" location="'DATOS EXTRAS'!A1" display="DATOS EXTRAS" xr:uid="{7731F828-21B5-4FD2-A4B4-323B0DA27595}"/>
  </hyperlinks>
  <pageMargins left="0.7" right="0.7" top="0.75" bottom="0.75" header="0.3" footer="0.3"/>
  <pageSetup orientation="portrait" r:id="rId1"/>
  <ignoredErrors>
    <ignoredError sqref="E7:E5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39D8E-E3C2-40E1-98A7-F99A5339FCDF}">
  <sheetPr codeName="Hoja3">
    <tabColor theme="3" tint="-0.499984740745262"/>
  </sheetPr>
  <dimension ref="B1:U64"/>
  <sheetViews>
    <sheetView zoomScaleNormal="100" workbookViewId="0">
      <selection activeCell="P5" sqref="P5"/>
    </sheetView>
  </sheetViews>
  <sheetFormatPr baseColWidth="10" defaultRowHeight="15.75" x14ac:dyDescent="0.25"/>
  <cols>
    <col min="1" max="1" width="1.42578125" style="87" customWidth="1"/>
    <col min="2" max="2" width="9" style="87" customWidth="1"/>
    <col min="3" max="3" width="10.85546875" style="87" customWidth="1"/>
    <col min="4" max="4" width="2.42578125" style="87" customWidth="1"/>
    <col min="5" max="5" width="12.28515625" style="87" customWidth="1"/>
    <col min="6" max="6" width="11.42578125" style="46"/>
    <col min="7" max="7" width="33.85546875" style="46" customWidth="1"/>
    <col min="8" max="8" width="9.28515625" style="47" bestFit="1" customWidth="1"/>
    <col min="9" max="9" width="4.42578125" style="47" bestFit="1" customWidth="1"/>
    <col min="10" max="13" width="11.42578125" style="48"/>
    <col min="14" max="14" width="11.42578125" style="88"/>
    <col min="15" max="16" width="11.42578125" style="48"/>
    <col min="17" max="17" width="12.85546875" style="48" customWidth="1"/>
    <col min="18" max="18" width="11.42578125" style="48"/>
    <col min="19" max="19" width="9" style="48" bestFit="1" customWidth="1"/>
    <col min="20" max="20" width="10.7109375" style="48" bestFit="1" customWidth="1"/>
    <col min="21" max="16384" width="11.42578125" style="87"/>
  </cols>
  <sheetData>
    <row r="1" spans="2:21" ht="3" customHeight="1" thickBot="1" x14ac:dyDescent="0.3"/>
    <row r="2" spans="2:21" ht="15.75" customHeight="1" x14ac:dyDescent="0.25">
      <c r="B2" s="300" t="s">
        <v>352</v>
      </c>
      <c r="C2" s="301"/>
      <c r="E2" s="250" t="str">
        <f>+'Datos y Resumen '!AC2</f>
        <v>A</v>
      </c>
      <c r="F2" s="45"/>
      <c r="H2" s="250">
        <f>+'Datos y Resumen '!K4</f>
        <v>0</v>
      </c>
      <c r="K2" s="44" t="s">
        <v>347</v>
      </c>
    </row>
    <row r="3" spans="2:21" ht="15.75" customHeight="1" x14ac:dyDescent="0.25">
      <c r="B3" s="302"/>
      <c r="C3" s="303"/>
      <c r="E3" s="44" t="s">
        <v>64</v>
      </c>
      <c r="F3" s="45"/>
      <c r="K3" s="44" t="s">
        <v>337</v>
      </c>
    </row>
    <row r="4" spans="2:21" ht="15.75" customHeight="1" x14ac:dyDescent="0.25">
      <c r="B4" s="304" t="s">
        <v>312</v>
      </c>
      <c r="C4" s="305"/>
      <c r="E4" s="44" t="s">
        <v>357</v>
      </c>
      <c r="K4" s="48" t="s">
        <v>339</v>
      </c>
    </row>
    <row r="5" spans="2:21" ht="16.5" thickBot="1" x14ac:dyDescent="0.3">
      <c r="B5" s="304" t="s">
        <v>233</v>
      </c>
      <c r="C5" s="305"/>
      <c r="E5" s="44"/>
      <c r="K5" s="48" t="s">
        <v>338</v>
      </c>
      <c r="Q5" s="254" t="s">
        <v>340</v>
      </c>
    </row>
    <row r="6" spans="2:21" x14ac:dyDescent="0.25">
      <c r="B6" s="304" t="s">
        <v>62</v>
      </c>
      <c r="C6" s="305"/>
      <c r="E6" s="348" t="s">
        <v>66</v>
      </c>
      <c r="F6" s="350" t="s">
        <v>53</v>
      </c>
      <c r="G6" s="350" t="s">
        <v>65</v>
      </c>
      <c r="H6" s="352" t="s">
        <v>137</v>
      </c>
      <c r="I6" s="330" t="s">
        <v>67</v>
      </c>
      <c r="J6" s="332" t="s">
        <v>68</v>
      </c>
      <c r="K6" s="332" t="s">
        <v>69</v>
      </c>
      <c r="L6" s="336" t="s">
        <v>70</v>
      </c>
      <c r="M6" s="338" t="s">
        <v>71</v>
      </c>
      <c r="N6" s="340" t="s">
        <v>72</v>
      </c>
      <c r="O6" s="342" t="s">
        <v>73</v>
      </c>
      <c r="P6" s="336" t="s">
        <v>74</v>
      </c>
      <c r="Q6" s="336" t="s">
        <v>75</v>
      </c>
      <c r="R6" s="336" t="s">
        <v>76</v>
      </c>
      <c r="S6" s="344" t="s">
        <v>134</v>
      </c>
      <c r="T6" s="346" t="s">
        <v>135</v>
      </c>
      <c r="U6" s="334" t="s">
        <v>136</v>
      </c>
    </row>
    <row r="7" spans="2:21" ht="16.5" thickBot="1" x14ac:dyDescent="0.3">
      <c r="B7" s="306" t="s">
        <v>313</v>
      </c>
      <c r="C7" s="307"/>
      <c r="E7" s="349"/>
      <c r="F7" s="351"/>
      <c r="G7" s="351"/>
      <c r="H7" s="353"/>
      <c r="I7" s="331"/>
      <c r="J7" s="333"/>
      <c r="K7" s="333"/>
      <c r="L7" s="337"/>
      <c r="M7" s="339"/>
      <c r="N7" s="341"/>
      <c r="O7" s="343"/>
      <c r="P7" s="337"/>
      <c r="Q7" s="337"/>
      <c r="R7" s="337"/>
      <c r="S7" s="345"/>
      <c r="T7" s="347"/>
      <c r="U7" s="335"/>
    </row>
    <row r="8" spans="2:21" ht="16.5" thickBot="1" x14ac:dyDescent="0.3">
      <c r="B8" s="304" t="s">
        <v>243</v>
      </c>
      <c r="C8" s="305"/>
      <c r="E8" s="50" t="s">
        <v>113</v>
      </c>
      <c r="F8" s="37">
        <f>+'LISTA TRABAJADORES'!F7</f>
        <v>54008317338</v>
      </c>
      <c r="G8" s="37" t="str">
        <f>+'LISTA TRABAJADORES'!G7</f>
        <v>JUAN PABLO CAMINOS</v>
      </c>
      <c r="H8" s="62">
        <v>15</v>
      </c>
      <c r="I8" s="62">
        <v>15</v>
      </c>
      <c r="J8" s="59">
        <f>+'LISTA TRABAJADORES'!H7</f>
        <v>278.8</v>
      </c>
      <c r="K8" s="86">
        <f>+I8*J8+'OTRAS PRESTACIONES'!AC8</f>
        <v>4182</v>
      </c>
      <c r="L8" s="53">
        <f>+IFERROR(IF('Datos y Resumen '!E60=1,0,VLOOKUP(K8,'TARIFAS 2025'!D4:G15,1,TRUE)),0)</f>
        <v>3124.36</v>
      </c>
      <c r="M8" s="59">
        <f>IF('Datos y Resumen '!E60=1,0,K8-L8)</f>
        <v>1057.6399999999999</v>
      </c>
      <c r="N8" s="55">
        <f>IFERROR(IF('Datos y Resumen '!E60=1,0,VLOOKUP(K8,'TARIFAS 2025'!D4:G15,4,TRUE)),0)</f>
        <v>0.10880000000000001</v>
      </c>
      <c r="O8" s="59">
        <f>+M8*N8</f>
        <v>115.07123199999999</v>
      </c>
      <c r="P8" s="53">
        <f>IFERROR(IF('Datos y Resumen '!E60=1,0,VLOOKUP(K8,'TARIFAS 2025'!D4:G15,3,TRUE)),0)</f>
        <v>183.45000000000002</v>
      </c>
      <c r="Q8" s="59">
        <f>IF(IF('Datos y Resumen '!E60=1,'COMPARACIÓN MENSUAL'!I11,'ISR '!O8+'ISR '!P8)&gt;=0,IF('Datos y Resumen '!E60=1,'COMPARACIÓN MENSUAL'!I11,'ISR '!O8+'ISR '!P8),0)</f>
        <v>298.521232</v>
      </c>
      <c r="R8" s="59">
        <f>IFERROR(IF('Datos y Resumen '!$E$60=1,'AJUSTE AL SUBSIDIO '!K7,VLOOKUP(K8,'TARIFAS 2025'!D21:F31,3,TRUE)),0)</f>
        <v>234.34950000000001</v>
      </c>
      <c r="S8" s="53">
        <f>ROUND(IF(Q8&gt;=R8,Q8-R8,0),2)</f>
        <v>64.17</v>
      </c>
      <c r="T8" s="53">
        <f>ROUND(IF(R8&gt;=Q8,R8-Q8,0),2)</f>
        <v>0</v>
      </c>
      <c r="U8" s="59">
        <f>+K8-S8+T8</f>
        <v>4117.83</v>
      </c>
    </row>
    <row r="9" spans="2:21" x14ac:dyDescent="0.25">
      <c r="B9" s="310" t="s">
        <v>344</v>
      </c>
      <c r="C9" s="311"/>
      <c r="E9" s="50" t="s">
        <v>77</v>
      </c>
      <c r="F9" s="37">
        <f>+'LISTA TRABAJADORES'!F8</f>
        <v>4008063127</v>
      </c>
      <c r="G9" s="37" t="str">
        <f>+'LISTA TRABAJADORES'!G8</f>
        <v>HECTOR ULISES GARCIA</v>
      </c>
      <c r="H9" s="62">
        <v>15</v>
      </c>
      <c r="I9" s="62">
        <v>15</v>
      </c>
      <c r="J9" s="59">
        <f>+'LISTA TRABAJADORES'!H8</f>
        <v>278.81</v>
      </c>
      <c r="K9" s="86">
        <f>+I9*J9+'OTRAS PRESTACIONES'!AC9</f>
        <v>4182.1499999999996</v>
      </c>
      <c r="L9" s="53">
        <f>+IFERROR(IF('Datos y Resumen '!E60=1,0,VLOOKUP(K9,'TARIFAS 2025'!J5:M15,1,1)),0)</f>
        <v>3124.36</v>
      </c>
      <c r="M9" s="59">
        <f>IF('Datos y Resumen '!E60=1,0,K9-L9)</f>
        <v>1057.7899999999995</v>
      </c>
      <c r="N9" s="55">
        <f>IFERROR(IF('Datos y Resumen '!E60=1,0,VLOOKUP(K9,'TARIFAS 2025'!J5:M15,4,TRUE)),0)</f>
        <v>0.10880000000000001</v>
      </c>
      <c r="O9" s="59">
        <f>+M9*N9</f>
        <v>115.08755199999996</v>
      </c>
      <c r="P9" s="53">
        <f>IFERROR(IF('Datos y Resumen '!E60=1,0,VLOOKUP(K9,'TARIFAS 2025'!J5:M15,3,TRUE)),0)</f>
        <v>183.45000000000002</v>
      </c>
      <c r="Q9" s="59">
        <f>+IF('Datos y Resumen '!$E$60=1,'COMPARACIÓN MENSUAL'!R11,'ISR '!O9+'ISR '!P9)</f>
        <v>298.53755200000001</v>
      </c>
      <c r="R9" s="59">
        <f>IFERROR(IF('Datos y Resumen '!$E$60=1,'AJUSTE AL SUBSIDIO '!K8,VLOOKUP(K9,'TARIFAS 2025'!J21:L31,3,TRUE)),0)</f>
        <v>234.34950000000001</v>
      </c>
      <c r="S9" s="53">
        <f>ROUND(IF(Q9&gt;=R9,Q9-R9,0),2)</f>
        <v>64.19</v>
      </c>
      <c r="T9" s="53">
        <f>ROUND(IF(R9&gt;=Q9,R9-Q9,0),2)</f>
        <v>0</v>
      </c>
      <c r="U9" s="59">
        <f>+K9-S9+T9</f>
        <v>4117.96</v>
      </c>
    </row>
    <row r="10" spans="2:21" x14ac:dyDescent="0.25">
      <c r="B10" s="312" t="s">
        <v>345</v>
      </c>
      <c r="C10" s="313"/>
      <c r="E10" s="50" t="s">
        <v>78</v>
      </c>
      <c r="F10" s="37">
        <f>+'LISTA TRABAJADORES'!F9</f>
        <v>4997999471</v>
      </c>
      <c r="G10" s="37" t="str">
        <f>+'LISTA TRABAJADORES'!G9</f>
        <v>MARISOL VILLA</v>
      </c>
      <c r="H10" s="62">
        <v>15</v>
      </c>
      <c r="I10" s="62">
        <v>15</v>
      </c>
      <c r="J10" s="59">
        <f>+'LISTA TRABAJADORES'!H9</f>
        <v>280</v>
      </c>
      <c r="K10" s="86">
        <f>+I10*J10+'OTRAS PRESTACIONES'!AC10</f>
        <v>4200</v>
      </c>
      <c r="L10" s="53">
        <f>+IFERROR(IF('Datos y Resumen '!E60=1,0,VLOOKUP(K10,'TARIFAS 2025'!P5:S15,1,TRUE)),0)</f>
        <v>3124.36</v>
      </c>
      <c r="M10" s="59">
        <f>IF('Datos y Resumen '!E60=1,0,K10-L10)</f>
        <v>1075.6399999999999</v>
      </c>
      <c r="N10" s="55">
        <f>IFERROR(IF('Datos y Resumen '!E60=1,0,VLOOKUP(K10,'TARIFAS 2025'!P5:S15,4,TRUE)),0)</f>
        <v>0.10880000000000001</v>
      </c>
      <c r="O10" s="59">
        <f>+M10*N10</f>
        <v>117.02963199999999</v>
      </c>
      <c r="P10" s="53">
        <f>IFERROR(IF('Datos y Resumen '!E60=1,0,VLOOKUP(K10,'TARIFAS 2025'!P5:S15,3,TRUE)),0)</f>
        <v>183.45000000000002</v>
      </c>
      <c r="Q10" s="59">
        <f>+IF('Datos y Resumen '!$E$60=1,'COMPARACIÓN MENSUAL'!I25,'ISR '!O10+'ISR '!P10)</f>
        <v>300.47963200000004</v>
      </c>
      <c r="R10" s="59">
        <f>IFERROR(IF('Datos y Resumen '!$E$60=1,'AJUSTE AL SUBSIDIO '!K9,VLOOKUP(K10,'TARIFAS 2025'!P21:R31,3,TRUE)),0)</f>
        <v>234.34950000000001</v>
      </c>
      <c r="S10" s="53">
        <f>ROUND(IF(Q10&gt;=R10,Q10-R10,0),2)</f>
        <v>66.13</v>
      </c>
      <c r="T10" s="53">
        <f>ROUND(IF(R10&gt;=Q10,R10-Q10,0),2)</f>
        <v>0</v>
      </c>
      <c r="U10" s="59">
        <f t="shared" ref="U10:U57" si="0">+K10-S10+T10</f>
        <v>4133.87</v>
      </c>
    </row>
    <row r="11" spans="2:21" ht="16.5" thickBot="1" x14ac:dyDescent="0.3">
      <c r="B11" s="314" t="s">
        <v>346</v>
      </c>
      <c r="C11" s="315"/>
      <c r="E11" s="50" t="s">
        <v>79</v>
      </c>
      <c r="F11" s="37">
        <f>+'LISTA TRABAJADORES'!F10</f>
        <v>5158985232</v>
      </c>
      <c r="G11" s="37" t="str">
        <f>+'LISTA TRABAJADORES'!G10</f>
        <v>MARCO PEREZ</v>
      </c>
      <c r="H11" s="62">
        <v>15</v>
      </c>
      <c r="I11" s="62">
        <v>15</v>
      </c>
      <c r="J11" s="59">
        <f>+'LISTA TRABAJADORES'!H10</f>
        <v>290</v>
      </c>
      <c r="K11" s="86">
        <f>+I11*J11+'OTRAS PRESTACIONES'!AC11</f>
        <v>4350</v>
      </c>
      <c r="L11" s="53">
        <f>IFERROR(IF('Datos y Resumen '!E60=1,0,VLOOKUP(K11,'TARIFAS 2025'!V5:Y15,1,TRUE)),0)</f>
        <v>3124.36</v>
      </c>
      <c r="M11" s="59">
        <f>IF('Datos y Resumen '!E60=1,0,K11-L11)</f>
        <v>1225.6399999999999</v>
      </c>
      <c r="N11" s="55">
        <f>IFERROR(IF('Datos y Resumen '!E60=1,0,VLOOKUP(K11,'TARIFAS 2025'!V5:Y15,4,TRUE)),0)</f>
        <v>0.10880000000000001</v>
      </c>
      <c r="O11" s="59">
        <f t="shared" ref="O11:O57" si="1">+M11*N11</f>
        <v>133.34963199999999</v>
      </c>
      <c r="P11" s="53">
        <f>IFERROR(IF('Datos y Resumen '!E60=1,0,VLOOKUP(K11,'TARIFAS 2025'!V5:Y15,3,TRUE)),0)</f>
        <v>183.45000000000002</v>
      </c>
      <c r="Q11" s="59">
        <f>+IF('Datos y Resumen '!$E$60=1,'COMPARACIÓN MENSUAL'!R25,'ISR '!O11+'ISR '!P11)</f>
        <v>316.79963199999997</v>
      </c>
      <c r="R11" s="59">
        <f>IFERROR(IF('Datos y Resumen '!$E$60=1,'AJUSTE AL SUBSIDIO '!K10,VLOOKUP(K11,'TARIFAS 2025'!V21:X31,3,TRUE)),0)</f>
        <v>234.34950000000001</v>
      </c>
      <c r="S11" s="53">
        <f t="shared" ref="S11:S57" si="2">ROUND(IF(Q11&gt;=R11,Q11-R11,0),2)</f>
        <v>82.45</v>
      </c>
      <c r="T11" s="53">
        <f t="shared" ref="T11:T57" si="3">ROUND(IF(R11&gt;=Q11,R11-Q11,0),2)</f>
        <v>0</v>
      </c>
      <c r="U11" s="59">
        <f t="shared" si="0"/>
        <v>4267.55</v>
      </c>
    </row>
    <row r="12" spans="2:21" x14ac:dyDescent="0.25">
      <c r="B12" s="304" t="s">
        <v>315</v>
      </c>
      <c r="C12" s="305"/>
      <c r="E12" s="50" t="s">
        <v>80</v>
      </c>
      <c r="F12" s="37">
        <f>+'LISTA TRABAJADORES'!F11</f>
        <v>5478565521</v>
      </c>
      <c r="G12" s="37" t="str">
        <f>+'LISTA TRABAJADORES'!G11</f>
        <v>ALEJANDRO VENEGAS</v>
      </c>
      <c r="H12" s="62">
        <v>15</v>
      </c>
      <c r="I12" s="62">
        <v>15</v>
      </c>
      <c r="J12" s="59">
        <f>+'LISTA TRABAJADORES'!H11</f>
        <v>300</v>
      </c>
      <c r="K12" s="86">
        <f>+I12*J12+'OTRAS PRESTACIONES'!AC12</f>
        <v>4500</v>
      </c>
      <c r="L12" s="53">
        <f>IFERROR(IF('Datos y Resumen '!E60=1,0,VLOOKUP(K12,'TARIFAS 2025'!AB5:AE16,1,TRUE)),0)</f>
        <v>3124.36</v>
      </c>
      <c r="M12" s="59">
        <f>IF('Datos y Resumen '!E60=1,0,K12-L12)</f>
        <v>1375.6399999999999</v>
      </c>
      <c r="N12" s="55">
        <f>IFERROR(IF('Datos y Resumen '!E60=1,0,VLOOKUP(K12,'TARIFAS 2025'!AB5:AE15,4,TRUE)),0)</f>
        <v>0.10880000000000001</v>
      </c>
      <c r="O12" s="59">
        <f t="shared" si="1"/>
        <v>149.66963200000001</v>
      </c>
      <c r="P12" s="53">
        <f>IFERROR(IF('Datos y Resumen '!E60=1,0,VLOOKUP(K12,'TARIFAS 2025'!AB5:AE15,3,TRUE)),0)</f>
        <v>183.45000000000002</v>
      </c>
      <c r="Q12" s="59">
        <f>+IF('Datos y Resumen '!$E$60=1,'COMPARACIÓN MENSUAL'!I39,'ISR '!O12+'ISR '!P12)</f>
        <v>333.11963200000002</v>
      </c>
      <c r="R12" s="59">
        <f>IFERROR(IF('Datos y Resumen '!$E$60=1,'AJUSTE AL SUBSIDIO '!K11,VLOOKUP(K12,'TARIFAS 2025'!AB21:AD31,3,TRUE)),0)</f>
        <v>234.34950000000001</v>
      </c>
      <c r="S12" s="53">
        <f t="shared" si="2"/>
        <v>98.77</v>
      </c>
      <c r="T12" s="53">
        <f t="shared" si="3"/>
        <v>0</v>
      </c>
      <c r="U12" s="59">
        <f t="shared" si="0"/>
        <v>4401.2299999999996</v>
      </c>
    </row>
    <row r="13" spans="2:21" x14ac:dyDescent="0.25">
      <c r="B13" s="304" t="s">
        <v>192</v>
      </c>
      <c r="C13" s="305"/>
      <c r="E13" s="50" t="s">
        <v>81</v>
      </c>
      <c r="F13" s="37">
        <f>+'LISTA TRABAJADORES'!F12</f>
        <v>5258525822</v>
      </c>
      <c r="G13" s="37" t="str">
        <f>+'LISTA TRABAJADORES'!G12</f>
        <v>MARTHA ZAVALA</v>
      </c>
      <c r="H13" s="62">
        <v>15</v>
      </c>
      <c r="I13" s="62">
        <v>15</v>
      </c>
      <c r="J13" s="59">
        <f>+'LISTA TRABAJADORES'!H12</f>
        <v>350</v>
      </c>
      <c r="K13" s="86">
        <f>+I13*J13+'OTRAS PRESTACIONES'!AC13</f>
        <v>5250</v>
      </c>
      <c r="L13" s="53">
        <f>IFERROR(IF('Datos y Resumen '!E60=1,0,VLOOKUP(K13,'TARIFAS 2025'!AH5:AK15,1,TRUE)),0)</f>
        <v>3124.36</v>
      </c>
      <c r="M13" s="59">
        <f>IF('Datos y Resumen '!E60=1,0,K13-L13)</f>
        <v>2125.64</v>
      </c>
      <c r="N13" s="55">
        <f>IFERROR(IF('Datos y Resumen '!E60=1,0,VLOOKUP(K13,'TARIFAS 2025'!AH5:AK15,4,TRUE)),0)</f>
        <v>0.10880000000000001</v>
      </c>
      <c r="O13" s="59">
        <f t="shared" si="1"/>
        <v>231.269632</v>
      </c>
      <c r="P13" s="53">
        <f>IFERROR(IF('Datos y Resumen '!E60=1,0,VLOOKUP(K13,'TARIFAS 2025'!AH5:AK15,3,TRUE)),0)</f>
        <v>183.45000000000002</v>
      </c>
      <c r="Q13" s="59">
        <f>+IF('Datos y Resumen '!$E$60=1,'COMPARACIÓN MENSUAL'!R39,'ISR '!O13+'ISR '!P13)</f>
        <v>414.71963200000005</v>
      </c>
      <c r="R13" s="59">
        <f>IFERROR(IF('Datos y Resumen '!$E$60=1,'AJUSTE AL SUBSIDIO '!K12,VLOOKUP(K13,'TARIFAS 2025'!AH21:AJ31,3,TRUE)),0)</f>
        <v>0</v>
      </c>
      <c r="S13" s="53">
        <f t="shared" si="2"/>
        <v>414.72</v>
      </c>
      <c r="T13" s="53">
        <f t="shared" si="3"/>
        <v>0</v>
      </c>
      <c r="U13" s="59">
        <f t="shared" si="0"/>
        <v>4835.28</v>
      </c>
    </row>
    <row r="14" spans="2:21" x14ac:dyDescent="0.25">
      <c r="B14" s="306" t="s">
        <v>236</v>
      </c>
      <c r="C14" s="307"/>
      <c r="E14" s="50" t="s">
        <v>82</v>
      </c>
      <c r="F14" s="37">
        <f>+'LISTA TRABAJADORES'!F13</f>
        <v>2587566225</v>
      </c>
      <c r="G14" s="37" t="str">
        <f>+'LISTA TRABAJADORES'!G13</f>
        <v>CRISTINA MACIAS</v>
      </c>
      <c r="H14" s="62">
        <v>15</v>
      </c>
      <c r="I14" s="62">
        <v>15</v>
      </c>
      <c r="J14" s="59">
        <f>+'LISTA TRABAJADORES'!H13</f>
        <v>400</v>
      </c>
      <c r="K14" s="86">
        <f>+I14*J14+'OTRAS PRESTACIONES'!AC14</f>
        <v>6000</v>
      </c>
      <c r="L14" s="53">
        <f>IFERROR(IF('Datos y Resumen '!E60=1,0,VLOOKUP(K14,'TARIFAS 2025'!AN5:AQ15,1,TRUE)),0)</f>
        <v>5490.76</v>
      </c>
      <c r="M14" s="59">
        <f>IF('Datos y Resumen '!E60=1,0,K14-L14)</f>
        <v>509.23999999999978</v>
      </c>
      <c r="N14" s="55">
        <f>IFERROR(IF('Datos y Resumen '!E60=1,0,VLOOKUP(K14,'TARIFAS 2025'!AN5:AQ15,4,TRUE)),0)</f>
        <v>0.16</v>
      </c>
      <c r="O14" s="59">
        <f t="shared" si="1"/>
        <v>81.478399999999965</v>
      </c>
      <c r="P14" s="53">
        <f>IFERROR(IF('Datos y Resumen '!E60=1,0,VLOOKUP(K14,'TARIFAS 2025'!AN5:AQ15,3,TRUE)),0)</f>
        <v>441</v>
      </c>
      <c r="Q14" s="59">
        <f>+IF('Datos y Resumen '!$E$60=1,'COMPARACIÓN MENSUAL'!I53,'ISR '!O14+'ISR '!P14)</f>
        <v>522.47839999999997</v>
      </c>
      <c r="R14" s="59">
        <f>IFERROR(IF('Datos y Resumen '!$E$60=1,'AJUSTE AL SUBSIDIO '!K13,VLOOKUP(K14,'TARIFAS 2025'!AN21:AP31,3,TRUE)),0)</f>
        <v>0</v>
      </c>
      <c r="S14" s="53">
        <f t="shared" si="2"/>
        <v>522.48</v>
      </c>
      <c r="T14" s="53">
        <f t="shared" si="3"/>
        <v>0</v>
      </c>
      <c r="U14" s="59">
        <f t="shared" si="0"/>
        <v>5477.52</v>
      </c>
    </row>
    <row r="15" spans="2:21" x14ac:dyDescent="0.25">
      <c r="B15" s="304" t="s">
        <v>316</v>
      </c>
      <c r="C15" s="305"/>
      <c r="E15" s="50" t="s">
        <v>83</v>
      </c>
      <c r="F15" s="37">
        <f>+'LISTA TRABAJADORES'!F14</f>
        <v>6585422585</v>
      </c>
      <c r="G15" s="37" t="str">
        <f>+'LISTA TRABAJADORES'!G14</f>
        <v>ANTONIO OCAMPOS</v>
      </c>
      <c r="H15" s="62">
        <v>15</v>
      </c>
      <c r="I15" s="62">
        <v>15</v>
      </c>
      <c r="J15" s="59">
        <f>+'LISTA TRABAJADORES'!H14</f>
        <v>500</v>
      </c>
      <c r="K15" s="86">
        <f>+I15*J15+'OTRAS PRESTACIONES'!AC15</f>
        <v>7500</v>
      </c>
      <c r="L15" s="53">
        <f>IFERROR(IF('Datos y Resumen '!E60=1,0,VLOOKUP(K15,'TARIFAS 2025'!AT5:AW15,1,TRUE)),0)</f>
        <v>6382.8099999999995</v>
      </c>
      <c r="M15" s="59">
        <f>IF('Datos y Resumen '!E60=1,0,K15-L15)</f>
        <v>1117.1900000000005</v>
      </c>
      <c r="N15" s="55">
        <f>IFERROR(IF('Datos y Resumen '!E60=1,0,VLOOKUP(K15,'TARIFAS 2025'!AT5:AW15,4,TRUE)),0)</f>
        <v>0.17920000000000003</v>
      </c>
      <c r="O15" s="59">
        <f t="shared" si="1"/>
        <v>200.20044800000011</v>
      </c>
      <c r="P15" s="53">
        <f>IFERROR(IF('Datos y Resumen '!E60=1,0,VLOOKUP(K15,'TARIFAS 2025'!AT5:AW15,3,TRUE)),0)</f>
        <v>583.65</v>
      </c>
      <c r="Q15" s="59">
        <f>+IF('Datos y Resumen '!$E$60=1,'COMPARACIÓN MENSUAL'!R53,'ISR '!O15+'ISR '!P15)</f>
        <v>783.85044800000014</v>
      </c>
      <c r="R15" s="59">
        <f>IFERROR(IF('Datos y Resumen '!$E$60=1,'AJUSTE AL SUBSIDIO '!K14,VLOOKUP(K15,'TARIFAS 2025'!AT21:AV31,3,TRUE)),0)</f>
        <v>0</v>
      </c>
      <c r="S15" s="53">
        <f t="shared" si="2"/>
        <v>783.85</v>
      </c>
      <c r="T15" s="53">
        <f t="shared" si="3"/>
        <v>0</v>
      </c>
      <c r="U15" s="59">
        <f t="shared" si="0"/>
        <v>6716.15</v>
      </c>
    </row>
    <row r="16" spans="2:21" x14ac:dyDescent="0.25">
      <c r="B16" s="306" t="s">
        <v>244</v>
      </c>
      <c r="C16" s="307"/>
      <c r="E16" s="50" t="s">
        <v>84</v>
      </c>
      <c r="F16" s="37">
        <f>+'LISTA TRABAJADORES'!F15</f>
        <v>0</v>
      </c>
      <c r="G16" s="37">
        <f>+'LISTA TRABAJADORES'!G15</f>
        <v>0</v>
      </c>
      <c r="H16" s="62">
        <v>15</v>
      </c>
      <c r="I16" s="62">
        <v>15</v>
      </c>
      <c r="J16" s="59">
        <f>+'LISTA TRABAJADORES'!H15</f>
        <v>0</v>
      </c>
      <c r="K16" s="86">
        <f>+I16*J16+'OTRAS PRESTACIONES'!AC16</f>
        <v>0</v>
      </c>
      <c r="L16" s="53">
        <f>IFERROR(IF('Datos y Resumen '!E60=1,0,VLOOKUP(K16,'TARIFAS 2025'!AZ5:BC15,1,TRUE)),0)</f>
        <v>0</v>
      </c>
      <c r="M16" s="59">
        <f>IF('Datos y Resumen '!E60=1,0,K16-L16)</f>
        <v>0</v>
      </c>
      <c r="N16" s="55">
        <f>IFERROR(IF('Datos y Resumen '!E60=1,0,VLOOKUP(K16,'TARIFAS 2025'!AZ5:BC15,4,TRUE)),0)</f>
        <v>0</v>
      </c>
      <c r="O16" s="59">
        <f t="shared" si="1"/>
        <v>0</v>
      </c>
      <c r="P16" s="53">
        <f>IFERROR(IF('Datos y Resumen '!E60=1,0,VLOOKUP(K16,'TARIFAS 2025'!AZ5:BC15,3,TRUE)),0)</f>
        <v>0</v>
      </c>
      <c r="Q16" s="59">
        <f>+IF('Datos y Resumen '!$E$60=1,'COMPARACIÓN MENSUAL'!I67,'ISR '!O16+'ISR '!P16)</f>
        <v>0</v>
      </c>
      <c r="R16" s="59">
        <f>IFERROR(IF('Datos y Resumen '!$E$60=1,'AJUSTE AL SUBSIDIO '!K15,VLOOKUP(K16,'TARIFAS 2025'!AZ21:BB31,3,TRUE)),0)</f>
        <v>0</v>
      </c>
      <c r="S16" s="53">
        <f t="shared" si="2"/>
        <v>0</v>
      </c>
      <c r="T16" s="53">
        <f t="shared" si="3"/>
        <v>0</v>
      </c>
      <c r="U16" s="59">
        <f t="shared" si="0"/>
        <v>0</v>
      </c>
    </row>
    <row r="17" spans="2:21" x14ac:dyDescent="0.25">
      <c r="B17" s="320" t="s">
        <v>356</v>
      </c>
      <c r="C17" s="321"/>
      <c r="E17" s="50" t="s">
        <v>85</v>
      </c>
      <c r="F17" s="37">
        <f>+'LISTA TRABAJADORES'!F16</f>
        <v>0</v>
      </c>
      <c r="G17" s="37">
        <f>+'LISTA TRABAJADORES'!G16</f>
        <v>0</v>
      </c>
      <c r="H17" s="62">
        <v>15</v>
      </c>
      <c r="I17" s="62">
        <v>15</v>
      </c>
      <c r="J17" s="59">
        <f>+'LISTA TRABAJADORES'!H16</f>
        <v>0</v>
      </c>
      <c r="K17" s="86">
        <f>+I17*J17+'OTRAS PRESTACIONES'!AC17</f>
        <v>0</v>
      </c>
      <c r="L17" s="53">
        <f>IFERROR(IF('Datos y Resumen '!E60=1,0,VLOOKUP(K17,'TARIFAS 2025'!BF5:BI15,1,TRUE)),0)</f>
        <v>0</v>
      </c>
      <c r="M17" s="59">
        <f>IF('Datos y Resumen '!E60=1,0,K17-L17)</f>
        <v>0</v>
      </c>
      <c r="N17" s="55">
        <f>IFERROR(IF('Datos y Resumen '!E60=1,0,VLOOKUP(K17,'TARIFAS 2025'!BF5:BI15,4,TRUE)),0)</f>
        <v>0</v>
      </c>
      <c r="O17" s="59">
        <f t="shared" si="1"/>
        <v>0</v>
      </c>
      <c r="P17" s="53">
        <f>IFERROR(IF('Datos y Resumen '!E60=1,0,VLOOKUP(K17,'TARIFAS 2025'!BF5:BI15,3,TRUE)),0)</f>
        <v>0</v>
      </c>
      <c r="Q17" s="59">
        <f>+IF('Datos y Resumen '!$E$60=1,'COMPARACIÓN MENSUAL'!R67,'ISR '!O17+'ISR '!P17)</f>
        <v>0</v>
      </c>
      <c r="R17" s="59">
        <f>IFERROR(IF('Datos y Resumen '!$E$60=1,'AJUSTE AL SUBSIDIO '!K16,VLOOKUP(K17,'TARIFAS 2025'!BF21:BH31,3,TRUE)),0)</f>
        <v>0</v>
      </c>
      <c r="S17" s="53">
        <f t="shared" si="2"/>
        <v>0</v>
      </c>
      <c r="T17" s="53">
        <f t="shared" si="3"/>
        <v>0</v>
      </c>
      <c r="U17" s="59">
        <f t="shared" si="0"/>
        <v>0</v>
      </c>
    </row>
    <row r="18" spans="2:21" ht="16.5" thickBot="1" x14ac:dyDescent="0.3">
      <c r="B18" s="318" t="s">
        <v>330</v>
      </c>
      <c r="C18" s="319"/>
      <c r="E18" s="50" t="s">
        <v>86</v>
      </c>
      <c r="F18" s="37">
        <f>+'LISTA TRABAJADORES'!F17</f>
        <v>0</v>
      </c>
      <c r="G18" s="37">
        <f>+'LISTA TRABAJADORES'!G17</f>
        <v>0</v>
      </c>
      <c r="H18" s="62">
        <v>15</v>
      </c>
      <c r="I18" s="62">
        <v>15</v>
      </c>
      <c r="J18" s="59">
        <f>+'LISTA TRABAJADORES'!H17</f>
        <v>0</v>
      </c>
      <c r="K18" s="86">
        <f>+I18*J18+'OTRAS PRESTACIONES'!AC18</f>
        <v>0</v>
      </c>
      <c r="L18" s="53">
        <f>IFERROR(IF('Datos y Resumen '!E60=1,0,VLOOKUP(K18,'TARIFAS 2025'!D37:G47,1,1)),0)</f>
        <v>0</v>
      </c>
      <c r="M18" s="59">
        <f>IF('Datos y Resumen '!E60=1,0,K18-L18)</f>
        <v>0</v>
      </c>
      <c r="N18" s="55">
        <f>IFERROR(IF('Datos y Resumen '!E60=1,0,VLOOKUP(K18,'TARIFAS 2025'!D37:G47,4,TRUE)),0)</f>
        <v>0</v>
      </c>
      <c r="O18" s="59">
        <f t="shared" si="1"/>
        <v>0</v>
      </c>
      <c r="P18" s="53">
        <f>IFERROR(IF('Datos y Resumen '!E60=1,0,VLOOKUP(K18,'TARIFAS 2025'!D37:G47,3,TRUE)),0)</f>
        <v>0</v>
      </c>
      <c r="Q18" s="59">
        <f>+IF('Datos y Resumen '!$E$60=1,'COMPARACIÓN MENSUAL'!I81,'ISR '!O18+'ISR '!P18)</f>
        <v>0</v>
      </c>
      <c r="R18" s="59">
        <f>IFERROR(IF('Datos y Resumen '!$E$60=1,'AJUSTE AL SUBSIDIO '!K17,VLOOKUP(K18,'TARIFAS 2025'!D53:F63,3,TRUE)),0)</f>
        <v>0</v>
      </c>
      <c r="S18" s="53">
        <f t="shared" si="2"/>
        <v>0</v>
      </c>
      <c r="T18" s="53">
        <f t="shared" si="3"/>
        <v>0</v>
      </c>
      <c r="U18" s="59">
        <f t="shared" si="0"/>
        <v>0</v>
      </c>
    </row>
    <row r="19" spans="2:21" x14ac:dyDescent="0.25">
      <c r="E19" s="50" t="s">
        <v>87</v>
      </c>
      <c r="F19" s="37">
        <f>+'LISTA TRABAJADORES'!F18</f>
        <v>0</v>
      </c>
      <c r="G19" s="37">
        <f>+'LISTA TRABAJADORES'!G18</f>
        <v>0</v>
      </c>
      <c r="H19" s="62">
        <v>15</v>
      </c>
      <c r="I19" s="62">
        <v>15</v>
      </c>
      <c r="J19" s="59">
        <f>+'LISTA TRABAJADORES'!H18</f>
        <v>0</v>
      </c>
      <c r="K19" s="86">
        <f>+I19*J19+'OTRAS PRESTACIONES'!AC19</f>
        <v>0</v>
      </c>
      <c r="L19" s="53">
        <f>IFERROR(IF('Datos y Resumen '!E60=1,0,VLOOKUP(K19,'TARIFAS 2025'!J37:M47,1,TRUE)),0)</f>
        <v>0</v>
      </c>
      <c r="M19" s="59">
        <f>IF('Datos y Resumen '!E60=1,0,K19-L19)</f>
        <v>0</v>
      </c>
      <c r="N19" s="55">
        <f>IFERROR(IF('Datos y Resumen '!E60=1,0,VLOOKUP(K19,'TARIFAS 2025'!J37:M47,4,TRUE)),0)</f>
        <v>0</v>
      </c>
      <c r="O19" s="59">
        <f t="shared" si="1"/>
        <v>0</v>
      </c>
      <c r="P19" s="53">
        <f>IFERROR(IF('Datos y Resumen '!E60=1,0,VLOOKUP(K19,'TARIFAS 2025'!J37:M47,3,TRUE)),0)</f>
        <v>0</v>
      </c>
      <c r="Q19" s="59">
        <f>+IF('Datos y Resumen '!$E$60=1,'COMPARACIÓN MENSUAL'!R81,'ISR '!O19+'ISR '!P19)</f>
        <v>0</v>
      </c>
      <c r="R19" s="59">
        <f>IFERROR(IF('Datos y Resumen '!$E$60=1,'AJUSTE AL SUBSIDIO '!K18,VLOOKUP(K19,'TARIFAS 2025'!J53:L63,3,TRUE)),0)</f>
        <v>0</v>
      </c>
      <c r="S19" s="53">
        <f t="shared" si="2"/>
        <v>0</v>
      </c>
      <c r="T19" s="53">
        <f t="shared" si="3"/>
        <v>0</v>
      </c>
      <c r="U19" s="59">
        <f t="shared" si="0"/>
        <v>0</v>
      </c>
    </row>
    <row r="20" spans="2:21" x14ac:dyDescent="0.25">
      <c r="E20" s="50" t="s">
        <v>88</v>
      </c>
      <c r="F20" s="37">
        <f>+'LISTA TRABAJADORES'!F19</f>
        <v>0</v>
      </c>
      <c r="G20" s="37">
        <f>+'LISTA TRABAJADORES'!G19</f>
        <v>0</v>
      </c>
      <c r="H20" s="62">
        <v>15</v>
      </c>
      <c r="I20" s="62">
        <v>15</v>
      </c>
      <c r="J20" s="59">
        <f>+'LISTA TRABAJADORES'!H19</f>
        <v>0</v>
      </c>
      <c r="K20" s="86">
        <f>+I20*J20+'OTRAS PRESTACIONES'!AC20</f>
        <v>0</v>
      </c>
      <c r="L20" s="53">
        <f>IFERROR(IF('Datos y Resumen '!E60=1,0,VLOOKUP(K20,'TARIFAS 2025'!P37:S47,1,TRUE)),0)</f>
        <v>0</v>
      </c>
      <c r="M20" s="59">
        <f>IF('Datos y Resumen '!E60=1,0,K20-L20)</f>
        <v>0</v>
      </c>
      <c r="N20" s="55">
        <f>IFERROR(IF('Datos y Resumen '!E60=1,0,VLOOKUP(K20,'TARIFAS 2025'!P37:S47,4,TRUE)),0)</f>
        <v>0</v>
      </c>
      <c r="O20" s="59">
        <f t="shared" si="1"/>
        <v>0</v>
      </c>
      <c r="P20" s="53">
        <f>IFERROR(IF('Datos y Resumen '!E60=1,0,VLOOKUP(K20,'TARIFAS 2025'!P37:S47,3,TRUE)),0)</f>
        <v>0</v>
      </c>
      <c r="Q20" s="59">
        <f>+IF('Datos y Resumen '!$E$60=1,'COMPARACIÓN MENSUAL'!I95,'ISR '!O20+'ISR '!P20)</f>
        <v>0</v>
      </c>
      <c r="R20" s="59">
        <f>IFERROR(IF('Datos y Resumen '!$E$60=1,'AJUSTE AL SUBSIDIO '!K19,VLOOKUP(K20,'TARIFAS 2025'!P53:R63,3,TRUE)),0)</f>
        <v>0</v>
      </c>
      <c r="S20" s="53">
        <f t="shared" si="2"/>
        <v>0</v>
      </c>
      <c r="T20" s="53">
        <f t="shared" si="3"/>
        <v>0</v>
      </c>
      <c r="U20" s="59">
        <f t="shared" si="0"/>
        <v>0</v>
      </c>
    </row>
    <row r="21" spans="2:21" x14ac:dyDescent="0.25">
      <c r="E21" s="50" t="s">
        <v>89</v>
      </c>
      <c r="F21" s="37">
        <f>+'LISTA TRABAJADORES'!F20</f>
        <v>0</v>
      </c>
      <c r="G21" s="37">
        <f>+'LISTA TRABAJADORES'!G20</f>
        <v>0</v>
      </c>
      <c r="H21" s="62">
        <v>15</v>
      </c>
      <c r="I21" s="62">
        <v>15</v>
      </c>
      <c r="J21" s="59">
        <f>+'LISTA TRABAJADORES'!H20</f>
        <v>0</v>
      </c>
      <c r="K21" s="86">
        <f>+I21*J21+'OTRAS PRESTACIONES'!AC21</f>
        <v>0</v>
      </c>
      <c r="L21" s="53">
        <f>IFERROR(IF('Datos y Resumen '!E60=1,0,VLOOKUP(K21,'TARIFAS 2025'!V37:Y47,1,TRUE)),0)</f>
        <v>0</v>
      </c>
      <c r="M21" s="59">
        <f>IF('Datos y Resumen '!E60=1,0,K21-L21)</f>
        <v>0</v>
      </c>
      <c r="N21" s="55">
        <f>IFERROR(IF('Datos y Resumen '!E60=1,0,VLOOKUP(K21,'TARIFAS 2025'!V37:Y47,4,TRUE)),0)</f>
        <v>0</v>
      </c>
      <c r="O21" s="59">
        <f t="shared" si="1"/>
        <v>0</v>
      </c>
      <c r="P21" s="53">
        <f>IFERROR(IF('Datos y Resumen '!E60=1,0,VLOOKUP(K21,'TARIFAS 2025'!V37:Y47,3,TRUE)),0)</f>
        <v>0</v>
      </c>
      <c r="Q21" s="59">
        <f>+IF('Datos y Resumen '!$E$60=1,'COMPARACIÓN MENSUAL'!R95,'ISR '!O21+'ISR '!P21)</f>
        <v>0</v>
      </c>
      <c r="R21" s="59">
        <f>IFERROR(IF('Datos y Resumen '!$E$60=1,'AJUSTE AL SUBSIDIO '!K20,VLOOKUP(K21,'TARIFAS 2025'!V53:X63,3,TRUE)),0)</f>
        <v>0</v>
      </c>
      <c r="S21" s="53">
        <f t="shared" si="2"/>
        <v>0</v>
      </c>
      <c r="T21" s="53">
        <f t="shared" si="3"/>
        <v>0</v>
      </c>
      <c r="U21" s="59">
        <f t="shared" si="0"/>
        <v>0</v>
      </c>
    </row>
    <row r="22" spans="2:21" x14ac:dyDescent="0.25">
      <c r="E22" s="50" t="s">
        <v>90</v>
      </c>
      <c r="F22" s="37">
        <f>+'LISTA TRABAJADORES'!F21</f>
        <v>0</v>
      </c>
      <c r="G22" s="37">
        <f>+'LISTA TRABAJADORES'!G21</f>
        <v>0</v>
      </c>
      <c r="H22" s="62">
        <v>15</v>
      </c>
      <c r="I22" s="62">
        <v>15</v>
      </c>
      <c r="J22" s="59">
        <f>+'LISTA TRABAJADORES'!H21</f>
        <v>0</v>
      </c>
      <c r="K22" s="86">
        <f>+I22*J22+'OTRAS PRESTACIONES'!AC22</f>
        <v>0</v>
      </c>
      <c r="L22" s="53">
        <f>IFERROR(IF('Datos y Resumen '!E60=1,0,VLOOKUP(K22,'TARIFAS 2025'!AB37:AE47,1,TRUE)),0)</f>
        <v>0</v>
      </c>
      <c r="M22" s="59">
        <f>IF('Datos y Resumen '!E60=1,0,K22-L22)</f>
        <v>0</v>
      </c>
      <c r="N22" s="55">
        <f>IFERROR(IF('Datos y Resumen '!E60=1,0,VLOOKUP(K22,'TARIFAS 2025'!AB37:AE47,4,TRUE)),0)</f>
        <v>0</v>
      </c>
      <c r="O22" s="59">
        <f t="shared" si="1"/>
        <v>0</v>
      </c>
      <c r="P22" s="53">
        <f>IFERROR(IF('Datos y Resumen '!E60=1,0,VLOOKUP(K22,'TARIFAS 2025'!AB37:AE47,3,1)),0)</f>
        <v>0</v>
      </c>
      <c r="Q22" s="59">
        <f>+IF('Datos y Resumen '!$E$60=1,'COMPARACIÓN MENSUAL'!I109,'ISR '!O22+'ISR '!P22)</f>
        <v>0</v>
      </c>
      <c r="R22" s="59">
        <f>IFERROR(IF('Datos y Resumen '!$E$60=1,'AJUSTE AL SUBSIDIO '!K21,VLOOKUP(K22,'TARIFAS 2025'!AB53:AD63,3,1)),0)</f>
        <v>0</v>
      </c>
      <c r="S22" s="53">
        <f t="shared" si="2"/>
        <v>0</v>
      </c>
      <c r="T22" s="53">
        <f t="shared" si="3"/>
        <v>0</v>
      </c>
      <c r="U22" s="59">
        <f t="shared" si="0"/>
        <v>0</v>
      </c>
    </row>
    <row r="23" spans="2:21" x14ac:dyDescent="0.25">
      <c r="E23" s="50" t="s">
        <v>91</v>
      </c>
      <c r="F23" s="37">
        <f>+'LISTA TRABAJADORES'!F22</f>
        <v>0</v>
      </c>
      <c r="G23" s="37">
        <f>+'LISTA TRABAJADORES'!G22</f>
        <v>0</v>
      </c>
      <c r="H23" s="62">
        <v>15</v>
      </c>
      <c r="I23" s="62">
        <v>15</v>
      </c>
      <c r="J23" s="59">
        <f>+'LISTA TRABAJADORES'!H22</f>
        <v>0</v>
      </c>
      <c r="K23" s="86">
        <f>+I23*J23+'OTRAS PRESTACIONES'!AC23</f>
        <v>0</v>
      </c>
      <c r="L23" s="53">
        <f>IFERROR(IF('Datos y Resumen '!E60=1,0,VLOOKUP(K23,'TARIFAS 2025'!AH37:AK47,1,1)),0)</f>
        <v>0</v>
      </c>
      <c r="M23" s="59">
        <f>IF('Datos y Resumen '!E60=1,0,K23-L23)</f>
        <v>0</v>
      </c>
      <c r="N23" s="55">
        <f>IFERROR(IF('Datos y Resumen '!E60=1,0,VLOOKUP(K23,'TARIFAS 2025'!AH37:AK47,4,1)),0)</f>
        <v>0</v>
      </c>
      <c r="O23" s="59">
        <f t="shared" si="1"/>
        <v>0</v>
      </c>
      <c r="P23" s="53">
        <f>IFERROR(IF('Datos y Resumen '!E60=1,0,VLOOKUP(K23,'TARIFAS 2025'!AH37:AK47,3,1)),0)</f>
        <v>0</v>
      </c>
      <c r="Q23" s="59">
        <f>+IF('Datos y Resumen '!$E$60=1,'COMPARACIÓN MENSUAL'!R109,'ISR '!O23+'ISR '!P23)</f>
        <v>0</v>
      </c>
      <c r="R23" s="59">
        <f>IFERROR(IF('Datos y Resumen '!$E$60=1,'AJUSTE AL SUBSIDIO '!K22,VLOOKUP(K23,'TARIFAS 2025'!AH53:AJ63,3,1)),0)</f>
        <v>0</v>
      </c>
      <c r="S23" s="53">
        <f t="shared" si="2"/>
        <v>0</v>
      </c>
      <c r="T23" s="53">
        <f t="shared" si="3"/>
        <v>0</v>
      </c>
      <c r="U23" s="59">
        <f t="shared" si="0"/>
        <v>0</v>
      </c>
    </row>
    <row r="24" spans="2:21" x14ac:dyDescent="0.25">
      <c r="E24" s="50" t="s">
        <v>92</v>
      </c>
      <c r="F24" s="37">
        <f>+'LISTA TRABAJADORES'!F23</f>
        <v>0</v>
      </c>
      <c r="G24" s="37">
        <f>+'LISTA TRABAJADORES'!G23</f>
        <v>0</v>
      </c>
      <c r="H24" s="62">
        <v>15</v>
      </c>
      <c r="I24" s="62">
        <v>15</v>
      </c>
      <c r="J24" s="59">
        <f>+'LISTA TRABAJADORES'!H23</f>
        <v>0</v>
      </c>
      <c r="K24" s="86">
        <f>+I24*J24+'OTRAS PRESTACIONES'!AC24</f>
        <v>0</v>
      </c>
      <c r="L24" s="53">
        <f>IFERROR(IF('Datos y Resumen '!E60=1,0,VLOOKUP(K24,'TARIFAS 2025'!AN37:AQ47,1,1)),0)</f>
        <v>0</v>
      </c>
      <c r="M24" s="59">
        <f>IF('Datos y Resumen '!E60=1,0,K24-L24)</f>
        <v>0</v>
      </c>
      <c r="N24" s="55">
        <f>IFERROR(IF('Datos y Resumen '!E60=1,0,VLOOKUP(K24,'TARIFAS 2025'!AN37:AQ47,4,1)),0)</f>
        <v>0</v>
      </c>
      <c r="O24" s="59">
        <f t="shared" si="1"/>
        <v>0</v>
      </c>
      <c r="P24" s="53">
        <f>IFERROR(IF('Datos y Resumen '!E60=1,0,VLOOKUP(K24,'TARIFAS 2025'!AN37:AQ47,3,1)),0)</f>
        <v>0</v>
      </c>
      <c r="Q24" s="59">
        <f>+IF('Datos y Resumen '!$E$60=1,'COMPARACIÓN MENSUAL'!I123,'ISR '!O24+'ISR '!P24)</f>
        <v>0</v>
      </c>
      <c r="R24" s="59">
        <f>IFERROR(IF('Datos y Resumen '!$E$60=1,'AJUSTE AL SUBSIDIO '!K23,VLOOKUP(K24,'TARIFAS 2025'!AN53:AP63,3,1)),0)</f>
        <v>0</v>
      </c>
      <c r="S24" s="53">
        <f t="shared" si="2"/>
        <v>0</v>
      </c>
      <c r="T24" s="53">
        <f t="shared" si="3"/>
        <v>0</v>
      </c>
      <c r="U24" s="59">
        <f t="shared" si="0"/>
        <v>0</v>
      </c>
    </row>
    <row r="25" spans="2:21" x14ac:dyDescent="0.25">
      <c r="E25" s="50" t="s">
        <v>93</v>
      </c>
      <c r="F25" s="37">
        <f>+'LISTA TRABAJADORES'!F24</f>
        <v>0</v>
      </c>
      <c r="G25" s="37">
        <f>+'LISTA TRABAJADORES'!G24</f>
        <v>0</v>
      </c>
      <c r="H25" s="62">
        <v>15</v>
      </c>
      <c r="I25" s="62">
        <v>15</v>
      </c>
      <c r="J25" s="59">
        <f>+'LISTA TRABAJADORES'!H24</f>
        <v>0</v>
      </c>
      <c r="K25" s="86">
        <f>+I25*J25+'OTRAS PRESTACIONES'!AC25</f>
        <v>0</v>
      </c>
      <c r="L25" s="53">
        <f>IFERROR(IF('Datos y Resumen '!E60=1,0,VLOOKUP(K25,'TARIFAS 2025'!AT37:AW47,1,1)),0)</f>
        <v>0</v>
      </c>
      <c r="M25" s="59">
        <f>IF('Datos y Resumen '!E60=1,0,K25-L25)</f>
        <v>0</v>
      </c>
      <c r="N25" s="55">
        <f>IFERROR(IF('Datos y Resumen '!E60=1,0,VLOOKUP(K25,'TARIFAS 2025'!AT37:AW47,4,1)),0)</f>
        <v>0</v>
      </c>
      <c r="O25" s="59">
        <f t="shared" si="1"/>
        <v>0</v>
      </c>
      <c r="P25" s="53">
        <f>IFERROR(IF('Datos y Resumen '!E60=1,0,VLOOKUP(K25,'TARIFAS 2025'!AT37:AW47,3,1)),0)</f>
        <v>0</v>
      </c>
      <c r="Q25" s="59">
        <f>+IF('Datos y Resumen '!$E$60=1,'COMPARACIÓN MENSUAL'!R123,'ISR '!O25+'ISR '!P25)</f>
        <v>0</v>
      </c>
      <c r="R25" s="59">
        <f>IFERROR(IF('Datos y Resumen '!$E$60=1,'AJUSTE AL SUBSIDIO '!K24,VLOOKUP(K25,'TARIFAS 2025'!AT53:AV63,3,1)),0)</f>
        <v>0</v>
      </c>
      <c r="S25" s="53">
        <f t="shared" si="2"/>
        <v>0</v>
      </c>
      <c r="T25" s="53">
        <f t="shared" si="3"/>
        <v>0</v>
      </c>
      <c r="U25" s="59">
        <f t="shared" si="0"/>
        <v>0</v>
      </c>
    </row>
    <row r="26" spans="2:21" x14ac:dyDescent="0.25">
      <c r="E26" s="50" t="s">
        <v>94</v>
      </c>
      <c r="F26" s="37">
        <f>+'LISTA TRABAJADORES'!F25</f>
        <v>0</v>
      </c>
      <c r="G26" s="37">
        <f>+'LISTA TRABAJADORES'!G25</f>
        <v>0</v>
      </c>
      <c r="H26" s="62">
        <v>15</v>
      </c>
      <c r="I26" s="62">
        <v>15</v>
      </c>
      <c r="J26" s="59">
        <f>+'LISTA TRABAJADORES'!H25</f>
        <v>0</v>
      </c>
      <c r="K26" s="86">
        <f>+I26*J26+'OTRAS PRESTACIONES'!AC26</f>
        <v>0</v>
      </c>
      <c r="L26" s="53">
        <f>IFERROR(IF('Datos y Resumen '!E60=1,0,VLOOKUP(K26,'TARIFAS 2025'!AZ37:BC47,1,1)),0)</f>
        <v>0</v>
      </c>
      <c r="M26" s="59">
        <f>IF('Datos y Resumen '!E60=1,0,K26-L26)</f>
        <v>0</v>
      </c>
      <c r="N26" s="55">
        <f>IFERROR(IF('Datos y Resumen '!E60=1,0,VLOOKUP(K26,'TARIFAS 2025'!AZ37:BC47,4,1)),0)</f>
        <v>0</v>
      </c>
      <c r="O26" s="59">
        <f t="shared" si="1"/>
        <v>0</v>
      </c>
      <c r="P26" s="53">
        <f>IFERROR(IF('Datos y Resumen '!E60=1,0,VLOOKUP(K26,'TARIFAS 2025'!AZ37:BC47,3,1)),0)</f>
        <v>0</v>
      </c>
      <c r="Q26" s="59">
        <f>+IF('Datos y Resumen '!$E$60=1,'COMPARACIÓN MENSUAL'!I137,'ISR '!O26+'ISR '!P26)</f>
        <v>0</v>
      </c>
      <c r="R26" s="59">
        <f>IFERROR(IF('Datos y Resumen '!$E$60=1,'AJUSTE AL SUBSIDIO '!K25,VLOOKUP(K26,'TARIFAS 2025'!AZ53:BB63,3,1)),0)</f>
        <v>0</v>
      </c>
      <c r="S26" s="53">
        <f t="shared" si="2"/>
        <v>0</v>
      </c>
      <c r="T26" s="53">
        <f t="shared" si="3"/>
        <v>0</v>
      </c>
      <c r="U26" s="59">
        <f t="shared" si="0"/>
        <v>0</v>
      </c>
    </row>
    <row r="27" spans="2:21" x14ac:dyDescent="0.25">
      <c r="E27" s="50" t="s">
        <v>95</v>
      </c>
      <c r="F27" s="37">
        <f>+'LISTA TRABAJADORES'!F26</f>
        <v>0</v>
      </c>
      <c r="G27" s="37">
        <f>+'LISTA TRABAJADORES'!G26</f>
        <v>0</v>
      </c>
      <c r="H27" s="62">
        <v>15</v>
      </c>
      <c r="I27" s="62">
        <v>15</v>
      </c>
      <c r="J27" s="59">
        <f>+'LISTA TRABAJADORES'!H26</f>
        <v>0</v>
      </c>
      <c r="K27" s="86">
        <f>+I27*J27+'OTRAS PRESTACIONES'!AC27</f>
        <v>0</v>
      </c>
      <c r="L27" s="53">
        <f>IFERROR(IF('Datos y Resumen '!E60=1,0,VLOOKUP(K27,'TARIFAS 2025'!BF37:BI47,1,1)),0)</f>
        <v>0</v>
      </c>
      <c r="M27" s="59">
        <f>IF('Datos y Resumen '!E60=1,0,K27-L27)</f>
        <v>0</v>
      </c>
      <c r="N27" s="55">
        <f>IFERROR(IF('Datos y Resumen '!E60=1,0,VLOOKUP(K27,'TARIFAS 2025'!BF37:BI47,4,1)),0)</f>
        <v>0</v>
      </c>
      <c r="O27" s="59">
        <f t="shared" si="1"/>
        <v>0</v>
      </c>
      <c r="P27" s="53">
        <f>IFERROR(IF('Datos y Resumen '!E60=1,0,VLOOKUP(K27,'TARIFAS 2025'!BF37:BI47,3,1)),0)</f>
        <v>0</v>
      </c>
      <c r="Q27" s="59">
        <f>+IF('Datos y Resumen '!$E$60=1,'COMPARACIÓN MENSUAL'!R137,'ISR '!O27+'ISR '!P27)</f>
        <v>0</v>
      </c>
      <c r="R27" s="59">
        <f>IFERROR(IF('Datos y Resumen '!$E$60=1,'AJUSTE AL SUBSIDIO '!K26,VLOOKUP(K27,'TARIFAS 2025'!BF53:BH63,3,1)),0)</f>
        <v>0</v>
      </c>
      <c r="S27" s="53">
        <f t="shared" si="2"/>
        <v>0</v>
      </c>
      <c r="T27" s="53">
        <f t="shared" si="3"/>
        <v>0</v>
      </c>
      <c r="U27" s="59">
        <f t="shared" si="0"/>
        <v>0</v>
      </c>
    </row>
    <row r="28" spans="2:21" x14ac:dyDescent="0.25">
      <c r="E28" s="50" t="s">
        <v>96</v>
      </c>
      <c r="F28" s="37">
        <f>+'LISTA TRABAJADORES'!F27</f>
        <v>0</v>
      </c>
      <c r="G28" s="37">
        <f>+'LISTA TRABAJADORES'!G27</f>
        <v>0</v>
      </c>
      <c r="H28" s="62">
        <v>15</v>
      </c>
      <c r="I28" s="62">
        <v>15</v>
      </c>
      <c r="J28" s="59">
        <f>+'LISTA TRABAJADORES'!H27</f>
        <v>0</v>
      </c>
      <c r="K28" s="86">
        <f>+I28*J28+'OTRAS PRESTACIONES'!AC28</f>
        <v>0</v>
      </c>
      <c r="L28" s="53">
        <f>IFERROR(IF('Datos y Resumen '!E60=1,0,VLOOKUP(K28,'TARIFAS 2025'!D70:G80,1,1)),0)</f>
        <v>0</v>
      </c>
      <c r="M28" s="59">
        <f>IF('Datos y Resumen '!E60=1,0,K28-L28)</f>
        <v>0</v>
      </c>
      <c r="N28" s="55">
        <f>IFERROR(IF('Datos y Resumen '!E60=1,0,VLOOKUP(K28,'TARIFAS 2025'!D70:G80,4,1)),0)</f>
        <v>0</v>
      </c>
      <c r="O28" s="59">
        <f t="shared" si="1"/>
        <v>0</v>
      </c>
      <c r="P28" s="53">
        <f>IFERROR(IF('Datos y Resumen '!E60=1,0,VLOOKUP(K28,'TARIFAS 2025'!D70:G80,3,1)),0)</f>
        <v>0</v>
      </c>
      <c r="Q28" s="59">
        <f>+IF('Datos y Resumen '!$E$60=1,'COMPARACIÓN MENSUAL'!I151,'ISR '!O28+'ISR '!P28)</f>
        <v>0</v>
      </c>
      <c r="R28" s="59">
        <f>IFERROR(IF('Datos y Resumen '!$E$60=1,'AJUSTE AL SUBSIDIO '!K27,VLOOKUP(K28,'TARIFAS 2025'!D86:F96,3,1)),0)</f>
        <v>0</v>
      </c>
      <c r="S28" s="53">
        <f t="shared" si="2"/>
        <v>0</v>
      </c>
      <c r="T28" s="53">
        <f t="shared" si="3"/>
        <v>0</v>
      </c>
      <c r="U28" s="59">
        <f t="shared" si="0"/>
        <v>0</v>
      </c>
    </row>
    <row r="29" spans="2:21" x14ac:dyDescent="0.25">
      <c r="E29" s="50" t="s">
        <v>97</v>
      </c>
      <c r="F29" s="37">
        <f>+'LISTA TRABAJADORES'!F28</f>
        <v>0</v>
      </c>
      <c r="G29" s="37">
        <f>+'LISTA TRABAJADORES'!G28</f>
        <v>0</v>
      </c>
      <c r="H29" s="62">
        <v>15</v>
      </c>
      <c r="I29" s="62">
        <v>15</v>
      </c>
      <c r="J29" s="59">
        <f>+'LISTA TRABAJADORES'!H28</f>
        <v>0</v>
      </c>
      <c r="K29" s="86">
        <f>+I29*J29+'OTRAS PRESTACIONES'!AC29</f>
        <v>0</v>
      </c>
      <c r="L29" s="53">
        <f>IFERROR(IF('Datos y Resumen '!E60=1,0,VLOOKUP(K29,'TARIFAS 2025'!J70:M80,1,1)),0)</f>
        <v>0</v>
      </c>
      <c r="M29" s="59">
        <f>IF('Datos y Resumen '!E60=1,0,K29-L29)</f>
        <v>0</v>
      </c>
      <c r="N29" s="55">
        <f>IFERROR(IF('Datos y Resumen '!E60=1,0,VLOOKUP(K29,'TARIFAS 2025'!J70:M80,4,1)),0)</f>
        <v>0</v>
      </c>
      <c r="O29" s="59">
        <f t="shared" si="1"/>
        <v>0</v>
      </c>
      <c r="P29" s="53">
        <f>IFERROR(IF('Datos y Resumen '!E60=1,0,VLOOKUP(K29,'TARIFAS 2025'!J70:M80,3,1)),0)</f>
        <v>0</v>
      </c>
      <c r="Q29" s="59">
        <f>+IF('Datos y Resumen '!$E$60=1,'COMPARACIÓN MENSUAL'!R151,'ISR '!O29+'ISR '!P29)</f>
        <v>0</v>
      </c>
      <c r="R29" s="59">
        <f>IFERROR(IF('Datos y Resumen '!$E$60=1,'AJUSTE AL SUBSIDIO '!K28,VLOOKUP(K29,'TARIFAS 2025'!J86:L96,3,1)),0)</f>
        <v>0</v>
      </c>
      <c r="S29" s="53">
        <f t="shared" si="2"/>
        <v>0</v>
      </c>
      <c r="T29" s="53">
        <f t="shared" si="3"/>
        <v>0</v>
      </c>
      <c r="U29" s="59">
        <f t="shared" si="0"/>
        <v>0</v>
      </c>
    </row>
    <row r="30" spans="2:21" x14ac:dyDescent="0.25">
      <c r="E30" s="50" t="s">
        <v>98</v>
      </c>
      <c r="F30" s="37">
        <f>+'LISTA TRABAJADORES'!F29</f>
        <v>0</v>
      </c>
      <c r="G30" s="37">
        <f>+'LISTA TRABAJADORES'!G29</f>
        <v>0</v>
      </c>
      <c r="H30" s="62">
        <v>15</v>
      </c>
      <c r="I30" s="62">
        <v>15</v>
      </c>
      <c r="J30" s="59">
        <f>+'LISTA TRABAJADORES'!H29</f>
        <v>0</v>
      </c>
      <c r="K30" s="86">
        <f>+I30*J30+'OTRAS PRESTACIONES'!AC30</f>
        <v>0</v>
      </c>
      <c r="L30" s="53">
        <f>IFERROR(IF('Datos y Resumen '!E60=1,0,VLOOKUP(K30,'TARIFAS 2025'!P70:S80,1,1)),0)</f>
        <v>0</v>
      </c>
      <c r="M30" s="59">
        <f>IF('Datos y Resumen '!E60=1,0,K30-L30)</f>
        <v>0</v>
      </c>
      <c r="N30" s="55">
        <f>IFERROR(IF('Datos y Resumen '!E60=1,0,VLOOKUP(K30,'TARIFAS 2025'!P70:S80,4,1)),0)</f>
        <v>0</v>
      </c>
      <c r="O30" s="59">
        <f t="shared" si="1"/>
        <v>0</v>
      </c>
      <c r="P30" s="53">
        <f>IFERROR(IF('Datos y Resumen '!E60=1,0,VLOOKUP(K30,'TARIFAS 2025'!P70:S80,3,1)),0)</f>
        <v>0</v>
      </c>
      <c r="Q30" s="59">
        <f>+IF('Datos y Resumen '!$E$60=1,'COMPARACIÓN MENSUAL'!I165,'ISR '!O30+'ISR '!P30)</f>
        <v>0</v>
      </c>
      <c r="R30" s="59">
        <f>IFERROR(IF('Datos y Resumen '!$E$60=1,'AJUSTE AL SUBSIDIO '!K29,VLOOKUP(K30,'TARIFAS 2025'!P86:R96,3,1)),0)</f>
        <v>0</v>
      </c>
      <c r="S30" s="53">
        <f t="shared" si="2"/>
        <v>0</v>
      </c>
      <c r="T30" s="53">
        <f t="shared" si="3"/>
        <v>0</v>
      </c>
      <c r="U30" s="59">
        <f t="shared" si="0"/>
        <v>0</v>
      </c>
    </row>
    <row r="31" spans="2:21" x14ac:dyDescent="0.25">
      <c r="E31" s="50" t="s">
        <v>99</v>
      </c>
      <c r="F31" s="37">
        <f>+'LISTA TRABAJADORES'!F30</f>
        <v>0</v>
      </c>
      <c r="G31" s="37">
        <f>+'LISTA TRABAJADORES'!G30</f>
        <v>0</v>
      </c>
      <c r="H31" s="62">
        <v>15</v>
      </c>
      <c r="I31" s="62">
        <v>15</v>
      </c>
      <c r="J31" s="59">
        <f>+'LISTA TRABAJADORES'!H30</f>
        <v>0</v>
      </c>
      <c r="K31" s="86">
        <f>+I31*J31+'OTRAS PRESTACIONES'!AC31</f>
        <v>0</v>
      </c>
      <c r="L31" s="53">
        <f>IFERROR(IF('Datos y Resumen '!E60=1,0,VLOOKUP(K31,'TARIFAS 2025'!V70:Y80,1,TRUE)),0)</f>
        <v>0</v>
      </c>
      <c r="M31" s="59">
        <f>IF('Datos y Resumen '!E60=1,0,K31-L31)</f>
        <v>0</v>
      </c>
      <c r="N31" s="55">
        <f>IFERROR(IF('Datos y Resumen '!E60=1,0,VLOOKUP(K31,'TARIFAS 2025'!V70:Y80,4,1)),0)</f>
        <v>0</v>
      </c>
      <c r="O31" s="59">
        <f t="shared" si="1"/>
        <v>0</v>
      </c>
      <c r="P31" s="53">
        <f>IFERROR(IF('Datos y Resumen '!E60=1,0,VLOOKUP(K31,'TARIFAS 2025'!V70:Y80,3,1)),0)</f>
        <v>0</v>
      </c>
      <c r="Q31" s="59">
        <f>+IF('Datos y Resumen '!$E$60=1,'COMPARACIÓN MENSUAL'!R165,'ISR '!O31+'ISR '!P31)</f>
        <v>0</v>
      </c>
      <c r="R31" s="59">
        <f>IFERROR(IF('Datos y Resumen '!$E$60=1,'AJUSTE AL SUBSIDIO '!K30,VLOOKUP(K31,'TARIFAS 2025'!V86:X96,3,1)),0)</f>
        <v>0</v>
      </c>
      <c r="S31" s="53">
        <f t="shared" si="2"/>
        <v>0</v>
      </c>
      <c r="T31" s="53">
        <f t="shared" si="3"/>
        <v>0</v>
      </c>
      <c r="U31" s="59">
        <f t="shared" si="0"/>
        <v>0</v>
      </c>
    </row>
    <row r="32" spans="2:21" x14ac:dyDescent="0.25">
      <c r="E32" s="50" t="s">
        <v>100</v>
      </c>
      <c r="F32" s="37">
        <f>+'LISTA TRABAJADORES'!F31</f>
        <v>0</v>
      </c>
      <c r="G32" s="37">
        <f>+'LISTA TRABAJADORES'!G31</f>
        <v>0</v>
      </c>
      <c r="H32" s="62">
        <v>15</v>
      </c>
      <c r="I32" s="62">
        <v>15</v>
      </c>
      <c r="J32" s="59">
        <f>+'LISTA TRABAJADORES'!H31</f>
        <v>0</v>
      </c>
      <c r="K32" s="86">
        <f>+I32*J32+'OTRAS PRESTACIONES'!AC32</f>
        <v>0</v>
      </c>
      <c r="L32" s="53">
        <f>IFERROR(IF('Datos y Resumen '!E60=1,0,VLOOKUP(K32,'TARIFAS 2025'!AB70:AE80,1,1)),0)</f>
        <v>0</v>
      </c>
      <c r="M32" s="59">
        <f>IF('Datos y Resumen '!E60=1,0,K32-L32)</f>
        <v>0</v>
      </c>
      <c r="N32" s="55">
        <f>IFERROR(IF('Datos y Resumen '!E60=1,0,VLOOKUP(K32,'TARIFAS 2025'!AB70:AE80,4,1)),0)</f>
        <v>0</v>
      </c>
      <c r="O32" s="59">
        <f t="shared" si="1"/>
        <v>0</v>
      </c>
      <c r="P32" s="53">
        <f>IFERROR(IF('Datos y Resumen '!E60=1,0,VLOOKUP(K32,'TARIFAS 2025'!AB70:AE80,3,1)),0)</f>
        <v>0</v>
      </c>
      <c r="Q32" s="59">
        <f>+IF('Datos y Resumen '!$E$60=1,'COMPARACIÓN MENSUAL'!I179,'ISR '!O32+'ISR '!P32)</f>
        <v>0</v>
      </c>
      <c r="R32" s="59">
        <f>IFERROR(IF('Datos y Resumen '!$E$60=1,'AJUSTE AL SUBSIDIO '!K31,VLOOKUP(K32,'TARIFAS 2025'!AB86:AD96,3,1)),0)</f>
        <v>0</v>
      </c>
      <c r="S32" s="53">
        <f t="shared" si="2"/>
        <v>0</v>
      </c>
      <c r="T32" s="53">
        <f t="shared" si="3"/>
        <v>0</v>
      </c>
      <c r="U32" s="59">
        <f t="shared" si="0"/>
        <v>0</v>
      </c>
    </row>
    <row r="33" spans="5:21" x14ac:dyDescent="0.25">
      <c r="E33" s="50" t="s">
        <v>101</v>
      </c>
      <c r="F33" s="37">
        <f>+'LISTA TRABAJADORES'!F32</f>
        <v>0</v>
      </c>
      <c r="G33" s="37">
        <f>+'LISTA TRABAJADORES'!G32</f>
        <v>0</v>
      </c>
      <c r="H33" s="62">
        <v>15</v>
      </c>
      <c r="I33" s="62">
        <v>15</v>
      </c>
      <c r="J33" s="59">
        <f>+'LISTA TRABAJADORES'!H32</f>
        <v>0</v>
      </c>
      <c r="K33" s="86">
        <f>+I33*J33+'OTRAS PRESTACIONES'!AC33</f>
        <v>0</v>
      </c>
      <c r="L33" s="53">
        <f>IFERROR(IF('Datos y Resumen '!E60=1,0,VLOOKUP(K33,'TARIFAS 2025'!AH70:AK80,1,1)),0)</f>
        <v>0</v>
      </c>
      <c r="M33" s="59">
        <f>IF('Datos y Resumen '!E60=1,0,K33-L33)</f>
        <v>0</v>
      </c>
      <c r="N33" s="55">
        <f>IFERROR(IF('Datos y Resumen '!E60=1,0,VLOOKUP(K33,'TARIFAS 2025'!AH70:AK80,4,4)),0)</f>
        <v>0</v>
      </c>
      <c r="O33" s="59">
        <f t="shared" si="1"/>
        <v>0</v>
      </c>
      <c r="P33" s="53">
        <f>IFERROR(IF('Datos y Resumen '!E60=1,0,VLOOKUP(K33,'TARIFAS 2025'!AH70:AK80,3,1)),0)</f>
        <v>0</v>
      </c>
      <c r="Q33" s="59">
        <f>+IF('Datos y Resumen '!$E$60=1,'COMPARACIÓN MENSUAL'!R179,'ISR '!O33+'ISR '!P33)</f>
        <v>0</v>
      </c>
      <c r="R33" s="59">
        <f>IFERROR(IF('Datos y Resumen '!$E$60=1,'AJUSTE AL SUBSIDIO '!K32,VLOOKUP(K33,'TARIFAS 2025'!AH86:AJ96,3,1)),0)</f>
        <v>0</v>
      </c>
      <c r="S33" s="53">
        <f t="shared" si="2"/>
        <v>0</v>
      </c>
      <c r="T33" s="53">
        <f t="shared" si="3"/>
        <v>0</v>
      </c>
      <c r="U33" s="59">
        <f t="shared" si="0"/>
        <v>0</v>
      </c>
    </row>
    <row r="34" spans="5:21" x14ac:dyDescent="0.25">
      <c r="E34" s="50" t="s">
        <v>102</v>
      </c>
      <c r="F34" s="37">
        <f>+'LISTA TRABAJADORES'!F33</f>
        <v>0</v>
      </c>
      <c r="G34" s="37">
        <f>+'LISTA TRABAJADORES'!G33</f>
        <v>0</v>
      </c>
      <c r="H34" s="62">
        <v>15</v>
      </c>
      <c r="I34" s="62">
        <v>15</v>
      </c>
      <c r="J34" s="59">
        <f>+'LISTA TRABAJADORES'!H33</f>
        <v>0</v>
      </c>
      <c r="K34" s="86">
        <f>+I34*J34+'OTRAS PRESTACIONES'!AC34</f>
        <v>0</v>
      </c>
      <c r="L34" s="53">
        <f>IFERROR(IF('Datos y Resumen '!E60=1,0,VLOOKUP(K34,'TARIFAS 2025'!AN70:AQ80,1,1)),0)</f>
        <v>0</v>
      </c>
      <c r="M34" s="59">
        <f>IF('Datos y Resumen '!E60=1,0,K34-L34)</f>
        <v>0</v>
      </c>
      <c r="N34" s="55">
        <f>IFERROR(IF('Datos y Resumen '!E60=1,0,VLOOKUP(K34,'TARIFAS 2025'!AN70:AQ80,4,1)),0)</f>
        <v>0</v>
      </c>
      <c r="O34" s="59">
        <f t="shared" si="1"/>
        <v>0</v>
      </c>
      <c r="P34" s="53">
        <f>IFERROR(IF('Datos y Resumen '!E60=1,0,VLOOKUP(K34,'TARIFAS 2025'!AN70:AQ80,3,1)),0)</f>
        <v>0</v>
      </c>
      <c r="Q34" s="59">
        <f>+IF('Datos y Resumen '!$E$60=1,'COMPARACIÓN MENSUAL'!I193,'ISR '!O34+'ISR '!P34)</f>
        <v>0</v>
      </c>
      <c r="R34" s="59">
        <f>IFERROR(IF('Datos y Resumen '!$E$60=1,'AJUSTE AL SUBSIDIO '!K33,VLOOKUP(K34,'TARIFAS 2025'!AN86:AP96,3,1)),0)</f>
        <v>0</v>
      </c>
      <c r="S34" s="53">
        <f t="shared" si="2"/>
        <v>0</v>
      </c>
      <c r="T34" s="53">
        <f t="shared" si="3"/>
        <v>0</v>
      </c>
      <c r="U34" s="59">
        <f t="shared" si="0"/>
        <v>0</v>
      </c>
    </row>
    <row r="35" spans="5:21" x14ac:dyDescent="0.25">
      <c r="E35" s="50" t="s">
        <v>103</v>
      </c>
      <c r="F35" s="37">
        <f>+'LISTA TRABAJADORES'!F34</f>
        <v>0</v>
      </c>
      <c r="G35" s="37">
        <f>+'LISTA TRABAJADORES'!G34</f>
        <v>0</v>
      </c>
      <c r="H35" s="62">
        <v>15</v>
      </c>
      <c r="I35" s="62">
        <v>15</v>
      </c>
      <c r="J35" s="59">
        <f>+'LISTA TRABAJADORES'!H34</f>
        <v>0</v>
      </c>
      <c r="K35" s="86">
        <f>+I35*J35+'OTRAS PRESTACIONES'!AC35</f>
        <v>0</v>
      </c>
      <c r="L35" s="53">
        <f>IFERROR(IF('Datos y Resumen '!E60=1,0,VLOOKUP(K35,'TARIFAS 2025'!AT70:AW80,1,1)),0)</f>
        <v>0</v>
      </c>
      <c r="M35" s="59">
        <f>IF('Datos y Resumen '!E60=1,0,K35-L35)</f>
        <v>0</v>
      </c>
      <c r="N35" s="55">
        <f>IFERROR(IF('Datos y Resumen '!E60=1,0,VLOOKUP(K35,'TARIFAS 2025'!AT70:AW80,4,1)),0)</f>
        <v>0</v>
      </c>
      <c r="O35" s="59">
        <f t="shared" si="1"/>
        <v>0</v>
      </c>
      <c r="P35" s="53">
        <f>IFERROR(IF('Datos y Resumen '!E60=1,0,VLOOKUP(K35,'TARIFAS 2025'!AT70:AW80,3,1)),0)</f>
        <v>0</v>
      </c>
      <c r="Q35" s="59">
        <f>+IF('Datos y Resumen '!$E$60=1,'COMPARACIÓN MENSUAL'!R193,'ISR '!O35+'ISR '!P35)</f>
        <v>0</v>
      </c>
      <c r="R35" s="59">
        <f>IFERROR(IF('Datos y Resumen '!$E$60=1,'AJUSTE AL SUBSIDIO '!K34,VLOOKUP(K35,'TARIFAS 2025'!AT86:AV96,3,1)),0)</f>
        <v>0</v>
      </c>
      <c r="S35" s="53">
        <f t="shared" si="2"/>
        <v>0</v>
      </c>
      <c r="T35" s="53">
        <f t="shared" si="3"/>
        <v>0</v>
      </c>
      <c r="U35" s="59">
        <f t="shared" si="0"/>
        <v>0</v>
      </c>
    </row>
    <row r="36" spans="5:21" x14ac:dyDescent="0.25">
      <c r="E36" s="50" t="s">
        <v>104</v>
      </c>
      <c r="F36" s="37">
        <f>+'LISTA TRABAJADORES'!F35</f>
        <v>0</v>
      </c>
      <c r="G36" s="37">
        <f>+'LISTA TRABAJADORES'!G35</f>
        <v>0</v>
      </c>
      <c r="H36" s="62">
        <v>15</v>
      </c>
      <c r="I36" s="62">
        <v>15</v>
      </c>
      <c r="J36" s="59">
        <f>+'LISTA TRABAJADORES'!H35</f>
        <v>0</v>
      </c>
      <c r="K36" s="86">
        <f>+I36*J36+'OTRAS PRESTACIONES'!AC36</f>
        <v>0</v>
      </c>
      <c r="L36" s="53">
        <f>IFERROR(IF('Datos y Resumen '!E60=1,0,VLOOKUP(K36,'TARIFAS 2025'!AZ70:BC80,1,1)),0)</f>
        <v>0</v>
      </c>
      <c r="M36" s="59">
        <f>IF('Datos y Resumen '!E60=1,0,K36-L36)</f>
        <v>0</v>
      </c>
      <c r="N36" s="55">
        <f>IFERROR(IF('Datos y Resumen '!E60=1,0,VLOOKUP(K36,'TARIFAS 2025'!AZ70:BC80,4,1)),0)</f>
        <v>0</v>
      </c>
      <c r="O36" s="59">
        <f t="shared" si="1"/>
        <v>0</v>
      </c>
      <c r="P36" s="53">
        <f>IFERROR(IF('Datos y Resumen '!E60=1,0,VLOOKUP(K36,'TARIFAS 2025'!AZ70:BC80,3,1)),0)</f>
        <v>0</v>
      </c>
      <c r="Q36" s="59">
        <f>+IF('Datos y Resumen '!$E$60=1,'COMPARACIÓN MENSUAL'!I207,'ISR '!O36+'ISR '!P36)</f>
        <v>0</v>
      </c>
      <c r="R36" s="59">
        <f>IFERROR(IF('Datos y Resumen '!$E$60=1,'AJUSTE AL SUBSIDIO '!K35,VLOOKUP(K36,'TARIFAS 2025'!AZ86:BB96,3,1)),0)</f>
        <v>0</v>
      </c>
      <c r="S36" s="53">
        <f t="shared" si="2"/>
        <v>0</v>
      </c>
      <c r="T36" s="53">
        <f t="shared" si="3"/>
        <v>0</v>
      </c>
      <c r="U36" s="59">
        <f t="shared" si="0"/>
        <v>0</v>
      </c>
    </row>
    <row r="37" spans="5:21" x14ac:dyDescent="0.25">
      <c r="E37" s="50" t="s">
        <v>105</v>
      </c>
      <c r="F37" s="37">
        <f>+'LISTA TRABAJADORES'!F36</f>
        <v>0</v>
      </c>
      <c r="G37" s="37">
        <f>+'LISTA TRABAJADORES'!G36</f>
        <v>0</v>
      </c>
      <c r="H37" s="62">
        <v>15</v>
      </c>
      <c r="I37" s="62">
        <v>15</v>
      </c>
      <c r="J37" s="59">
        <f>+'LISTA TRABAJADORES'!H36</f>
        <v>0</v>
      </c>
      <c r="K37" s="86">
        <f>+I37*J37+'OTRAS PRESTACIONES'!AC37</f>
        <v>0</v>
      </c>
      <c r="L37" s="53">
        <f>IFERROR(IF('Datos y Resumen '!E60=1,0,VLOOKUP(K37,'TARIFAS 2025'!BF70:BI80,1,1)),0)</f>
        <v>0</v>
      </c>
      <c r="M37" s="59">
        <f>IF('Datos y Resumen '!E60=1,0,K37-L37)</f>
        <v>0</v>
      </c>
      <c r="N37" s="55">
        <f>IFERROR(IF('Datos y Resumen '!E60=1,0,VLOOKUP(K37,'TARIFAS 2025'!BF70:BI80,4,1)),0)</f>
        <v>0</v>
      </c>
      <c r="O37" s="59">
        <f t="shared" si="1"/>
        <v>0</v>
      </c>
      <c r="P37" s="53">
        <f>IFERROR(IF('Datos y Resumen '!E60=1,0,VLOOKUP(K37,'TARIFAS 2025'!BF70:BI80,3,1)),0)</f>
        <v>0</v>
      </c>
      <c r="Q37" s="59">
        <f>+IF('Datos y Resumen '!$E$60=1,'COMPARACIÓN MENSUAL'!R207,'ISR '!O37+'ISR '!P37)</f>
        <v>0</v>
      </c>
      <c r="R37" s="59">
        <f>IFERROR(IF('Datos y Resumen '!$E$60=1,'AJUSTE AL SUBSIDIO '!K36,VLOOKUP(K37,'TARIFAS 2025'!BF86:BH96,3,1)),0)</f>
        <v>0</v>
      </c>
      <c r="S37" s="53">
        <f t="shared" si="2"/>
        <v>0</v>
      </c>
      <c r="T37" s="53">
        <f t="shared" si="3"/>
        <v>0</v>
      </c>
      <c r="U37" s="59">
        <f t="shared" si="0"/>
        <v>0</v>
      </c>
    </row>
    <row r="38" spans="5:21" x14ac:dyDescent="0.25">
      <c r="E38" s="50" t="s">
        <v>106</v>
      </c>
      <c r="F38" s="37">
        <f>+'LISTA TRABAJADORES'!F37</f>
        <v>0</v>
      </c>
      <c r="G38" s="37">
        <f>+'LISTA TRABAJADORES'!G37</f>
        <v>0</v>
      </c>
      <c r="H38" s="62">
        <v>15</v>
      </c>
      <c r="I38" s="62">
        <v>15</v>
      </c>
      <c r="J38" s="59">
        <f>+'LISTA TRABAJADORES'!H37</f>
        <v>0</v>
      </c>
      <c r="K38" s="86">
        <f>+I38*J38+'OTRAS PRESTACIONES'!AC38</f>
        <v>0</v>
      </c>
      <c r="L38" s="53">
        <f>IFERROR(IF('Datos y Resumen '!E60=1,0,VLOOKUP(K38,'TARIFAS 2025'!D102:G112,1,1)),0)</f>
        <v>0</v>
      </c>
      <c r="M38" s="59">
        <f>IF('Datos y Resumen '!E60=1,0,K38-L38)</f>
        <v>0</v>
      </c>
      <c r="N38" s="55">
        <f>IFERROR(IF('Datos y Resumen '!E60=1,0,VLOOKUP(K38,'TARIFAS 2025'!D102:G112,4,1)),0)</f>
        <v>0</v>
      </c>
      <c r="O38" s="59">
        <f t="shared" si="1"/>
        <v>0</v>
      </c>
      <c r="P38" s="53">
        <f>IFERROR(IF('Datos y Resumen '!E60=1,0,VLOOKUP(K38,'TARIFAS 2025'!D102:G112,3,1)),0)</f>
        <v>0</v>
      </c>
      <c r="Q38" s="59">
        <f>+IF('Datos y Resumen '!$E$60=1,'COMPARACIÓN MENSUAL'!I221,'ISR '!O38+'ISR '!P38)</f>
        <v>0</v>
      </c>
      <c r="R38" s="59">
        <f>IFERROR(IF('Datos y Resumen '!$E$60=1,'AJUSTE AL SUBSIDIO '!K37,VLOOKUP(K38,'TARIFAS 2025'!D118:F128,3,1)),0)</f>
        <v>0</v>
      </c>
      <c r="S38" s="53">
        <f t="shared" si="2"/>
        <v>0</v>
      </c>
      <c r="T38" s="53">
        <f t="shared" si="3"/>
        <v>0</v>
      </c>
      <c r="U38" s="59">
        <f t="shared" si="0"/>
        <v>0</v>
      </c>
    </row>
    <row r="39" spans="5:21" x14ac:dyDescent="0.25">
      <c r="E39" s="50" t="s">
        <v>107</v>
      </c>
      <c r="F39" s="37">
        <f>+'LISTA TRABAJADORES'!F38</f>
        <v>0</v>
      </c>
      <c r="G39" s="37">
        <f>+'LISTA TRABAJADORES'!G38</f>
        <v>0</v>
      </c>
      <c r="H39" s="62">
        <v>15</v>
      </c>
      <c r="I39" s="62">
        <v>15</v>
      </c>
      <c r="J39" s="59">
        <f>+'LISTA TRABAJADORES'!H38</f>
        <v>0</v>
      </c>
      <c r="K39" s="86">
        <f>+I39*J39+'OTRAS PRESTACIONES'!AC39</f>
        <v>0</v>
      </c>
      <c r="L39" s="53">
        <f>IFERROR(IF('Datos y Resumen '!E60=1,0,VLOOKUP(K39,'TARIFAS 2025'!J102:M112,1,1)),0)</f>
        <v>0</v>
      </c>
      <c r="M39" s="59">
        <f>IF('Datos y Resumen '!E60=1,0,K39-L39)</f>
        <v>0</v>
      </c>
      <c r="N39" s="55">
        <f>IFERROR(IF('Datos y Resumen '!E60=1,0,VLOOKUP(K39,'TARIFAS 2025'!J102:M112,4,1)),0)</f>
        <v>0</v>
      </c>
      <c r="O39" s="59">
        <f t="shared" si="1"/>
        <v>0</v>
      </c>
      <c r="P39" s="53">
        <f>IFERROR(IF('Datos y Resumen '!E60=1,0,VLOOKUP(K39,'TARIFAS 2025'!J102:M112,3,1)),0)</f>
        <v>0</v>
      </c>
      <c r="Q39" s="59">
        <f>+IF('Datos y Resumen '!$E$60=1,'COMPARACIÓN MENSUAL'!R221,'ISR '!O39+'ISR '!P39)</f>
        <v>0</v>
      </c>
      <c r="R39" s="59">
        <f>IFERROR(IF('Datos y Resumen '!$E$60=1,'AJUSTE AL SUBSIDIO '!K38,VLOOKUP(K39,'TARIFAS 2025'!J118:L128,3,1)),0)</f>
        <v>0</v>
      </c>
      <c r="S39" s="53">
        <f t="shared" si="2"/>
        <v>0</v>
      </c>
      <c r="T39" s="53">
        <f t="shared" si="3"/>
        <v>0</v>
      </c>
      <c r="U39" s="59">
        <f t="shared" si="0"/>
        <v>0</v>
      </c>
    </row>
    <row r="40" spans="5:21" x14ac:dyDescent="0.25">
      <c r="E40" s="50" t="s">
        <v>108</v>
      </c>
      <c r="F40" s="37">
        <f>+'LISTA TRABAJADORES'!F39</f>
        <v>0</v>
      </c>
      <c r="G40" s="37">
        <f>+'LISTA TRABAJADORES'!G39</f>
        <v>0</v>
      </c>
      <c r="H40" s="62">
        <v>15</v>
      </c>
      <c r="I40" s="62">
        <v>15</v>
      </c>
      <c r="J40" s="59">
        <f>+'LISTA TRABAJADORES'!H39</f>
        <v>0</v>
      </c>
      <c r="K40" s="86">
        <f>+I40*J40+'OTRAS PRESTACIONES'!AC40</f>
        <v>0</v>
      </c>
      <c r="L40" s="53">
        <f>IFERROR(IF('Datos y Resumen '!E60=1,0,VLOOKUP(K40,'TARIFAS 2025'!P102:S112,1,1)),0)</f>
        <v>0</v>
      </c>
      <c r="M40" s="59">
        <f>IF('Datos y Resumen '!E60=1,0,K40-L40)</f>
        <v>0</v>
      </c>
      <c r="N40" s="55">
        <f>IFERROR(IF('Datos y Resumen '!E60=1,0,VLOOKUP(K40,'TARIFAS 2025'!P102:S112,4,1)),0)</f>
        <v>0</v>
      </c>
      <c r="O40" s="59">
        <f t="shared" si="1"/>
        <v>0</v>
      </c>
      <c r="P40" s="53">
        <f>IFERROR(IF('Datos y Resumen '!E60=1,0,VLOOKUP(K40,'TARIFAS 2025'!P11:S102,3,1)),0)</f>
        <v>0</v>
      </c>
      <c r="Q40" s="59">
        <f>+IF('Datos y Resumen '!$E$60=1,'COMPARACIÓN MENSUAL'!I235,'ISR '!O40+'ISR '!P40)</f>
        <v>0</v>
      </c>
      <c r="R40" s="59">
        <f>IFERROR(IF('Datos y Resumen '!$E$60=1,'AJUSTE AL SUBSIDIO '!K39,VLOOKUP(K40,'TARIFAS 2025'!P118:R128,3,1)),0)</f>
        <v>0</v>
      </c>
      <c r="S40" s="53">
        <f t="shared" si="2"/>
        <v>0</v>
      </c>
      <c r="T40" s="53">
        <f t="shared" si="3"/>
        <v>0</v>
      </c>
      <c r="U40" s="59">
        <f t="shared" si="0"/>
        <v>0</v>
      </c>
    </row>
    <row r="41" spans="5:21" x14ac:dyDescent="0.25">
      <c r="E41" s="50" t="s">
        <v>109</v>
      </c>
      <c r="F41" s="37">
        <f>+'LISTA TRABAJADORES'!F40</f>
        <v>0</v>
      </c>
      <c r="G41" s="37">
        <f>+'LISTA TRABAJADORES'!G40</f>
        <v>0</v>
      </c>
      <c r="H41" s="62">
        <v>15</v>
      </c>
      <c r="I41" s="62">
        <v>15</v>
      </c>
      <c r="J41" s="59">
        <f>+'LISTA TRABAJADORES'!H40</f>
        <v>0</v>
      </c>
      <c r="K41" s="86">
        <f>+I41*J41+'OTRAS PRESTACIONES'!AC41</f>
        <v>0</v>
      </c>
      <c r="L41" s="53">
        <f>IFERROR(IF('Datos y Resumen '!E60=1,0,VLOOKUP(K41,'TARIFAS 2025'!V102:Y112,1,1)),0)</f>
        <v>0</v>
      </c>
      <c r="M41" s="59">
        <f>IF('Datos y Resumen '!E60=1,0,K41-L41)</f>
        <v>0</v>
      </c>
      <c r="N41" s="55">
        <f>IFERROR(IF('Datos y Resumen '!E60=1,0,VLOOKUP(K41,'TARIFAS 2025'!V102:Y112,4,1)),0)</f>
        <v>0</v>
      </c>
      <c r="O41" s="59">
        <f t="shared" si="1"/>
        <v>0</v>
      </c>
      <c r="P41" s="53">
        <f>IFERROR(IF('Datos y Resumen '!E60=1,0,VLOOKUP(K41,'TARIFAS 2025'!V102:Y112,3,1)),0)</f>
        <v>0</v>
      </c>
      <c r="Q41" s="59">
        <f>+IF('Datos y Resumen '!$E$60=1,'COMPARACIÓN MENSUAL'!R235,'ISR '!O41+'ISR '!P41)</f>
        <v>0</v>
      </c>
      <c r="R41" s="59">
        <f>IFERROR(IF('Datos y Resumen '!$E$60=1,'AJUSTE AL SUBSIDIO '!K40,VLOOKUP(K41,'TARIFAS 2025'!V118:X128,3)),0)</f>
        <v>0</v>
      </c>
      <c r="S41" s="53">
        <f t="shared" si="2"/>
        <v>0</v>
      </c>
      <c r="T41" s="53">
        <f t="shared" si="3"/>
        <v>0</v>
      </c>
      <c r="U41" s="59">
        <f t="shared" si="0"/>
        <v>0</v>
      </c>
    </row>
    <row r="42" spans="5:21" x14ac:dyDescent="0.25">
      <c r="E42" s="50" t="s">
        <v>110</v>
      </c>
      <c r="F42" s="37">
        <f>+'LISTA TRABAJADORES'!F41</f>
        <v>0</v>
      </c>
      <c r="G42" s="37">
        <f>+'LISTA TRABAJADORES'!G41</f>
        <v>0</v>
      </c>
      <c r="H42" s="62">
        <v>15</v>
      </c>
      <c r="I42" s="62">
        <v>15</v>
      </c>
      <c r="J42" s="59">
        <f>+'LISTA TRABAJADORES'!H41</f>
        <v>0</v>
      </c>
      <c r="K42" s="86">
        <f>+I42*J42+'OTRAS PRESTACIONES'!AC42</f>
        <v>0</v>
      </c>
      <c r="L42" s="53">
        <f>IFERROR(IF('Datos y Resumen '!E60=1,0,VLOOKUP(K42,'TARIFAS 2025'!AB102:AE112,1,1)),0)</f>
        <v>0</v>
      </c>
      <c r="M42" s="59">
        <f>IF('Datos y Resumen '!E60=1,0,K42-L42)</f>
        <v>0</v>
      </c>
      <c r="N42" s="55">
        <f>IFERROR(IF('Datos y Resumen '!E60=1,0,VLOOKUP(K42,'TARIFAS 2025'!AB102:AE112,4,1)),0)</f>
        <v>0</v>
      </c>
      <c r="O42" s="59">
        <f t="shared" si="1"/>
        <v>0</v>
      </c>
      <c r="P42" s="53">
        <f>IFERROR(IF('Datos y Resumen '!E60=1,0,VLOOKUP(K42,'TARIFAS 2025'!AB102:AE112,3,1)),0)</f>
        <v>0</v>
      </c>
      <c r="Q42" s="59">
        <f>+IF('Datos y Resumen '!$E$60=1,'COMPARACIÓN MENSUAL'!I249,'ISR '!O42+'ISR '!P42)</f>
        <v>0</v>
      </c>
      <c r="R42" s="59">
        <f>IFERROR(IF('Datos y Resumen '!$E$60=1,'AJUSTE AL SUBSIDIO '!K41,VLOOKUP(K42,'TARIFAS 2025'!AB118:AD128,3,1)),0)</f>
        <v>0</v>
      </c>
      <c r="S42" s="53">
        <f t="shared" si="2"/>
        <v>0</v>
      </c>
      <c r="T42" s="53">
        <f t="shared" si="3"/>
        <v>0</v>
      </c>
      <c r="U42" s="59">
        <f t="shared" si="0"/>
        <v>0</v>
      </c>
    </row>
    <row r="43" spans="5:21" x14ac:dyDescent="0.25">
      <c r="E43" s="50" t="s">
        <v>111</v>
      </c>
      <c r="F43" s="37">
        <f>+'LISTA TRABAJADORES'!F42</f>
        <v>0</v>
      </c>
      <c r="G43" s="37">
        <f>+'LISTA TRABAJADORES'!G42</f>
        <v>0</v>
      </c>
      <c r="H43" s="62">
        <v>15</v>
      </c>
      <c r="I43" s="62">
        <v>15</v>
      </c>
      <c r="J43" s="59">
        <f>+'LISTA TRABAJADORES'!H42</f>
        <v>0</v>
      </c>
      <c r="K43" s="86">
        <f>+I43*J43+'OTRAS PRESTACIONES'!AC43</f>
        <v>0</v>
      </c>
      <c r="L43" s="53">
        <f>IFERROR(IF('Datos y Resumen '!E60=1,0,VLOOKUP(K43,'TARIFAS 2025'!AH102:AK112,1,1)),0)</f>
        <v>0</v>
      </c>
      <c r="M43" s="59">
        <f>IF('Datos y Resumen '!E60=1,0,K43-L43)</f>
        <v>0</v>
      </c>
      <c r="N43" s="55">
        <f>IFERROR(IF('Datos y Resumen '!E60=1,0,VLOOKUP(K43,'TARIFAS 2025'!AH102:AK112,4,1)),0)</f>
        <v>0</v>
      </c>
      <c r="O43" s="59">
        <f t="shared" si="1"/>
        <v>0</v>
      </c>
      <c r="P43" s="53">
        <f>IFERROR(IF('Datos y Resumen '!E60=1,0,VLOOKUP(K43,'TARIFAS 2025'!AH102:AK112,3,1)),0)</f>
        <v>0</v>
      </c>
      <c r="Q43" s="59">
        <f>+IF('Datos y Resumen '!$E$60=1,'COMPARACIÓN MENSUAL'!R249,'ISR '!O43+'ISR '!P43)</f>
        <v>0</v>
      </c>
      <c r="R43" s="59">
        <f>IFERROR(IF('Datos y Resumen '!$E$60=1,'AJUSTE AL SUBSIDIO '!K42,VLOOKUP(K43,'TARIFAS 2025'!AH118:AJ128,3,1)),0)</f>
        <v>0</v>
      </c>
      <c r="S43" s="53">
        <f t="shared" si="2"/>
        <v>0</v>
      </c>
      <c r="T43" s="53">
        <f t="shared" si="3"/>
        <v>0</v>
      </c>
      <c r="U43" s="59">
        <f t="shared" si="0"/>
        <v>0</v>
      </c>
    </row>
    <row r="44" spans="5:21" x14ac:dyDescent="0.25">
      <c r="E44" s="50" t="s">
        <v>112</v>
      </c>
      <c r="F44" s="37">
        <f>+'LISTA TRABAJADORES'!F43</f>
        <v>0</v>
      </c>
      <c r="G44" s="37">
        <f>+'LISTA TRABAJADORES'!G43</f>
        <v>0</v>
      </c>
      <c r="H44" s="62">
        <v>15</v>
      </c>
      <c r="I44" s="62">
        <v>15</v>
      </c>
      <c r="J44" s="59">
        <f>+'LISTA TRABAJADORES'!H43</f>
        <v>0</v>
      </c>
      <c r="K44" s="86">
        <f>+I44*J44+'OTRAS PRESTACIONES'!AC44</f>
        <v>0</v>
      </c>
      <c r="L44" s="53">
        <f>IFERROR(IF('Datos y Resumen '!E60=1,0,VLOOKUP(K44,'TARIFAS 2025'!AN102:AQ112,1,1)),0)</f>
        <v>0</v>
      </c>
      <c r="M44" s="59">
        <f>IF('Datos y Resumen '!E60=1,0,K44-L44)</f>
        <v>0</v>
      </c>
      <c r="N44" s="55">
        <f>IFERROR(IF('Datos y Resumen '!E60=1,0,VLOOKUP(K44,'TARIFAS 2025'!AN102:AQ112,4,1)),0)</f>
        <v>0</v>
      </c>
      <c r="O44" s="59">
        <f t="shared" si="1"/>
        <v>0</v>
      </c>
      <c r="P44" s="53">
        <f>IFERROR(IF('Datos y Resumen '!E60=1,0,VLOOKUP(K44,'TARIFAS 2025'!AN102:AQ112,3,1)),0)</f>
        <v>0</v>
      </c>
      <c r="Q44" s="59">
        <f>+IF('Datos y Resumen '!$E$60=1,'COMPARACIÓN MENSUAL'!I263,'ISR '!O44+'ISR '!P44)</f>
        <v>0</v>
      </c>
      <c r="R44" s="59">
        <f>IFERROR(IF('Datos y Resumen '!$E$60=1,'AJUSTE AL SUBSIDIO '!K43,VLOOKUP(K44,'TARIFAS 2025'!AN118:AP128,3,1)),0)</f>
        <v>0</v>
      </c>
      <c r="S44" s="53">
        <f t="shared" si="2"/>
        <v>0</v>
      </c>
      <c r="T44" s="53">
        <f t="shared" si="3"/>
        <v>0</v>
      </c>
      <c r="U44" s="59">
        <f t="shared" si="0"/>
        <v>0</v>
      </c>
    </row>
    <row r="45" spans="5:21" x14ac:dyDescent="0.25">
      <c r="E45" s="50" t="s">
        <v>114</v>
      </c>
      <c r="F45" s="37">
        <f>+'LISTA TRABAJADORES'!F44</f>
        <v>0</v>
      </c>
      <c r="G45" s="37">
        <f>+'LISTA TRABAJADORES'!G44</f>
        <v>0</v>
      </c>
      <c r="H45" s="62">
        <v>15</v>
      </c>
      <c r="I45" s="62">
        <v>15</v>
      </c>
      <c r="J45" s="59">
        <f>+'LISTA TRABAJADORES'!H44</f>
        <v>0</v>
      </c>
      <c r="K45" s="86">
        <f>+I45*J45+'OTRAS PRESTACIONES'!AC45</f>
        <v>0</v>
      </c>
      <c r="L45" s="53">
        <f>IFERROR(IF('Datos y Resumen '!E60=1,0,VLOOKUP(K45,'TARIFAS 2025'!AT102:AW112,1,1)),0)</f>
        <v>0</v>
      </c>
      <c r="M45" s="59">
        <f>IF('Datos y Resumen '!E60=1,0,K45-L45)</f>
        <v>0</v>
      </c>
      <c r="N45" s="55">
        <f>IFERROR(IF('Datos y Resumen '!E60=1,0,VLOOKUP(K45,'TARIFAS 2025'!AT102:AW112,4,1)),0)</f>
        <v>0</v>
      </c>
      <c r="O45" s="59">
        <f t="shared" si="1"/>
        <v>0</v>
      </c>
      <c r="P45" s="53">
        <f>IFERROR(IF('Datos y Resumen '!E60=1,0,VLOOKUP(K45,'TARIFAS 2025'!AT102:AW112,3,1)),0)</f>
        <v>0</v>
      </c>
      <c r="Q45" s="59">
        <f>+IF('Datos y Resumen '!$E$60=1,'COMPARACIÓN MENSUAL'!R263,'ISR '!O45+'ISR '!P45)</f>
        <v>0</v>
      </c>
      <c r="R45" s="59">
        <f>IFERROR(IF('Datos y Resumen '!$E$60=1,'AJUSTE AL SUBSIDIO '!K44,VLOOKUP(K45,'TARIFAS 2025'!AT118:AV128,3,1)),0)</f>
        <v>0</v>
      </c>
      <c r="S45" s="53">
        <f t="shared" si="2"/>
        <v>0</v>
      </c>
      <c r="T45" s="53">
        <f t="shared" si="3"/>
        <v>0</v>
      </c>
      <c r="U45" s="59">
        <f t="shared" si="0"/>
        <v>0</v>
      </c>
    </row>
    <row r="46" spans="5:21" x14ac:dyDescent="0.25">
      <c r="E46" s="50" t="s">
        <v>115</v>
      </c>
      <c r="F46" s="37">
        <f>+'LISTA TRABAJADORES'!F45</f>
        <v>0</v>
      </c>
      <c r="G46" s="37">
        <f>+'LISTA TRABAJADORES'!G45</f>
        <v>0</v>
      </c>
      <c r="H46" s="62">
        <v>15</v>
      </c>
      <c r="I46" s="62">
        <v>15</v>
      </c>
      <c r="J46" s="59">
        <f>+'LISTA TRABAJADORES'!H45</f>
        <v>0</v>
      </c>
      <c r="K46" s="86">
        <f>+I46*J46+'OTRAS PRESTACIONES'!AC46</f>
        <v>0</v>
      </c>
      <c r="L46" s="53">
        <f>IFERROR(IF('Datos y Resumen '!E60=1,0,VLOOKUP(K46,'TARIFAS 2025'!AZ102:BC112,1,1)),0)</f>
        <v>0</v>
      </c>
      <c r="M46" s="59">
        <f>IF('Datos y Resumen '!E60=1,0,K46-L46)</f>
        <v>0</v>
      </c>
      <c r="N46" s="55">
        <f>IFERROR(IF('Datos y Resumen '!E60=1,0,VLOOKUP(K46,'TARIFAS 2025'!AZ102:BC112,4,1)),0)</f>
        <v>0</v>
      </c>
      <c r="O46" s="59">
        <f t="shared" si="1"/>
        <v>0</v>
      </c>
      <c r="P46" s="53">
        <f>IFERROR(IF('Datos y Resumen '!E60=1,0,VLOOKUP(K46,'TARIFAS 2025'!AZ102:BC112,3,1)),0)</f>
        <v>0</v>
      </c>
      <c r="Q46" s="59">
        <f>+IF('Datos y Resumen '!$E$60=1,'COMPARACIÓN MENSUAL'!I277,'ISR '!O46+'ISR '!P46)</f>
        <v>0</v>
      </c>
      <c r="R46" s="59">
        <f>IFERROR(IF('Datos y Resumen '!$E$60=1,'AJUSTE AL SUBSIDIO '!K45,VLOOKUP(K46,'TARIFAS 2025'!AZ118:BB128,3,1)),0)</f>
        <v>0</v>
      </c>
      <c r="S46" s="53">
        <f t="shared" si="2"/>
        <v>0</v>
      </c>
      <c r="T46" s="53">
        <f t="shared" si="3"/>
        <v>0</v>
      </c>
      <c r="U46" s="59">
        <f t="shared" si="0"/>
        <v>0</v>
      </c>
    </row>
    <row r="47" spans="5:21" x14ac:dyDescent="0.25">
      <c r="E47" s="50" t="s">
        <v>116</v>
      </c>
      <c r="F47" s="37">
        <f>+'LISTA TRABAJADORES'!F46</f>
        <v>0</v>
      </c>
      <c r="G47" s="37">
        <f>+'LISTA TRABAJADORES'!G46</f>
        <v>0</v>
      </c>
      <c r="H47" s="62">
        <v>15</v>
      </c>
      <c r="I47" s="62">
        <v>15</v>
      </c>
      <c r="J47" s="59">
        <f>+'LISTA TRABAJADORES'!H46</f>
        <v>0</v>
      </c>
      <c r="K47" s="86">
        <f>+I47*J47+'OTRAS PRESTACIONES'!AC47</f>
        <v>0</v>
      </c>
      <c r="L47" s="53">
        <f>IFERROR(IF('Datos y Resumen '!E60=1,0,VLOOKUP(K47,'TARIFAS 2025'!BF102:BI112,1,1)),0)</f>
        <v>0</v>
      </c>
      <c r="M47" s="59">
        <f>IF('Datos y Resumen '!E60=1,0,K47-L47)</f>
        <v>0</v>
      </c>
      <c r="N47" s="55">
        <f>IFERROR(IF('Datos y Resumen '!E60=1,0,VLOOKUP(K47,'TARIFAS 2025'!BF102:BI112,4,1)),0)</f>
        <v>0</v>
      </c>
      <c r="O47" s="59">
        <f t="shared" si="1"/>
        <v>0</v>
      </c>
      <c r="P47" s="53">
        <f>IFERROR(IF('Datos y Resumen '!E60=1,0,VLOOKUP(K47,'TARIFAS 2025'!BF102:BI112,3,1)),0)</f>
        <v>0</v>
      </c>
      <c r="Q47" s="59">
        <f>+IF('Datos y Resumen '!$E$60=1,'COMPARACIÓN MENSUAL'!R277,'ISR '!O47+'ISR '!P47)</f>
        <v>0</v>
      </c>
      <c r="R47" s="59">
        <f>IFERROR(IF('Datos y Resumen '!$E$60=1,'AJUSTE AL SUBSIDIO '!K46,VLOOKUP(K47,'TARIFAS 2025'!BF118:BH128,3,1)),0)</f>
        <v>0</v>
      </c>
      <c r="S47" s="53">
        <f t="shared" si="2"/>
        <v>0</v>
      </c>
      <c r="T47" s="53">
        <f t="shared" si="3"/>
        <v>0</v>
      </c>
      <c r="U47" s="59">
        <f t="shared" si="0"/>
        <v>0</v>
      </c>
    </row>
    <row r="48" spans="5:21" x14ac:dyDescent="0.25">
      <c r="E48" s="50" t="s">
        <v>117</v>
      </c>
      <c r="F48" s="37">
        <f>+'LISTA TRABAJADORES'!F47</f>
        <v>0</v>
      </c>
      <c r="G48" s="37">
        <f>+'LISTA TRABAJADORES'!G47</f>
        <v>0</v>
      </c>
      <c r="H48" s="62">
        <v>15</v>
      </c>
      <c r="I48" s="62">
        <v>15</v>
      </c>
      <c r="J48" s="59">
        <f>+'LISTA TRABAJADORES'!H47</f>
        <v>0</v>
      </c>
      <c r="K48" s="86">
        <f>+I48*J48+'OTRAS PRESTACIONES'!AC48</f>
        <v>0</v>
      </c>
      <c r="L48" s="53">
        <f>IFERROR(IF('Datos y Resumen '!E60=1,0,VLOOKUP(K48,'TARIFAS 2025'!D134:G144,1,1)),0)</f>
        <v>0</v>
      </c>
      <c r="M48" s="59">
        <f>IF('Datos y Resumen '!E60=1,0,K48-L48)</f>
        <v>0</v>
      </c>
      <c r="N48" s="55">
        <f>IFERROR(IF('Datos y Resumen '!E60=1,0,VLOOKUP(K48,'TARIFAS 2025'!D134:G144,4,1)),0)</f>
        <v>0</v>
      </c>
      <c r="O48" s="59">
        <f t="shared" si="1"/>
        <v>0</v>
      </c>
      <c r="P48" s="53">
        <f>IFERROR(IF('Datos y Resumen '!E60=1,0,VLOOKUP(K48,'TARIFAS 2025'!D134:G144,3,1)),0)</f>
        <v>0</v>
      </c>
      <c r="Q48" s="59">
        <f>+IF('Datos y Resumen '!$E$60=1,'COMPARACIÓN MENSUAL'!I291,'ISR '!O48+'ISR '!P48)</f>
        <v>0</v>
      </c>
      <c r="R48" s="59">
        <f>IFERROR(IF('Datos y Resumen '!$E$60=1,'AJUSTE AL SUBSIDIO '!K47,VLOOKUP(K48,'TARIFAS 2025'!D150:F160,3,1)),0)</f>
        <v>0</v>
      </c>
      <c r="S48" s="53">
        <f t="shared" si="2"/>
        <v>0</v>
      </c>
      <c r="T48" s="53">
        <f t="shared" si="3"/>
        <v>0</v>
      </c>
      <c r="U48" s="59">
        <f t="shared" si="0"/>
        <v>0</v>
      </c>
    </row>
    <row r="49" spans="5:21" x14ac:dyDescent="0.25">
      <c r="E49" s="50" t="s">
        <v>118</v>
      </c>
      <c r="F49" s="37">
        <f>+'LISTA TRABAJADORES'!F48</f>
        <v>0</v>
      </c>
      <c r="G49" s="37">
        <f>+'LISTA TRABAJADORES'!G48</f>
        <v>0</v>
      </c>
      <c r="H49" s="62">
        <v>15</v>
      </c>
      <c r="I49" s="62">
        <v>15</v>
      </c>
      <c r="J49" s="59">
        <f>+'LISTA TRABAJADORES'!H48</f>
        <v>0</v>
      </c>
      <c r="K49" s="86">
        <f>+I49*J49+'OTRAS PRESTACIONES'!AC49</f>
        <v>0</v>
      </c>
      <c r="L49" s="53">
        <f>IFERROR(IF('Datos y Resumen '!E60=1,0,VLOOKUP(K49,'TARIFAS 2025'!J134:M144,1,1)),0)</f>
        <v>0</v>
      </c>
      <c r="M49" s="59">
        <f>IF('Datos y Resumen '!E60=1,0,K49-L49)</f>
        <v>0</v>
      </c>
      <c r="N49" s="55">
        <f>IFERROR(IF('Datos y Resumen '!E60=1,0,VLOOKUP(K49,'TARIFAS 2025'!J134:M144,4,1)),0)</f>
        <v>0</v>
      </c>
      <c r="O49" s="59">
        <f t="shared" si="1"/>
        <v>0</v>
      </c>
      <c r="P49" s="53">
        <f>IFERROR(IF('Datos y Resumen '!E60=1,0,VLOOKUP(K49,'TARIFAS 2025'!J134:M144,3,1)),0)</f>
        <v>0</v>
      </c>
      <c r="Q49" s="59">
        <f>+IF('Datos y Resumen '!$E$60=1,'COMPARACIÓN MENSUAL'!R291,'ISR '!O49+'ISR '!P49)</f>
        <v>0</v>
      </c>
      <c r="R49" s="59">
        <f>IFERROR(IF('Datos y Resumen '!$E$60=1,'AJUSTE AL SUBSIDIO '!K48,VLOOKUP(K49,'TARIFAS 2025'!J150:L160,3,1)),0)</f>
        <v>0</v>
      </c>
      <c r="S49" s="53">
        <f t="shared" si="2"/>
        <v>0</v>
      </c>
      <c r="T49" s="53">
        <f t="shared" si="3"/>
        <v>0</v>
      </c>
      <c r="U49" s="59">
        <f t="shared" si="0"/>
        <v>0</v>
      </c>
    </row>
    <row r="50" spans="5:21" x14ac:dyDescent="0.25">
      <c r="E50" s="50" t="s">
        <v>119</v>
      </c>
      <c r="F50" s="37">
        <f>+'LISTA TRABAJADORES'!F49</f>
        <v>0</v>
      </c>
      <c r="G50" s="37">
        <f>+'LISTA TRABAJADORES'!G49</f>
        <v>0</v>
      </c>
      <c r="H50" s="62">
        <v>15</v>
      </c>
      <c r="I50" s="62">
        <v>15</v>
      </c>
      <c r="J50" s="59">
        <f>+'LISTA TRABAJADORES'!H49</f>
        <v>0</v>
      </c>
      <c r="K50" s="86">
        <f>+I50*J50+'OTRAS PRESTACIONES'!AC50</f>
        <v>0</v>
      </c>
      <c r="L50" s="53">
        <f>IFERROR(IF('Datos y Resumen '!E60=1,0,VLOOKUP(K50,'TARIFAS 2025'!P134:S144,1,1)),0)</f>
        <v>0</v>
      </c>
      <c r="M50" s="59">
        <f>IF('Datos y Resumen '!E60=1,0,K50-L50)</f>
        <v>0</v>
      </c>
      <c r="N50" s="55">
        <f>IFERROR(IF('Datos y Resumen '!E60=1,0,VLOOKUP(K50,'TARIFAS 2025'!P134:S144,4,1)),0)</f>
        <v>0</v>
      </c>
      <c r="O50" s="59">
        <f t="shared" si="1"/>
        <v>0</v>
      </c>
      <c r="P50" s="53">
        <f>IFERROR(IF('Datos y Resumen '!E60=1,0,VLOOKUP(K50,'TARIFAS 2025'!P134:S144,3,1)),0)</f>
        <v>0</v>
      </c>
      <c r="Q50" s="59">
        <f>+IF('Datos y Resumen '!$E$60=1,'COMPARACIÓN MENSUAL'!I305,'ISR '!O50+'ISR '!P50)</f>
        <v>0</v>
      </c>
      <c r="R50" s="59">
        <f>IFERROR(IF('Datos y Resumen '!$E$60=1,'AJUSTE AL SUBSIDIO '!K49,VLOOKUP(K50,'TARIFAS 2025'!P150:R160,3,1)),0)</f>
        <v>0</v>
      </c>
      <c r="S50" s="53">
        <f t="shared" si="2"/>
        <v>0</v>
      </c>
      <c r="T50" s="53">
        <f t="shared" si="3"/>
        <v>0</v>
      </c>
      <c r="U50" s="59">
        <f t="shared" si="0"/>
        <v>0</v>
      </c>
    </row>
    <row r="51" spans="5:21" x14ac:dyDescent="0.25">
      <c r="E51" s="50" t="s">
        <v>120</v>
      </c>
      <c r="F51" s="37">
        <f>+'LISTA TRABAJADORES'!F50</f>
        <v>0</v>
      </c>
      <c r="G51" s="37">
        <f>+'LISTA TRABAJADORES'!G50</f>
        <v>0</v>
      </c>
      <c r="H51" s="62">
        <v>15</v>
      </c>
      <c r="I51" s="62">
        <v>15</v>
      </c>
      <c r="J51" s="59">
        <f>+'LISTA TRABAJADORES'!H50</f>
        <v>0</v>
      </c>
      <c r="K51" s="86">
        <f>+I51*J51+'OTRAS PRESTACIONES'!AC51</f>
        <v>0</v>
      </c>
      <c r="L51" s="53">
        <f>IFERROR(IF('Datos y Resumen '!E60=1,0,VLOOKUP(K51,'TARIFAS 2025'!V134:Y144,1,1)),0)</f>
        <v>0</v>
      </c>
      <c r="M51" s="59">
        <f>IF('Datos y Resumen '!E60=1,0,K51-L51)</f>
        <v>0</v>
      </c>
      <c r="N51" s="55">
        <f>IFERROR(IF('Datos y Resumen '!E60=1,0,VLOOKUP(K51,'TARIFAS 2025'!V134:Y144,4,1)),0)</f>
        <v>0</v>
      </c>
      <c r="O51" s="59">
        <f t="shared" si="1"/>
        <v>0</v>
      </c>
      <c r="P51" s="53">
        <f>IFERROR(IF('Datos y Resumen '!E60=1,0,VLOOKUP(K51,'TARIFAS 2025'!V134:Y144,3,1)),0)</f>
        <v>0</v>
      </c>
      <c r="Q51" s="59">
        <f>+IF('Datos y Resumen '!$E$60=1,'COMPARACIÓN MENSUAL'!R305,'ISR '!O51+'ISR '!P51)</f>
        <v>0</v>
      </c>
      <c r="R51" s="59">
        <f>IFERROR(IF('Datos y Resumen '!$E$60=1,'AJUSTE AL SUBSIDIO '!K50,VLOOKUP(K51,'TARIFAS 2025'!V150:X160,3,1)),0)</f>
        <v>0</v>
      </c>
      <c r="S51" s="53">
        <f t="shared" si="2"/>
        <v>0</v>
      </c>
      <c r="T51" s="53">
        <f t="shared" si="3"/>
        <v>0</v>
      </c>
      <c r="U51" s="59">
        <f t="shared" si="0"/>
        <v>0</v>
      </c>
    </row>
    <row r="52" spans="5:21" x14ac:dyDescent="0.25">
      <c r="E52" s="50" t="s">
        <v>121</v>
      </c>
      <c r="F52" s="37">
        <f>+'LISTA TRABAJADORES'!F51</f>
        <v>0</v>
      </c>
      <c r="G52" s="37">
        <f>+'LISTA TRABAJADORES'!G51</f>
        <v>0</v>
      </c>
      <c r="H52" s="62">
        <v>15</v>
      </c>
      <c r="I52" s="62">
        <v>15</v>
      </c>
      <c r="J52" s="59">
        <f>+'LISTA TRABAJADORES'!H51</f>
        <v>0</v>
      </c>
      <c r="K52" s="86">
        <f>+I52*J52+'OTRAS PRESTACIONES'!AC52</f>
        <v>0</v>
      </c>
      <c r="L52" s="53">
        <f>IFERROR(IF('Datos y Resumen '!E60=1,0,VLOOKUP(K52,'TARIFAS 2025'!AB134:AE144,1,1)),0)</f>
        <v>0</v>
      </c>
      <c r="M52" s="59">
        <f>IF('Datos y Resumen '!E60=1,0,K52-L52)</f>
        <v>0</v>
      </c>
      <c r="N52" s="55">
        <f>IFERROR(IF('Datos y Resumen '!E60=1,0,VLOOKUP(K52,'TARIFAS 2025'!AB134:AE144,4,1)),0)</f>
        <v>0</v>
      </c>
      <c r="O52" s="59">
        <f t="shared" si="1"/>
        <v>0</v>
      </c>
      <c r="P52" s="53">
        <f>IFERROR(IF('Datos y Resumen '!E60=1,0,VLOOKUP(K52,'TARIFAS 2025'!AB134:AE144,3,1)),0)</f>
        <v>0</v>
      </c>
      <c r="Q52" s="59">
        <f>+IF('Datos y Resumen '!$E$60=1,'COMPARACIÓN MENSUAL'!I319,'ISR '!O52+'ISR '!P52)</f>
        <v>0</v>
      </c>
      <c r="R52" s="59">
        <f>IFERROR(IF('Datos y Resumen '!$E$60=1,'AJUSTE AL SUBSIDIO '!K51,VLOOKUP(K52,'TARIFAS 2025'!AB150:AD160,3,1)),0)</f>
        <v>0</v>
      </c>
      <c r="S52" s="53">
        <f t="shared" si="2"/>
        <v>0</v>
      </c>
      <c r="T52" s="53">
        <f t="shared" si="3"/>
        <v>0</v>
      </c>
      <c r="U52" s="59">
        <f t="shared" si="0"/>
        <v>0</v>
      </c>
    </row>
    <row r="53" spans="5:21" x14ac:dyDescent="0.25">
      <c r="E53" s="50" t="s">
        <v>122</v>
      </c>
      <c r="F53" s="37">
        <f>+'LISTA TRABAJADORES'!F52</f>
        <v>0</v>
      </c>
      <c r="G53" s="37">
        <f>+'LISTA TRABAJADORES'!G52</f>
        <v>0</v>
      </c>
      <c r="H53" s="62">
        <v>15</v>
      </c>
      <c r="I53" s="62">
        <v>15</v>
      </c>
      <c r="J53" s="59">
        <f>+'LISTA TRABAJADORES'!H52</f>
        <v>0</v>
      </c>
      <c r="K53" s="86">
        <f>+I53*J53+'OTRAS PRESTACIONES'!AC53</f>
        <v>0</v>
      </c>
      <c r="L53" s="53">
        <f>IFERROR(IF('Datos y Resumen '!E60=1,0,VLOOKUP(K53,'TARIFAS 2025'!AH134:AK144,1,1)),0)</f>
        <v>0</v>
      </c>
      <c r="M53" s="59">
        <f>IF('Datos y Resumen '!E60=1,0,K53-L53)</f>
        <v>0</v>
      </c>
      <c r="N53" s="55">
        <f>IFERROR(IF('Datos y Resumen '!E60=1,0,VLOOKUP(K53,'TARIFAS 2025'!AH134:AK144,4,1)),0)</f>
        <v>0</v>
      </c>
      <c r="O53" s="59">
        <f t="shared" si="1"/>
        <v>0</v>
      </c>
      <c r="P53" s="53">
        <f>IFERROR(IF('Datos y Resumen '!E60=1,0,VLOOKUP(K53,'TARIFAS 2025'!AH134:AK144,3,1)),0)</f>
        <v>0</v>
      </c>
      <c r="Q53" s="59">
        <f>+IF('Datos y Resumen '!$E$60=1,'COMPARACIÓN MENSUAL'!R319,'ISR '!O53+'ISR '!P53)</f>
        <v>0</v>
      </c>
      <c r="R53" s="59">
        <f>IFERROR(IF('Datos y Resumen '!$E$60=1,'AJUSTE AL SUBSIDIO '!K52,VLOOKUP(K53,'TARIFAS 2025'!AH150:AJ160,3,1)),0)</f>
        <v>0</v>
      </c>
      <c r="S53" s="53">
        <f t="shared" si="2"/>
        <v>0</v>
      </c>
      <c r="T53" s="53">
        <f t="shared" si="3"/>
        <v>0</v>
      </c>
      <c r="U53" s="59">
        <f t="shared" si="0"/>
        <v>0</v>
      </c>
    </row>
    <row r="54" spans="5:21" x14ac:dyDescent="0.25">
      <c r="E54" s="50" t="s">
        <v>123</v>
      </c>
      <c r="F54" s="37">
        <f>+'LISTA TRABAJADORES'!F53</f>
        <v>0</v>
      </c>
      <c r="G54" s="37">
        <f>+'LISTA TRABAJADORES'!G53</f>
        <v>0</v>
      </c>
      <c r="H54" s="62">
        <v>15</v>
      </c>
      <c r="I54" s="62">
        <v>15</v>
      </c>
      <c r="J54" s="59">
        <f>+'LISTA TRABAJADORES'!H53</f>
        <v>0</v>
      </c>
      <c r="K54" s="86">
        <f>+I54*J54+'OTRAS PRESTACIONES'!AC54</f>
        <v>0</v>
      </c>
      <c r="L54" s="53">
        <f>IFERROR(IF('Datos y Resumen '!E60=1,0,VLOOKUP(K54,'TARIFAS 2025'!AN134:AQ144,1,1)),0)</f>
        <v>0</v>
      </c>
      <c r="M54" s="59">
        <f>IF('Datos y Resumen '!E60=1,0,K54-L54)</f>
        <v>0</v>
      </c>
      <c r="N54" s="55">
        <f>IFERROR(IF('Datos y Resumen '!E60=1,0,VLOOKUP(K54,'TARIFAS 2025'!AN134:AQ144,4,1)),0)</f>
        <v>0</v>
      </c>
      <c r="O54" s="59">
        <f t="shared" si="1"/>
        <v>0</v>
      </c>
      <c r="P54" s="53">
        <f>IFERROR(IF('Datos y Resumen '!E60=1,0,VLOOKUP(K54,'TARIFAS 2025'!AN134:AQ144,3,1)),0)</f>
        <v>0</v>
      </c>
      <c r="Q54" s="59">
        <f>+IF('Datos y Resumen '!$E$60=1,'COMPARACIÓN MENSUAL'!I333,'ISR '!O54+'ISR '!P54)</f>
        <v>0</v>
      </c>
      <c r="R54" s="59">
        <f>IFERROR(IF('Datos y Resumen '!$E$60=1,'AJUSTE AL SUBSIDIO '!K53,VLOOKUP(K54,'TARIFAS 2025'!AN150:AP160,3,1)),0)</f>
        <v>0</v>
      </c>
      <c r="S54" s="53">
        <f t="shared" si="2"/>
        <v>0</v>
      </c>
      <c r="T54" s="53">
        <f t="shared" si="3"/>
        <v>0</v>
      </c>
      <c r="U54" s="59">
        <f t="shared" si="0"/>
        <v>0</v>
      </c>
    </row>
    <row r="55" spans="5:21" x14ac:dyDescent="0.25">
      <c r="E55" s="50" t="s">
        <v>124</v>
      </c>
      <c r="F55" s="37">
        <f>+'LISTA TRABAJADORES'!F54</f>
        <v>0</v>
      </c>
      <c r="G55" s="37">
        <f>+'LISTA TRABAJADORES'!G54</f>
        <v>0</v>
      </c>
      <c r="H55" s="62">
        <v>15</v>
      </c>
      <c r="I55" s="62">
        <v>15</v>
      </c>
      <c r="J55" s="59">
        <f>+'LISTA TRABAJADORES'!H54</f>
        <v>0</v>
      </c>
      <c r="K55" s="86">
        <f>+I55*J55+'OTRAS PRESTACIONES'!AC55</f>
        <v>0</v>
      </c>
      <c r="L55" s="53">
        <f>IFERROR(IF('Datos y Resumen '!E60=1,0,VLOOKUP(K55,'TARIFAS 2025'!AT134:AW144,1,1)),0)</f>
        <v>0</v>
      </c>
      <c r="M55" s="59">
        <f>IF('Datos y Resumen '!E60=1,0,K55-L55)</f>
        <v>0</v>
      </c>
      <c r="N55" s="55">
        <f>IFERROR(IF('Datos y Resumen '!E60=1,0,VLOOKUP(K55,'TARIFAS 2025'!AT134:AW144,4,1)),0)</f>
        <v>0</v>
      </c>
      <c r="O55" s="59">
        <f t="shared" si="1"/>
        <v>0</v>
      </c>
      <c r="P55" s="53">
        <f>IFERROR(IF('Datos y Resumen '!E60=1,0,VLOOKUP(K55,'TARIFAS 2025'!AT134:AW144,3,1)),0)</f>
        <v>0</v>
      </c>
      <c r="Q55" s="59">
        <f>+IF('Datos y Resumen '!$E$60=1,'COMPARACIÓN MENSUAL'!R333,'ISR '!O55+'ISR '!P55)</f>
        <v>0</v>
      </c>
      <c r="R55" s="59">
        <f>IFERROR(IF('Datos y Resumen '!$E$60=1,'AJUSTE AL SUBSIDIO '!K54,VLOOKUP(K55,'TARIFAS 2025'!AT150:AV160,3,1)),0)</f>
        <v>0</v>
      </c>
      <c r="S55" s="53">
        <f t="shared" si="2"/>
        <v>0</v>
      </c>
      <c r="T55" s="53">
        <f t="shared" si="3"/>
        <v>0</v>
      </c>
      <c r="U55" s="59">
        <f t="shared" si="0"/>
        <v>0</v>
      </c>
    </row>
    <row r="56" spans="5:21" x14ac:dyDescent="0.25">
      <c r="E56" s="50" t="s">
        <v>125</v>
      </c>
      <c r="F56" s="37">
        <f>+'LISTA TRABAJADORES'!F55</f>
        <v>0</v>
      </c>
      <c r="G56" s="37">
        <f>+'LISTA TRABAJADORES'!G55</f>
        <v>0</v>
      </c>
      <c r="H56" s="62">
        <v>15</v>
      </c>
      <c r="I56" s="62">
        <v>15</v>
      </c>
      <c r="J56" s="59">
        <f>+'LISTA TRABAJADORES'!H55</f>
        <v>0</v>
      </c>
      <c r="K56" s="86">
        <f>+I56*J56+'OTRAS PRESTACIONES'!AC56</f>
        <v>0</v>
      </c>
      <c r="L56" s="53">
        <f>IFERROR(IF('Datos y Resumen '!E60=1,0,VLOOKUP(K56,'TARIFAS 2025'!AZ134:BC144,1,1)),0)</f>
        <v>0</v>
      </c>
      <c r="M56" s="59">
        <f>IF('Datos y Resumen '!E60=1,0,K56-L56)</f>
        <v>0</v>
      </c>
      <c r="N56" s="55">
        <f>IFERROR(IF('Datos y Resumen '!E60=1,0,VLOOKUP(K56,'TARIFAS 2025'!AZ134:BC144,4,1)),0)</f>
        <v>0</v>
      </c>
      <c r="O56" s="59">
        <f t="shared" si="1"/>
        <v>0</v>
      </c>
      <c r="P56" s="53">
        <f>IFERROR(IF('Datos y Resumen '!E60=1,0,VLOOKUP(K56,'TARIFAS 2025'!AZ134:BC144,3,1)),0)</f>
        <v>0</v>
      </c>
      <c r="Q56" s="59">
        <f>+IF('Datos y Resumen '!$E$60=1,'COMPARACIÓN MENSUAL'!I347,'ISR '!O56+'ISR '!P56)</f>
        <v>0</v>
      </c>
      <c r="R56" s="59">
        <f>IFERROR(IF('Datos y Resumen '!$E$60=1,'AJUSTE AL SUBSIDIO '!K55,VLOOKUP(K56,'TARIFAS 2025'!AZ150:BB160,3,1)),0)</f>
        <v>0</v>
      </c>
      <c r="S56" s="53">
        <f t="shared" si="2"/>
        <v>0</v>
      </c>
      <c r="T56" s="53">
        <f t="shared" si="3"/>
        <v>0</v>
      </c>
      <c r="U56" s="59">
        <f t="shared" si="0"/>
        <v>0</v>
      </c>
    </row>
    <row r="57" spans="5:21" x14ac:dyDescent="0.25">
      <c r="E57" s="51" t="s">
        <v>126</v>
      </c>
      <c r="F57" s="37">
        <f>+'LISTA TRABAJADORES'!F56</f>
        <v>0</v>
      </c>
      <c r="G57" s="37">
        <f>+'LISTA TRABAJADORES'!G56</f>
        <v>0</v>
      </c>
      <c r="H57" s="62">
        <v>15</v>
      </c>
      <c r="I57" s="62">
        <v>15</v>
      </c>
      <c r="J57" s="59">
        <f>+'LISTA TRABAJADORES'!H56</f>
        <v>0</v>
      </c>
      <c r="K57" s="86">
        <f>+I57*J57+'OTRAS PRESTACIONES'!AC57</f>
        <v>0</v>
      </c>
      <c r="L57" s="54">
        <f>IFERROR(IF('Datos y Resumen '!E60=1,0,VLOOKUP(K57,'TARIFAS 2025'!BF134:BI144,1,1)),0)</f>
        <v>0</v>
      </c>
      <c r="M57" s="58">
        <f>IF('Datos y Resumen '!E60=1,0,K57-L57)</f>
        <v>0</v>
      </c>
      <c r="N57" s="56">
        <f>IFERROR(IF('Datos y Resumen '!E60=1,0,VLOOKUP(K57,'TARIFAS 2025'!BF134:BI144,4,1)),0)</f>
        <v>0</v>
      </c>
      <c r="O57" s="58">
        <f t="shared" si="1"/>
        <v>0</v>
      </c>
      <c r="P57" s="54">
        <f>IFERROR(IF('Datos y Resumen '!E60=1,0,VLOOKUP(K57,'TARIFAS 2025'!BF134:BI144,3,1)),0)</f>
        <v>0</v>
      </c>
      <c r="Q57" s="59">
        <f>+IF('Datos y Resumen '!$E$60=1,'COMPARACIÓN MENSUAL'!R347,'ISR '!O57+'ISR '!P57)</f>
        <v>0</v>
      </c>
      <c r="R57" s="58">
        <f>IFERROR(IF('Datos y Resumen '!$E$60=1,'AJUSTE AL SUBSIDIO '!K56,VLOOKUP(K57,'TARIFAS 2025'!BF150:BH160,3,1)),0)</f>
        <v>0</v>
      </c>
      <c r="S57" s="53">
        <f t="shared" si="2"/>
        <v>0</v>
      </c>
      <c r="T57" s="53">
        <f t="shared" si="3"/>
        <v>0</v>
      </c>
      <c r="U57" s="58">
        <f t="shared" si="0"/>
        <v>0</v>
      </c>
    </row>
    <row r="58" spans="5:21" ht="16.5" thickBot="1" x14ac:dyDescent="0.3">
      <c r="E58" s="52" t="s">
        <v>126</v>
      </c>
      <c r="F58" s="61"/>
      <c r="G58" s="61"/>
      <c r="H58" s="90"/>
      <c r="I58" s="90"/>
      <c r="J58" s="57"/>
      <c r="K58" s="57">
        <f>SUM(K8:K57)</f>
        <v>40164.15</v>
      </c>
      <c r="L58" s="57"/>
      <c r="M58" s="57"/>
      <c r="N58" s="57"/>
      <c r="O58" s="57"/>
      <c r="P58" s="57"/>
      <c r="Q58" s="57">
        <f>SUM(Q8:Q57)</f>
        <v>3268.5061599999999</v>
      </c>
      <c r="R58" s="57">
        <f>SUM(R8:R57)</f>
        <v>1171.7474999999999</v>
      </c>
      <c r="S58" s="57">
        <f>SUM(S8:S57)</f>
        <v>2096.7600000000002</v>
      </c>
      <c r="T58" s="57">
        <f>SUM(T8:T57)</f>
        <v>0</v>
      </c>
      <c r="U58" s="57">
        <f>SUM(U8:U57)</f>
        <v>38067.39</v>
      </c>
    </row>
    <row r="59" spans="5:21" ht="16.5" thickTop="1" x14ac:dyDescent="0.25"/>
    <row r="62" spans="5:21" x14ac:dyDescent="0.25">
      <c r="F62" s="122"/>
    </row>
    <row r="63" spans="5:21" x14ac:dyDescent="0.25">
      <c r="F63" s="122"/>
    </row>
    <row r="64" spans="5:21" x14ac:dyDescent="0.25">
      <c r="F64" s="122"/>
    </row>
  </sheetData>
  <mergeCells count="33">
    <mergeCell ref="B18:C18"/>
    <mergeCell ref="U6:U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K6:K7"/>
    <mergeCell ref="E6:E7"/>
    <mergeCell ref="F6:F7"/>
    <mergeCell ref="G6:G7"/>
    <mergeCell ref="H6:H7"/>
    <mergeCell ref="B2:C3"/>
    <mergeCell ref="B4:C4"/>
    <mergeCell ref="B5:C5"/>
    <mergeCell ref="B6:C6"/>
    <mergeCell ref="B7:C7"/>
    <mergeCell ref="I6:I7"/>
    <mergeCell ref="J6:J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honeticPr fontId="18" type="noConversion"/>
  <hyperlinks>
    <hyperlink ref="B4:C4" location="'Datos y Resumen '!A1" display="DATOS Y RESUMEN" xr:uid="{6F7BD731-6948-491A-8D6C-4CC009DB620D}"/>
    <hyperlink ref="B5:C5" location="'LISTA TRABAJADORES'!A1" display="LISTA DE TRABAJADORES" xr:uid="{CFA23B45-0BC7-430B-9320-D948C132F695}"/>
    <hyperlink ref="B6:C6" location="'ISR '!A1" display="ISR" xr:uid="{887ECF5F-35B1-446C-95E8-E80B181F1580}"/>
    <hyperlink ref="B7:C7" location="'OTRAS PRESTACIONES'!A1" display="OTRAS PRESTACIONES" xr:uid="{510B72BF-3777-4D5C-AFE0-781CA8F660CD}"/>
    <hyperlink ref="B8:C8" location="'OTRAS RETENCIONES'!A1" display="OTRAS RETENCIONES" xr:uid="{0CDAEF5F-6152-4DD3-88A9-BDB78EFEF959}"/>
    <hyperlink ref="B12:C12" location="'CUOTAS IMSS'!A1" display="CUOTAS IMSS" xr:uid="{C1086AD7-91EA-489D-8423-DE27BADBAB80}"/>
    <hyperlink ref="B13:C13" location="'HORAS EXTRAS'!A1" display="HORAS EXTRAS" xr:uid="{41889E40-FEB9-47B7-AF53-75B5BE08301E}"/>
    <hyperlink ref="B14:C14" location="AGUINALDO!A1" display="AGUINALDO" xr:uid="{C1D913C5-4D73-4722-BBFB-E65B685B98C1}"/>
    <hyperlink ref="B15:C15" location="'NOMINA FISCAL'!A1" display="NOMINA FISCAL " xr:uid="{68762C3E-2BE9-42DD-BC8C-A9D85EA5EDED}"/>
    <hyperlink ref="B16:C16" location="CONCEN!A1" display="CONCENTRADO" xr:uid="{7448D610-A63F-498C-9C4A-666AC5B4B32A}"/>
    <hyperlink ref="B17:C17" location="'TARIFAS 2025'!A1" display="TARIFAS 2025" xr:uid="{83F3E24F-A7F4-4B53-9AE4-05F990B2120A}"/>
    <hyperlink ref="B18:C18" location="'DATOS EXTRAS'!A1" display="DATOS EXTRAS" xr:uid="{829FB644-0E64-4C5E-93ED-3A75D5664F1F}"/>
  </hyperlinks>
  <pageMargins left="0.7" right="0.7" top="0.75" bottom="0.75" header="0.3" footer="0.3"/>
  <pageSetup orientation="portrait" r:id="rId1"/>
  <ignoredErrors>
    <ignoredError sqref="E8 E9:E11 E12:E17 E18:E58" numberStoredAsText="1"/>
    <ignoredError sqref="K8 K9:K37 K38:K57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11057-9596-4671-9A33-D616F8488A12}">
  <sheetPr codeName="Hoja4">
    <tabColor theme="3" tint="-0.499984740745262"/>
  </sheetPr>
  <dimension ref="B1:AE64"/>
  <sheetViews>
    <sheetView zoomScaleNormal="100" workbookViewId="0">
      <selection activeCell="B2" sqref="B2:C3"/>
    </sheetView>
  </sheetViews>
  <sheetFormatPr baseColWidth="10" defaultRowHeight="15" x14ac:dyDescent="0.25"/>
  <cols>
    <col min="1" max="1" width="2" style="40" customWidth="1"/>
    <col min="2" max="2" width="9.85546875" style="40" customWidth="1"/>
    <col min="3" max="3" width="10.28515625" style="40" customWidth="1"/>
    <col min="4" max="4" width="4" style="40" customWidth="1"/>
    <col min="5" max="5" width="11.42578125" style="40" customWidth="1"/>
    <col min="6" max="6" width="11.42578125" style="40"/>
    <col min="7" max="7" width="38" style="40" customWidth="1"/>
    <col min="8" max="10" width="11.42578125" style="40"/>
    <col min="11" max="11" width="5.5703125" style="40" customWidth="1"/>
    <col min="12" max="12" width="11.42578125" style="60"/>
    <col min="13" max="13" width="7.7109375" style="40" bestFit="1" customWidth="1"/>
    <col min="14" max="20" width="11.42578125" style="60"/>
    <col min="21" max="21" width="5.5703125" style="40" customWidth="1"/>
    <col min="22" max="22" width="11.42578125" style="40"/>
    <col min="23" max="24" width="11.42578125" style="60"/>
    <col min="25" max="26" width="11.42578125" style="40"/>
    <col min="27" max="28" width="11.42578125" style="60"/>
    <col min="29" max="29" width="14" style="40" bestFit="1" customWidth="1"/>
    <col min="30" max="30" width="13.140625" style="40" bestFit="1" customWidth="1"/>
    <col min="31" max="31" width="13.85546875" style="40" customWidth="1"/>
    <col min="32" max="16384" width="11.42578125" style="40"/>
  </cols>
  <sheetData>
    <row r="1" spans="2:31" ht="6" customHeight="1" thickBot="1" x14ac:dyDescent="0.3"/>
    <row r="2" spans="2:31" ht="18" customHeight="1" x14ac:dyDescent="0.25">
      <c r="B2" s="300" t="s">
        <v>352</v>
      </c>
      <c r="C2" s="301"/>
      <c r="E2" s="250" t="str">
        <f>+'Datos y Resumen '!AC2</f>
        <v>A</v>
      </c>
      <c r="L2" s="49" t="s">
        <v>189</v>
      </c>
      <c r="M2" s="86">
        <v>108.57</v>
      </c>
      <c r="W2" s="40"/>
      <c r="X2" s="40"/>
    </row>
    <row r="3" spans="2:31" ht="15.75" customHeight="1" x14ac:dyDescent="0.25">
      <c r="B3" s="302"/>
      <c r="C3" s="303"/>
      <c r="E3" s="250">
        <f>+'Datos y Resumen '!AC3</f>
        <v>0</v>
      </c>
      <c r="W3" s="40"/>
      <c r="X3" s="40"/>
    </row>
    <row r="4" spans="2:31" ht="15.75" customHeight="1" x14ac:dyDescent="0.25">
      <c r="B4" s="304" t="s">
        <v>312</v>
      </c>
      <c r="C4" s="305"/>
      <c r="E4" s="44" t="s">
        <v>188</v>
      </c>
      <c r="W4" s="40"/>
      <c r="X4" s="40"/>
    </row>
    <row r="5" spans="2:31" ht="15.75" customHeight="1" x14ac:dyDescent="0.25">
      <c r="B5" s="304" t="s">
        <v>233</v>
      </c>
      <c r="C5" s="305"/>
      <c r="E5" s="44"/>
      <c r="W5" s="40"/>
      <c r="X5" s="40"/>
    </row>
    <row r="6" spans="2:31" x14ac:dyDescent="0.25">
      <c r="B6" s="304" t="s">
        <v>62</v>
      </c>
      <c r="C6" s="305"/>
      <c r="E6" s="326" t="s">
        <v>66</v>
      </c>
      <c r="F6" s="328" t="s">
        <v>53</v>
      </c>
      <c r="G6" s="324" t="s">
        <v>65</v>
      </c>
      <c r="H6" s="359" t="s">
        <v>234</v>
      </c>
      <c r="I6" s="359" t="s">
        <v>59</v>
      </c>
      <c r="J6" s="359" t="s">
        <v>235</v>
      </c>
      <c r="K6" s="324" t="s">
        <v>54</v>
      </c>
      <c r="L6" s="354" t="s">
        <v>190</v>
      </c>
      <c r="M6" s="324" t="s">
        <v>54</v>
      </c>
      <c r="N6" s="354" t="s">
        <v>191</v>
      </c>
      <c r="O6" s="355" t="s">
        <v>192</v>
      </c>
      <c r="P6" s="356"/>
      <c r="Q6" s="355" t="s">
        <v>195</v>
      </c>
      <c r="R6" s="356"/>
      <c r="S6" s="355" t="s">
        <v>198</v>
      </c>
      <c r="T6" s="356"/>
      <c r="U6" s="324" t="s">
        <v>54</v>
      </c>
      <c r="V6" s="324" t="s">
        <v>199</v>
      </c>
      <c r="W6" s="357" t="s">
        <v>38</v>
      </c>
      <c r="X6" s="358"/>
      <c r="Y6" s="357" t="s">
        <v>236</v>
      </c>
      <c r="Z6" s="358"/>
      <c r="AA6" s="355" t="s">
        <v>200</v>
      </c>
      <c r="AB6" s="356"/>
      <c r="AC6" s="324" t="s">
        <v>203</v>
      </c>
      <c r="AD6" s="324" t="s">
        <v>204</v>
      </c>
      <c r="AE6" s="324" t="s">
        <v>205</v>
      </c>
    </row>
    <row r="7" spans="2:31" x14ac:dyDescent="0.25">
      <c r="B7" s="306" t="s">
        <v>313</v>
      </c>
      <c r="C7" s="307"/>
      <c r="E7" s="327"/>
      <c r="F7" s="329"/>
      <c r="G7" s="325"/>
      <c r="H7" s="325"/>
      <c r="I7" s="360"/>
      <c r="J7" s="325"/>
      <c r="K7" s="325"/>
      <c r="L7" s="323"/>
      <c r="M7" s="325"/>
      <c r="N7" s="323"/>
      <c r="O7" s="49" t="s">
        <v>193</v>
      </c>
      <c r="P7" s="49" t="s">
        <v>194</v>
      </c>
      <c r="Q7" s="49" t="s">
        <v>196</v>
      </c>
      <c r="R7" s="49" t="s">
        <v>197</v>
      </c>
      <c r="S7" s="49" t="s">
        <v>196</v>
      </c>
      <c r="T7" s="49" t="s">
        <v>197</v>
      </c>
      <c r="U7" s="325"/>
      <c r="V7" s="325"/>
      <c r="W7" s="82" t="s">
        <v>196</v>
      </c>
      <c r="X7" s="73" t="s">
        <v>197</v>
      </c>
      <c r="Y7" s="82" t="s">
        <v>196</v>
      </c>
      <c r="Z7" s="82" t="s">
        <v>197</v>
      </c>
      <c r="AA7" s="49" t="s">
        <v>201</v>
      </c>
      <c r="AB7" s="49" t="s">
        <v>202</v>
      </c>
      <c r="AC7" s="325"/>
      <c r="AD7" s="325"/>
      <c r="AE7" s="325"/>
    </row>
    <row r="8" spans="2:31" ht="15.75" thickBot="1" x14ac:dyDescent="0.3">
      <c r="B8" s="304" t="s">
        <v>243</v>
      </c>
      <c r="C8" s="305"/>
      <c r="E8" s="50" t="s">
        <v>113</v>
      </c>
      <c r="F8" s="91">
        <f>+'LISTA TRABAJADORES'!F7</f>
        <v>54008317338</v>
      </c>
      <c r="G8" s="91" t="str">
        <f>+'LISTA TRABAJADORES'!G7</f>
        <v>JUAN PABLO CAMINOS</v>
      </c>
      <c r="H8" s="53">
        <f>+'LISTA TRABAJADORES'!H7</f>
        <v>278.8</v>
      </c>
      <c r="I8" s="53">
        <f>+'CUOTAS IMSS'!L7</f>
        <v>292.54483999999997</v>
      </c>
      <c r="J8" s="53">
        <f>+I8*'ISR '!I8</f>
        <v>4388.1725999999999</v>
      </c>
      <c r="K8" s="98">
        <v>0.1</v>
      </c>
      <c r="L8" s="59">
        <f>IFERROR(IF('Datos y Resumen '!$E$62=1,'OTRAS PRESTACIONES'!J8*'OTRAS PRESTACIONES'!K8,0),0)</f>
        <v>0</v>
      </c>
      <c r="M8" s="98">
        <v>0.1</v>
      </c>
      <c r="N8" s="59">
        <f>IFERROR(IF('Datos y Resumen '!$E$63=1,'OTRAS PRESTACIONES'!J8*'OTRAS PRESTACIONES'!M8,0),0)</f>
        <v>0</v>
      </c>
      <c r="O8" s="59">
        <f>+'HORAS EXTRAS'!J6</f>
        <v>0</v>
      </c>
      <c r="P8" s="59">
        <f>+'HORAS EXTRAS'!K6</f>
        <v>0</v>
      </c>
      <c r="Q8" s="86"/>
      <c r="R8" s="86"/>
      <c r="S8" s="86"/>
      <c r="T8" s="86"/>
      <c r="U8" s="98">
        <v>0.4</v>
      </c>
      <c r="V8" s="59">
        <f>+IFERROR(IF('Datos y Resumen '!$E$61=1,$M$2*'ISR '!I8*U8,0),0)</f>
        <v>0</v>
      </c>
      <c r="W8" s="86"/>
      <c r="X8" s="86"/>
      <c r="Y8" s="92">
        <f>+AGUINALDO!H5</f>
        <v>0</v>
      </c>
      <c r="Z8" s="92">
        <f>+AGUINALDO!I5</f>
        <v>0</v>
      </c>
      <c r="AA8" s="86">
        <v>0</v>
      </c>
      <c r="AB8" s="86"/>
      <c r="AC8" s="92">
        <f>+L8+N8+O8+Q8+S8+Y8+AA8+W8</f>
        <v>0</v>
      </c>
      <c r="AD8" s="92">
        <f>+P8+R8+T8+Z8+AB8+V8+X8</f>
        <v>0</v>
      </c>
      <c r="AE8" s="92">
        <f>+AC8+AD8</f>
        <v>0</v>
      </c>
    </row>
    <row r="9" spans="2:31" x14ac:dyDescent="0.25">
      <c r="B9" s="310" t="s">
        <v>344</v>
      </c>
      <c r="C9" s="311"/>
      <c r="E9" s="50" t="s">
        <v>77</v>
      </c>
      <c r="F9" s="91">
        <f>+'LISTA TRABAJADORES'!F8</f>
        <v>4008063127</v>
      </c>
      <c r="G9" s="91" t="str">
        <f>+'LISTA TRABAJADORES'!G8</f>
        <v>HECTOR ULISES GARCIA</v>
      </c>
      <c r="H9" s="53">
        <f>+'LISTA TRABAJADORES'!H8</f>
        <v>278.81</v>
      </c>
      <c r="I9" s="53">
        <f>+'CUOTAS IMSS'!L8</f>
        <v>292.55533299999996</v>
      </c>
      <c r="J9" s="53">
        <f>+I9*'ISR '!I9</f>
        <v>4388.3299949999991</v>
      </c>
      <c r="K9" s="98">
        <v>0.1</v>
      </c>
      <c r="L9" s="59">
        <f>IFERROR(IF('Datos y Resumen '!$E$62=1,'OTRAS PRESTACIONES'!J9*'OTRAS PRESTACIONES'!K9,0),0)</f>
        <v>0</v>
      </c>
      <c r="M9" s="98">
        <v>0.1</v>
      </c>
      <c r="N9" s="59">
        <f>IFERROR(IF('Datos y Resumen '!$E$63=1,'OTRAS PRESTACIONES'!J9*'OTRAS PRESTACIONES'!M9,0),0)</f>
        <v>0</v>
      </c>
      <c r="O9" s="59">
        <f>+'HORAS EXTRAS'!J7</f>
        <v>0</v>
      </c>
      <c r="P9" s="59">
        <f>+'HORAS EXTRAS'!K7</f>
        <v>0</v>
      </c>
      <c r="Q9" s="86"/>
      <c r="R9" s="86"/>
      <c r="S9" s="86"/>
      <c r="T9" s="86"/>
      <c r="U9" s="98">
        <v>0.4</v>
      </c>
      <c r="V9" s="59">
        <f>+IFERROR(IF('Datos y Resumen '!$E$61=1,$M$2*'ISR '!I9*U9,0),0)</f>
        <v>0</v>
      </c>
      <c r="W9" s="86"/>
      <c r="X9" s="86"/>
      <c r="Y9" s="92">
        <f>+AGUINALDO!H6</f>
        <v>0</v>
      </c>
      <c r="Z9" s="92">
        <f>+AGUINALDO!I6</f>
        <v>0</v>
      </c>
      <c r="AA9" s="86">
        <v>0</v>
      </c>
      <c r="AB9" s="86"/>
      <c r="AC9" s="92">
        <f t="shared" ref="AC9:AC57" si="0">+L9+N9+O9+Q9+S9+Y9+AA9</f>
        <v>0</v>
      </c>
      <c r="AD9" s="92">
        <f t="shared" ref="AD9:AD57" si="1">+P9+R9+T9+Z9+AB9+V9</f>
        <v>0</v>
      </c>
      <c r="AE9" s="92">
        <f t="shared" ref="AE9:AE57" si="2">+AC9+AD9</f>
        <v>0</v>
      </c>
    </row>
    <row r="10" spans="2:31" x14ac:dyDescent="0.25">
      <c r="B10" s="312" t="s">
        <v>345</v>
      </c>
      <c r="C10" s="313"/>
      <c r="E10" s="50" t="s">
        <v>78</v>
      </c>
      <c r="F10" s="91">
        <f>+'LISTA TRABAJADORES'!F9</f>
        <v>4997999471</v>
      </c>
      <c r="G10" s="91" t="str">
        <f>+'LISTA TRABAJADORES'!G9</f>
        <v>MARISOL VILLA</v>
      </c>
      <c r="H10" s="53">
        <f>+'LISTA TRABAJADORES'!H9</f>
        <v>280</v>
      </c>
      <c r="I10" s="53">
        <f>+'CUOTAS IMSS'!L9</f>
        <v>293.80399999999997</v>
      </c>
      <c r="J10" s="53">
        <f>+I10*'ISR '!I10</f>
        <v>4407.0599999999995</v>
      </c>
      <c r="K10" s="98">
        <v>0.1</v>
      </c>
      <c r="L10" s="59">
        <f>IFERROR(IF('Datos y Resumen '!$E$62=1,'OTRAS PRESTACIONES'!J10*'OTRAS PRESTACIONES'!K10,0),0)</f>
        <v>0</v>
      </c>
      <c r="M10" s="98">
        <v>0.1</v>
      </c>
      <c r="N10" s="59">
        <f>IFERROR(IF('Datos y Resumen '!$E$63=1,'OTRAS PRESTACIONES'!J10*'OTRAS PRESTACIONES'!M10,0),0)</f>
        <v>0</v>
      </c>
      <c r="O10" s="59">
        <f>+'HORAS EXTRAS'!J8</f>
        <v>0</v>
      </c>
      <c r="P10" s="59">
        <f>+'HORAS EXTRAS'!K8</f>
        <v>0</v>
      </c>
      <c r="Q10" s="86"/>
      <c r="R10" s="86"/>
      <c r="S10" s="86"/>
      <c r="T10" s="86"/>
      <c r="U10" s="98">
        <v>0.4</v>
      </c>
      <c r="V10" s="59">
        <f>+IFERROR(IF('Datos y Resumen '!$E$61=1,$M$2*'ISR '!I10*U10,0),0)</f>
        <v>0</v>
      </c>
      <c r="W10" s="86"/>
      <c r="X10" s="86"/>
      <c r="Y10" s="92">
        <f>+AGUINALDO!H7</f>
        <v>0</v>
      </c>
      <c r="Z10" s="92">
        <f>+AGUINALDO!I7</f>
        <v>0</v>
      </c>
      <c r="AA10" s="86"/>
      <c r="AB10" s="86"/>
      <c r="AC10" s="92">
        <f t="shared" si="0"/>
        <v>0</v>
      </c>
      <c r="AD10" s="92">
        <f t="shared" si="1"/>
        <v>0</v>
      </c>
      <c r="AE10" s="92">
        <f t="shared" si="2"/>
        <v>0</v>
      </c>
    </row>
    <row r="11" spans="2:31" ht="15.75" thickBot="1" x14ac:dyDescent="0.3">
      <c r="B11" s="314" t="s">
        <v>346</v>
      </c>
      <c r="C11" s="315"/>
      <c r="E11" s="50" t="s">
        <v>79</v>
      </c>
      <c r="F11" s="91">
        <f>+'LISTA TRABAJADORES'!F10</f>
        <v>5158985232</v>
      </c>
      <c r="G11" s="91" t="str">
        <f>+'LISTA TRABAJADORES'!G10</f>
        <v>MARCO PEREZ</v>
      </c>
      <c r="H11" s="53">
        <f>+'LISTA TRABAJADORES'!H10</f>
        <v>290</v>
      </c>
      <c r="I11" s="53">
        <f>+'CUOTAS IMSS'!L10</f>
        <v>304.29699999999997</v>
      </c>
      <c r="J11" s="53">
        <f>+I11*'ISR '!I11</f>
        <v>4564.4549999999999</v>
      </c>
      <c r="K11" s="98">
        <v>0.1</v>
      </c>
      <c r="L11" s="59">
        <f>IFERROR(IF('Datos y Resumen '!$E$62=1,'OTRAS PRESTACIONES'!J11*'OTRAS PRESTACIONES'!K11,0),0)</f>
        <v>0</v>
      </c>
      <c r="M11" s="98">
        <v>0.1</v>
      </c>
      <c r="N11" s="59">
        <f>IFERROR(IF('Datos y Resumen '!$E$63=1,'OTRAS PRESTACIONES'!J11*'OTRAS PRESTACIONES'!M11,0),0)</f>
        <v>0</v>
      </c>
      <c r="O11" s="59">
        <f>+'HORAS EXTRAS'!J9</f>
        <v>0</v>
      </c>
      <c r="P11" s="59">
        <f>+'HORAS EXTRAS'!K9</f>
        <v>0</v>
      </c>
      <c r="Q11" s="86"/>
      <c r="R11" s="86"/>
      <c r="S11" s="86"/>
      <c r="T11" s="86"/>
      <c r="U11" s="98">
        <v>0.4</v>
      </c>
      <c r="V11" s="59">
        <f>+IFERROR(IF('Datos y Resumen '!$E$61=1,$M$2*'ISR '!I11*U11,0),0)</f>
        <v>0</v>
      </c>
      <c r="W11" s="86"/>
      <c r="X11" s="86"/>
      <c r="Y11" s="92">
        <f>+AGUINALDO!H8</f>
        <v>0</v>
      </c>
      <c r="Z11" s="92">
        <f>+AGUINALDO!I8</f>
        <v>0</v>
      </c>
      <c r="AA11" s="86"/>
      <c r="AB11" s="86"/>
      <c r="AC11" s="92">
        <f t="shared" si="0"/>
        <v>0</v>
      </c>
      <c r="AD11" s="92">
        <f t="shared" si="1"/>
        <v>0</v>
      </c>
      <c r="AE11" s="92">
        <f t="shared" si="2"/>
        <v>0</v>
      </c>
    </row>
    <row r="12" spans="2:31" x14ac:dyDescent="0.25">
      <c r="B12" s="304" t="s">
        <v>315</v>
      </c>
      <c r="C12" s="305"/>
      <c r="E12" s="50" t="s">
        <v>80</v>
      </c>
      <c r="F12" s="91">
        <f>+'LISTA TRABAJADORES'!F11</f>
        <v>5478565521</v>
      </c>
      <c r="G12" s="91" t="str">
        <f>+'LISTA TRABAJADORES'!G11</f>
        <v>ALEJANDRO VENEGAS</v>
      </c>
      <c r="H12" s="53">
        <f>+'LISTA TRABAJADORES'!H11</f>
        <v>300</v>
      </c>
      <c r="I12" s="53">
        <f>+'CUOTAS IMSS'!L11</f>
        <v>314.78999999999996</v>
      </c>
      <c r="J12" s="53">
        <f>+I12*'ISR '!I12</f>
        <v>4721.8499999999995</v>
      </c>
      <c r="K12" s="98">
        <v>0.1</v>
      </c>
      <c r="L12" s="59">
        <f>IFERROR(IF('Datos y Resumen '!$E$62=1,'OTRAS PRESTACIONES'!J12*'OTRAS PRESTACIONES'!K12,0),0)</f>
        <v>0</v>
      </c>
      <c r="M12" s="98">
        <v>0.1</v>
      </c>
      <c r="N12" s="59">
        <f>IFERROR(IF('Datos y Resumen '!$E$63=1,'OTRAS PRESTACIONES'!J12*'OTRAS PRESTACIONES'!M12,0),0)</f>
        <v>0</v>
      </c>
      <c r="O12" s="59">
        <f>+'HORAS EXTRAS'!J10</f>
        <v>0</v>
      </c>
      <c r="P12" s="59">
        <f>+'HORAS EXTRAS'!K10</f>
        <v>0</v>
      </c>
      <c r="Q12" s="86"/>
      <c r="R12" s="86"/>
      <c r="S12" s="86"/>
      <c r="T12" s="86"/>
      <c r="U12" s="98">
        <v>0.4</v>
      </c>
      <c r="V12" s="59">
        <f>+IFERROR(IF('Datos y Resumen '!$E$61=1,$M$2*'ISR '!I12*U12,0),0)</f>
        <v>0</v>
      </c>
      <c r="W12" s="86"/>
      <c r="X12" s="86"/>
      <c r="Y12" s="92">
        <f>+AGUINALDO!H9</f>
        <v>0</v>
      </c>
      <c r="Z12" s="92">
        <f>+AGUINALDO!I9</f>
        <v>0</v>
      </c>
      <c r="AA12" s="86"/>
      <c r="AB12" s="86"/>
      <c r="AC12" s="92">
        <f t="shared" si="0"/>
        <v>0</v>
      </c>
      <c r="AD12" s="92">
        <f t="shared" si="1"/>
        <v>0</v>
      </c>
      <c r="AE12" s="92">
        <f t="shared" si="2"/>
        <v>0</v>
      </c>
    </row>
    <row r="13" spans="2:31" x14ac:dyDescent="0.25">
      <c r="B13" s="304" t="s">
        <v>192</v>
      </c>
      <c r="C13" s="305"/>
      <c r="E13" s="50" t="s">
        <v>81</v>
      </c>
      <c r="F13" s="91">
        <f>+'LISTA TRABAJADORES'!F12</f>
        <v>5258525822</v>
      </c>
      <c r="G13" s="91" t="str">
        <f>+'LISTA TRABAJADORES'!G12</f>
        <v>MARTHA ZAVALA</v>
      </c>
      <c r="H13" s="53">
        <f>+'LISTA TRABAJADORES'!H12</f>
        <v>350</v>
      </c>
      <c r="I13" s="53">
        <f>+'CUOTAS IMSS'!L12</f>
        <v>367.25499999999994</v>
      </c>
      <c r="J13" s="53">
        <f>+I13*'ISR '!I13</f>
        <v>5508.8249999999989</v>
      </c>
      <c r="K13" s="98">
        <v>0.1</v>
      </c>
      <c r="L13" s="59">
        <f>IFERROR(IF('Datos y Resumen '!$E$62=1,'OTRAS PRESTACIONES'!J13*'OTRAS PRESTACIONES'!K13,0),0)</f>
        <v>0</v>
      </c>
      <c r="M13" s="98">
        <v>0.1</v>
      </c>
      <c r="N13" s="59">
        <f>IFERROR(IF('Datos y Resumen '!$E$63=1,'OTRAS PRESTACIONES'!J13*'OTRAS PRESTACIONES'!M13,0),0)</f>
        <v>0</v>
      </c>
      <c r="O13" s="59">
        <f>+'HORAS EXTRAS'!J11</f>
        <v>0</v>
      </c>
      <c r="P13" s="59">
        <f>+'HORAS EXTRAS'!K11</f>
        <v>0</v>
      </c>
      <c r="Q13" s="86"/>
      <c r="R13" s="86"/>
      <c r="S13" s="86"/>
      <c r="T13" s="86"/>
      <c r="U13" s="98">
        <v>0.4</v>
      </c>
      <c r="V13" s="59">
        <f>+IFERROR(IF('Datos y Resumen '!$E$61=1,$M$2*'ISR '!I13*U13,0),0)</f>
        <v>0</v>
      </c>
      <c r="W13" s="86"/>
      <c r="X13" s="86"/>
      <c r="Y13" s="92">
        <f>+AGUINALDO!H10</f>
        <v>0</v>
      </c>
      <c r="Z13" s="92">
        <f>+AGUINALDO!I10</f>
        <v>0</v>
      </c>
      <c r="AA13" s="86"/>
      <c r="AB13" s="86"/>
      <c r="AC13" s="92">
        <f t="shared" si="0"/>
        <v>0</v>
      </c>
      <c r="AD13" s="92">
        <f t="shared" si="1"/>
        <v>0</v>
      </c>
      <c r="AE13" s="92">
        <f t="shared" si="2"/>
        <v>0</v>
      </c>
    </row>
    <row r="14" spans="2:31" x14ac:dyDescent="0.25">
      <c r="B14" s="306" t="s">
        <v>236</v>
      </c>
      <c r="C14" s="307"/>
      <c r="E14" s="50" t="s">
        <v>82</v>
      </c>
      <c r="F14" s="91">
        <f>+'LISTA TRABAJADORES'!F13</f>
        <v>2587566225</v>
      </c>
      <c r="G14" s="91" t="str">
        <f>+'LISTA TRABAJADORES'!G13</f>
        <v>CRISTINA MACIAS</v>
      </c>
      <c r="H14" s="53">
        <f>+'LISTA TRABAJADORES'!H13</f>
        <v>400</v>
      </c>
      <c r="I14" s="53">
        <f>+'CUOTAS IMSS'!L13</f>
        <v>419.71999999999997</v>
      </c>
      <c r="J14" s="53">
        <f>+I14*'ISR '!I14</f>
        <v>6295.7999999999993</v>
      </c>
      <c r="K14" s="98">
        <v>0.1</v>
      </c>
      <c r="L14" s="59">
        <f>IFERROR(IF('Datos y Resumen '!$E$62=1,'OTRAS PRESTACIONES'!J14*'OTRAS PRESTACIONES'!K14,0),0)</f>
        <v>0</v>
      </c>
      <c r="M14" s="98">
        <v>0.1</v>
      </c>
      <c r="N14" s="59">
        <f>IFERROR(IF('Datos y Resumen '!$E$63=1,'OTRAS PRESTACIONES'!J14*'OTRAS PRESTACIONES'!M14,0),0)</f>
        <v>0</v>
      </c>
      <c r="O14" s="59">
        <f>+'HORAS EXTRAS'!J12</f>
        <v>0</v>
      </c>
      <c r="P14" s="59">
        <f>+'HORAS EXTRAS'!K12</f>
        <v>0</v>
      </c>
      <c r="Q14" s="86"/>
      <c r="R14" s="86"/>
      <c r="S14" s="86"/>
      <c r="T14" s="86"/>
      <c r="U14" s="98">
        <v>0.4</v>
      </c>
      <c r="V14" s="59">
        <f>+IFERROR(IF('Datos y Resumen '!$E$61=1,$M$2*'ISR '!I14*U14,0),0)</f>
        <v>0</v>
      </c>
      <c r="W14" s="86"/>
      <c r="X14" s="86"/>
      <c r="Y14" s="92">
        <f>+AGUINALDO!H11</f>
        <v>0</v>
      </c>
      <c r="Z14" s="92">
        <f>+AGUINALDO!I11</f>
        <v>0</v>
      </c>
      <c r="AA14" s="86"/>
      <c r="AB14" s="86"/>
      <c r="AC14" s="92">
        <f t="shared" si="0"/>
        <v>0</v>
      </c>
      <c r="AD14" s="92">
        <f t="shared" si="1"/>
        <v>0</v>
      </c>
      <c r="AE14" s="92">
        <f t="shared" si="2"/>
        <v>0</v>
      </c>
    </row>
    <row r="15" spans="2:31" x14ac:dyDescent="0.25">
      <c r="B15" s="304" t="s">
        <v>316</v>
      </c>
      <c r="C15" s="305"/>
      <c r="E15" s="50" t="s">
        <v>83</v>
      </c>
      <c r="F15" s="91">
        <f>+'LISTA TRABAJADORES'!F14</f>
        <v>6585422585</v>
      </c>
      <c r="G15" s="91" t="str">
        <f>+'LISTA TRABAJADORES'!G14</f>
        <v>ANTONIO OCAMPOS</v>
      </c>
      <c r="H15" s="53">
        <f>+'LISTA TRABAJADORES'!H14</f>
        <v>500</v>
      </c>
      <c r="I15" s="53">
        <f>+'CUOTAS IMSS'!L14</f>
        <v>524.65</v>
      </c>
      <c r="J15" s="53">
        <f>+I15*'ISR '!I15</f>
        <v>7869.75</v>
      </c>
      <c r="K15" s="98">
        <v>0.1</v>
      </c>
      <c r="L15" s="59">
        <f>IFERROR(IF('Datos y Resumen '!$E$62=1,'OTRAS PRESTACIONES'!J15*'OTRAS PRESTACIONES'!K15,0),0)</f>
        <v>0</v>
      </c>
      <c r="M15" s="98">
        <v>0.1</v>
      </c>
      <c r="N15" s="59">
        <f>IFERROR(IF('Datos y Resumen '!$E$63=1,'OTRAS PRESTACIONES'!J15*'OTRAS PRESTACIONES'!M15,0),0)</f>
        <v>0</v>
      </c>
      <c r="O15" s="59">
        <f>+'HORAS EXTRAS'!J13</f>
        <v>0</v>
      </c>
      <c r="P15" s="59">
        <f>+'HORAS EXTRAS'!K13</f>
        <v>0</v>
      </c>
      <c r="Q15" s="86"/>
      <c r="R15" s="86"/>
      <c r="S15" s="86"/>
      <c r="T15" s="86"/>
      <c r="U15" s="98">
        <v>0.4</v>
      </c>
      <c r="V15" s="59">
        <f>+IFERROR(IF('Datos y Resumen '!$E$61=1,$M$2*'ISR '!I15*U15,0),0)</f>
        <v>0</v>
      </c>
      <c r="W15" s="86"/>
      <c r="X15" s="86"/>
      <c r="Y15" s="92">
        <f>+AGUINALDO!H12</f>
        <v>0</v>
      </c>
      <c r="Z15" s="92">
        <f>+AGUINALDO!I12</f>
        <v>0</v>
      </c>
      <c r="AA15" s="86"/>
      <c r="AB15" s="86"/>
      <c r="AC15" s="92">
        <f t="shared" si="0"/>
        <v>0</v>
      </c>
      <c r="AD15" s="92">
        <f t="shared" si="1"/>
        <v>0</v>
      </c>
      <c r="AE15" s="92">
        <f t="shared" si="2"/>
        <v>0</v>
      </c>
    </row>
    <row r="16" spans="2:31" x14ac:dyDescent="0.25">
      <c r="B16" s="306" t="s">
        <v>244</v>
      </c>
      <c r="C16" s="307"/>
      <c r="E16" s="50" t="s">
        <v>84</v>
      </c>
      <c r="F16" s="91">
        <f>+'LISTA TRABAJADORES'!F15</f>
        <v>0</v>
      </c>
      <c r="G16" s="91">
        <f>+'LISTA TRABAJADORES'!G15</f>
        <v>0</v>
      </c>
      <c r="H16" s="53">
        <f>+'LISTA TRABAJADORES'!H15</f>
        <v>0</v>
      </c>
      <c r="I16" s="53">
        <f>+'CUOTAS IMSS'!L15</f>
        <v>0</v>
      </c>
      <c r="J16" s="53">
        <f>+I16*'ISR '!I16</f>
        <v>0</v>
      </c>
      <c r="K16" s="98">
        <v>0.1</v>
      </c>
      <c r="L16" s="59">
        <f>IFERROR(IF('Datos y Resumen '!$E$62=1,'OTRAS PRESTACIONES'!J16*'OTRAS PRESTACIONES'!K16,0),0)</f>
        <v>0</v>
      </c>
      <c r="M16" s="98">
        <v>0.1</v>
      </c>
      <c r="N16" s="59">
        <f>IFERROR(IF('Datos y Resumen '!$E$63=1,'OTRAS PRESTACIONES'!J16*'OTRAS PRESTACIONES'!M16,0),0)</f>
        <v>0</v>
      </c>
      <c r="O16" s="59">
        <f>+'HORAS EXTRAS'!J14</f>
        <v>0</v>
      </c>
      <c r="P16" s="59">
        <f>+'HORAS EXTRAS'!K14</f>
        <v>0</v>
      </c>
      <c r="Q16" s="86"/>
      <c r="R16" s="86"/>
      <c r="S16" s="86"/>
      <c r="T16" s="86"/>
      <c r="U16" s="98">
        <v>0.4</v>
      </c>
      <c r="V16" s="59">
        <f>+IFERROR(IF('Datos y Resumen '!$E$61=1,$M$2*'ISR '!I16*U16,0),0)</f>
        <v>0</v>
      </c>
      <c r="W16" s="86"/>
      <c r="X16" s="86"/>
      <c r="Y16" s="92">
        <f>+AGUINALDO!H13</f>
        <v>0</v>
      </c>
      <c r="Z16" s="92">
        <f>+AGUINALDO!I13</f>
        <v>0</v>
      </c>
      <c r="AA16" s="86"/>
      <c r="AB16" s="86"/>
      <c r="AC16" s="92">
        <f t="shared" si="0"/>
        <v>0</v>
      </c>
      <c r="AD16" s="92">
        <f t="shared" si="1"/>
        <v>0</v>
      </c>
      <c r="AE16" s="92">
        <f t="shared" si="2"/>
        <v>0</v>
      </c>
    </row>
    <row r="17" spans="2:31" x14ac:dyDescent="0.25">
      <c r="B17" s="320" t="s">
        <v>356</v>
      </c>
      <c r="C17" s="321"/>
      <c r="E17" s="50" t="s">
        <v>85</v>
      </c>
      <c r="F17" s="91">
        <f>+'LISTA TRABAJADORES'!F16</f>
        <v>0</v>
      </c>
      <c r="G17" s="91">
        <f>+'LISTA TRABAJADORES'!G16</f>
        <v>0</v>
      </c>
      <c r="H17" s="53">
        <f>+'LISTA TRABAJADORES'!H16</f>
        <v>0</v>
      </c>
      <c r="I17" s="53">
        <f>+'CUOTAS IMSS'!L16</f>
        <v>0</v>
      </c>
      <c r="J17" s="53">
        <f>+I17*'ISR '!I17</f>
        <v>0</v>
      </c>
      <c r="K17" s="98">
        <v>0.1</v>
      </c>
      <c r="L17" s="59">
        <f>IFERROR(IF('Datos y Resumen '!$E$62=1,'OTRAS PRESTACIONES'!J17*'OTRAS PRESTACIONES'!K17,0),0)</f>
        <v>0</v>
      </c>
      <c r="M17" s="98">
        <v>0.1</v>
      </c>
      <c r="N17" s="59">
        <f>IFERROR(IF('Datos y Resumen '!$E$63=1,'OTRAS PRESTACIONES'!J17*'OTRAS PRESTACIONES'!M17,0),0)</f>
        <v>0</v>
      </c>
      <c r="O17" s="59">
        <f>+'HORAS EXTRAS'!J15</f>
        <v>0</v>
      </c>
      <c r="P17" s="59">
        <f>+'HORAS EXTRAS'!K15</f>
        <v>0</v>
      </c>
      <c r="Q17" s="86"/>
      <c r="R17" s="86"/>
      <c r="S17" s="86"/>
      <c r="T17" s="86"/>
      <c r="U17" s="98">
        <v>0.4</v>
      </c>
      <c r="V17" s="59">
        <f>+IFERROR(IF('Datos y Resumen '!$E$61=1,$M$2*'ISR '!I17*U17,0),0)</f>
        <v>0</v>
      </c>
      <c r="W17" s="86"/>
      <c r="X17" s="86"/>
      <c r="Y17" s="92">
        <f>+AGUINALDO!H14</f>
        <v>0</v>
      </c>
      <c r="Z17" s="92">
        <f>+AGUINALDO!I14</f>
        <v>0</v>
      </c>
      <c r="AA17" s="86"/>
      <c r="AB17" s="86"/>
      <c r="AC17" s="92">
        <f t="shared" si="0"/>
        <v>0</v>
      </c>
      <c r="AD17" s="92">
        <f t="shared" si="1"/>
        <v>0</v>
      </c>
      <c r="AE17" s="92">
        <f t="shared" si="2"/>
        <v>0</v>
      </c>
    </row>
    <row r="18" spans="2:31" ht="15.75" thickBot="1" x14ac:dyDescent="0.3">
      <c r="B18" s="318" t="s">
        <v>330</v>
      </c>
      <c r="C18" s="319"/>
      <c r="E18" s="50" t="s">
        <v>86</v>
      </c>
      <c r="F18" s="91">
        <f>+'LISTA TRABAJADORES'!F17</f>
        <v>0</v>
      </c>
      <c r="G18" s="91">
        <f>+'LISTA TRABAJADORES'!G17</f>
        <v>0</v>
      </c>
      <c r="H18" s="53">
        <f>+'LISTA TRABAJADORES'!H17</f>
        <v>0</v>
      </c>
      <c r="I18" s="53">
        <f>+'CUOTAS IMSS'!L17</f>
        <v>0</v>
      </c>
      <c r="J18" s="53">
        <f>+I18*'ISR '!I18</f>
        <v>0</v>
      </c>
      <c r="K18" s="98">
        <v>0.1</v>
      </c>
      <c r="L18" s="59">
        <f>IFERROR(IF('Datos y Resumen '!$E$62=1,'OTRAS PRESTACIONES'!J18*'OTRAS PRESTACIONES'!K18,0),0)</f>
        <v>0</v>
      </c>
      <c r="M18" s="98">
        <v>0.1</v>
      </c>
      <c r="N18" s="59">
        <f>IFERROR(IF('Datos y Resumen '!$E$63=1,'OTRAS PRESTACIONES'!J18*'OTRAS PRESTACIONES'!M18,0),0)</f>
        <v>0</v>
      </c>
      <c r="O18" s="59">
        <f>+'HORAS EXTRAS'!J16</f>
        <v>0</v>
      </c>
      <c r="P18" s="59">
        <f>+'HORAS EXTRAS'!K16</f>
        <v>0</v>
      </c>
      <c r="Q18" s="86"/>
      <c r="R18" s="86"/>
      <c r="S18" s="86"/>
      <c r="T18" s="86"/>
      <c r="U18" s="98">
        <v>0.4</v>
      </c>
      <c r="V18" s="59">
        <f>+IFERROR(IF('Datos y Resumen '!$E$61=1,$M$2*'ISR '!I18*U18,0),0)</f>
        <v>0</v>
      </c>
      <c r="W18" s="86"/>
      <c r="X18" s="86"/>
      <c r="Y18" s="92">
        <f>+AGUINALDO!H15</f>
        <v>0</v>
      </c>
      <c r="Z18" s="92">
        <f>+AGUINALDO!I15</f>
        <v>0</v>
      </c>
      <c r="AA18" s="86"/>
      <c r="AB18" s="86"/>
      <c r="AC18" s="92">
        <f t="shared" si="0"/>
        <v>0</v>
      </c>
      <c r="AD18" s="92">
        <f t="shared" si="1"/>
        <v>0</v>
      </c>
      <c r="AE18" s="92">
        <f t="shared" si="2"/>
        <v>0</v>
      </c>
    </row>
    <row r="19" spans="2:31" x14ac:dyDescent="0.25">
      <c r="E19" s="50" t="s">
        <v>87</v>
      </c>
      <c r="F19" s="91">
        <f>+'LISTA TRABAJADORES'!F18</f>
        <v>0</v>
      </c>
      <c r="G19" s="91">
        <f>+'LISTA TRABAJADORES'!G18</f>
        <v>0</v>
      </c>
      <c r="H19" s="53">
        <f>+'LISTA TRABAJADORES'!H18</f>
        <v>0</v>
      </c>
      <c r="I19" s="53">
        <f>+'CUOTAS IMSS'!L18</f>
        <v>0</v>
      </c>
      <c r="J19" s="53">
        <f>+I19*'ISR '!I19</f>
        <v>0</v>
      </c>
      <c r="K19" s="98">
        <v>0.1</v>
      </c>
      <c r="L19" s="59">
        <f>IFERROR(IF('Datos y Resumen '!$E$62=1,'OTRAS PRESTACIONES'!J19*'OTRAS PRESTACIONES'!K19,0),0)</f>
        <v>0</v>
      </c>
      <c r="M19" s="98">
        <v>0.1</v>
      </c>
      <c r="N19" s="59">
        <f>IFERROR(IF('Datos y Resumen '!$E$63=1,'OTRAS PRESTACIONES'!J19*'OTRAS PRESTACIONES'!M19,0),0)</f>
        <v>0</v>
      </c>
      <c r="O19" s="59">
        <f>+'HORAS EXTRAS'!J17</f>
        <v>0</v>
      </c>
      <c r="P19" s="59">
        <f>+'HORAS EXTRAS'!K17</f>
        <v>0</v>
      </c>
      <c r="Q19" s="86"/>
      <c r="R19" s="86"/>
      <c r="S19" s="86"/>
      <c r="T19" s="86"/>
      <c r="U19" s="98">
        <v>0.4</v>
      </c>
      <c r="V19" s="59">
        <f>+IFERROR(IF('Datos y Resumen '!$E$61=1,$M$2*'ISR '!I19*U19,0),0)</f>
        <v>0</v>
      </c>
      <c r="W19" s="86"/>
      <c r="X19" s="86"/>
      <c r="Y19" s="92">
        <f>+AGUINALDO!H16</f>
        <v>0</v>
      </c>
      <c r="Z19" s="92">
        <f>+AGUINALDO!I16</f>
        <v>0</v>
      </c>
      <c r="AA19" s="86"/>
      <c r="AB19" s="86"/>
      <c r="AC19" s="92">
        <f t="shared" si="0"/>
        <v>0</v>
      </c>
      <c r="AD19" s="92">
        <f t="shared" si="1"/>
        <v>0</v>
      </c>
      <c r="AE19" s="92">
        <f t="shared" si="2"/>
        <v>0</v>
      </c>
    </row>
    <row r="20" spans="2:31" x14ac:dyDescent="0.25">
      <c r="E20" s="50" t="s">
        <v>88</v>
      </c>
      <c r="F20" s="91">
        <f>+'LISTA TRABAJADORES'!F19</f>
        <v>0</v>
      </c>
      <c r="G20" s="91">
        <f>+'LISTA TRABAJADORES'!G19</f>
        <v>0</v>
      </c>
      <c r="H20" s="53">
        <f>+'LISTA TRABAJADORES'!H19</f>
        <v>0</v>
      </c>
      <c r="I20" s="53">
        <f>+'CUOTAS IMSS'!L19</f>
        <v>0</v>
      </c>
      <c r="J20" s="53">
        <f>+I20*'ISR '!I20</f>
        <v>0</v>
      </c>
      <c r="K20" s="98">
        <v>0.1</v>
      </c>
      <c r="L20" s="59">
        <f>IFERROR(IF('Datos y Resumen '!$E$62=1,'OTRAS PRESTACIONES'!J20*'OTRAS PRESTACIONES'!K20,0),0)</f>
        <v>0</v>
      </c>
      <c r="M20" s="98">
        <v>0.1</v>
      </c>
      <c r="N20" s="59">
        <f>IFERROR(IF('Datos y Resumen '!$E$63=1,'OTRAS PRESTACIONES'!J20*'OTRAS PRESTACIONES'!M20,0),0)</f>
        <v>0</v>
      </c>
      <c r="O20" s="59">
        <f>+'HORAS EXTRAS'!J18</f>
        <v>0</v>
      </c>
      <c r="P20" s="59">
        <f>+'HORAS EXTRAS'!K18</f>
        <v>0</v>
      </c>
      <c r="Q20" s="86"/>
      <c r="R20" s="86"/>
      <c r="S20" s="86"/>
      <c r="T20" s="86"/>
      <c r="U20" s="98">
        <v>0.4</v>
      </c>
      <c r="V20" s="59">
        <f>+IFERROR(IF('Datos y Resumen '!$E$61=1,$M$2*'ISR '!I20*U20,0),0)</f>
        <v>0</v>
      </c>
      <c r="W20" s="86"/>
      <c r="X20" s="86"/>
      <c r="Y20" s="92">
        <f>+AGUINALDO!H17</f>
        <v>0</v>
      </c>
      <c r="Z20" s="92">
        <f>+AGUINALDO!I17</f>
        <v>0</v>
      </c>
      <c r="AA20" s="86"/>
      <c r="AB20" s="86"/>
      <c r="AC20" s="92">
        <f t="shared" si="0"/>
        <v>0</v>
      </c>
      <c r="AD20" s="92">
        <f t="shared" si="1"/>
        <v>0</v>
      </c>
      <c r="AE20" s="92">
        <f t="shared" si="2"/>
        <v>0</v>
      </c>
    </row>
    <row r="21" spans="2:31" x14ac:dyDescent="0.25">
      <c r="E21" s="50" t="s">
        <v>89</v>
      </c>
      <c r="F21" s="91">
        <f>+'LISTA TRABAJADORES'!F20</f>
        <v>0</v>
      </c>
      <c r="G21" s="91">
        <f>+'LISTA TRABAJADORES'!G20</f>
        <v>0</v>
      </c>
      <c r="H21" s="53">
        <f>+'LISTA TRABAJADORES'!H20</f>
        <v>0</v>
      </c>
      <c r="I21" s="53">
        <f>+'CUOTAS IMSS'!L20</f>
        <v>0</v>
      </c>
      <c r="J21" s="53">
        <f>+I21*'ISR '!I21</f>
        <v>0</v>
      </c>
      <c r="K21" s="98">
        <v>0.1</v>
      </c>
      <c r="L21" s="59">
        <f>IFERROR(IF('Datos y Resumen '!$E$62=1,'OTRAS PRESTACIONES'!J21*'OTRAS PRESTACIONES'!K21,0),0)</f>
        <v>0</v>
      </c>
      <c r="M21" s="98">
        <v>0.1</v>
      </c>
      <c r="N21" s="59">
        <f>IFERROR(IF('Datos y Resumen '!$E$63=1,'OTRAS PRESTACIONES'!J21*'OTRAS PRESTACIONES'!M21,0),0)</f>
        <v>0</v>
      </c>
      <c r="O21" s="59">
        <f>+'HORAS EXTRAS'!J19</f>
        <v>0</v>
      </c>
      <c r="P21" s="59">
        <f>+'HORAS EXTRAS'!K19</f>
        <v>0</v>
      </c>
      <c r="Q21" s="86"/>
      <c r="R21" s="86"/>
      <c r="S21" s="86"/>
      <c r="T21" s="86"/>
      <c r="U21" s="98">
        <v>0.4</v>
      </c>
      <c r="V21" s="59">
        <f>+IFERROR(IF('Datos y Resumen '!$E$61=1,$M$2*'ISR '!I21*U21,0),0)</f>
        <v>0</v>
      </c>
      <c r="W21" s="86"/>
      <c r="X21" s="86"/>
      <c r="Y21" s="92">
        <f>+AGUINALDO!H18</f>
        <v>0</v>
      </c>
      <c r="Z21" s="92">
        <f>+AGUINALDO!I18</f>
        <v>0</v>
      </c>
      <c r="AA21" s="86"/>
      <c r="AB21" s="86"/>
      <c r="AC21" s="92">
        <f t="shared" si="0"/>
        <v>0</v>
      </c>
      <c r="AD21" s="92">
        <f t="shared" si="1"/>
        <v>0</v>
      </c>
      <c r="AE21" s="92">
        <f t="shared" si="2"/>
        <v>0</v>
      </c>
    </row>
    <row r="22" spans="2:31" x14ac:dyDescent="0.25">
      <c r="E22" s="50" t="s">
        <v>90</v>
      </c>
      <c r="F22" s="91">
        <f>+'LISTA TRABAJADORES'!F21</f>
        <v>0</v>
      </c>
      <c r="G22" s="91">
        <f>+'LISTA TRABAJADORES'!G21</f>
        <v>0</v>
      </c>
      <c r="H22" s="53">
        <f>+'LISTA TRABAJADORES'!H21</f>
        <v>0</v>
      </c>
      <c r="I22" s="53">
        <f>+'CUOTAS IMSS'!L21</f>
        <v>0</v>
      </c>
      <c r="J22" s="53">
        <f>+I22*'ISR '!I22</f>
        <v>0</v>
      </c>
      <c r="K22" s="98">
        <v>0.1</v>
      </c>
      <c r="L22" s="59">
        <f>IFERROR(IF('Datos y Resumen '!$E$62=1,'OTRAS PRESTACIONES'!J22*'OTRAS PRESTACIONES'!K22,0),0)</f>
        <v>0</v>
      </c>
      <c r="M22" s="98">
        <v>0.1</v>
      </c>
      <c r="N22" s="59">
        <f>IFERROR(IF('Datos y Resumen '!$E$63=1,'OTRAS PRESTACIONES'!J22*'OTRAS PRESTACIONES'!M22,0),0)</f>
        <v>0</v>
      </c>
      <c r="O22" s="59">
        <f>+'HORAS EXTRAS'!J20</f>
        <v>0</v>
      </c>
      <c r="P22" s="59">
        <f>+'HORAS EXTRAS'!K20</f>
        <v>0</v>
      </c>
      <c r="Q22" s="86"/>
      <c r="R22" s="86"/>
      <c r="S22" s="86"/>
      <c r="T22" s="86"/>
      <c r="U22" s="98">
        <v>0.4</v>
      </c>
      <c r="V22" s="59">
        <f>+IFERROR(IF('Datos y Resumen '!$E$61=1,$M$2*'ISR '!I22*U22,0),0)</f>
        <v>0</v>
      </c>
      <c r="W22" s="86"/>
      <c r="X22" s="86"/>
      <c r="Y22" s="92">
        <f>+AGUINALDO!H19</f>
        <v>0</v>
      </c>
      <c r="Z22" s="92">
        <f>+AGUINALDO!I19</f>
        <v>0</v>
      </c>
      <c r="AA22" s="86"/>
      <c r="AB22" s="86"/>
      <c r="AC22" s="92">
        <f t="shared" si="0"/>
        <v>0</v>
      </c>
      <c r="AD22" s="92">
        <f t="shared" si="1"/>
        <v>0</v>
      </c>
      <c r="AE22" s="92">
        <f t="shared" si="2"/>
        <v>0</v>
      </c>
    </row>
    <row r="23" spans="2:31" x14ac:dyDescent="0.25">
      <c r="E23" s="50" t="s">
        <v>91</v>
      </c>
      <c r="F23" s="91">
        <f>+'LISTA TRABAJADORES'!F22</f>
        <v>0</v>
      </c>
      <c r="G23" s="91">
        <f>+'LISTA TRABAJADORES'!G22</f>
        <v>0</v>
      </c>
      <c r="H23" s="53">
        <f>+'LISTA TRABAJADORES'!H22</f>
        <v>0</v>
      </c>
      <c r="I23" s="53">
        <f>+'CUOTAS IMSS'!L22</f>
        <v>0</v>
      </c>
      <c r="J23" s="53">
        <f>+I23*'ISR '!I23</f>
        <v>0</v>
      </c>
      <c r="K23" s="98">
        <v>0.1</v>
      </c>
      <c r="L23" s="59">
        <f>IFERROR(IF('Datos y Resumen '!$E$62=1,'OTRAS PRESTACIONES'!J23*'OTRAS PRESTACIONES'!K23,0),0)</f>
        <v>0</v>
      </c>
      <c r="M23" s="98">
        <v>0.1</v>
      </c>
      <c r="N23" s="59">
        <f>IFERROR(IF('Datos y Resumen '!$E$63=1,'OTRAS PRESTACIONES'!J23*'OTRAS PRESTACIONES'!M23,0),0)</f>
        <v>0</v>
      </c>
      <c r="O23" s="59">
        <f>+'HORAS EXTRAS'!J21</f>
        <v>0</v>
      </c>
      <c r="P23" s="59">
        <f>+'HORAS EXTRAS'!K21</f>
        <v>0</v>
      </c>
      <c r="Q23" s="86"/>
      <c r="R23" s="86"/>
      <c r="S23" s="86"/>
      <c r="T23" s="86"/>
      <c r="U23" s="98">
        <v>0.4</v>
      </c>
      <c r="V23" s="59">
        <f>+IFERROR(IF('Datos y Resumen '!$E$61=1,$M$2*'ISR '!I23*U23,0),0)</f>
        <v>0</v>
      </c>
      <c r="W23" s="86"/>
      <c r="X23" s="86"/>
      <c r="Y23" s="92">
        <f>+AGUINALDO!H20</f>
        <v>0</v>
      </c>
      <c r="Z23" s="92">
        <f>+AGUINALDO!I20</f>
        <v>0</v>
      </c>
      <c r="AA23" s="86"/>
      <c r="AB23" s="86"/>
      <c r="AC23" s="92">
        <f t="shared" si="0"/>
        <v>0</v>
      </c>
      <c r="AD23" s="92">
        <f t="shared" si="1"/>
        <v>0</v>
      </c>
      <c r="AE23" s="92">
        <f t="shared" si="2"/>
        <v>0</v>
      </c>
    </row>
    <row r="24" spans="2:31" x14ac:dyDescent="0.25">
      <c r="E24" s="50" t="s">
        <v>92</v>
      </c>
      <c r="F24" s="91">
        <f>+'LISTA TRABAJADORES'!F23</f>
        <v>0</v>
      </c>
      <c r="G24" s="91">
        <f>+'LISTA TRABAJADORES'!G23</f>
        <v>0</v>
      </c>
      <c r="H24" s="53">
        <f>+'LISTA TRABAJADORES'!H23</f>
        <v>0</v>
      </c>
      <c r="I24" s="53">
        <f>+'CUOTAS IMSS'!L23</f>
        <v>0</v>
      </c>
      <c r="J24" s="53">
        <f>+I24*'ISR '!I24</f>
        <v>0</v>
      </c>
      <c r="K24" s="98">
        <v>0.1</v>
      </c>
      <c r="L24" s="59">
        <f>IFERROR(IF('Datos y Resumen '!$E$62=1,'OTRAS PRESTACIONES'!J24*'OTRAS PRESTACIONES'!K24,0),0)</f>
        <v>0</v>
      </c>
      <c r="M24" s="98">
        <v>0.1</v>
      </c>
      <c r="N24" s="59">
        <f>IFERROR(IF('Datos y Resumen '!$E$63=1,'OTRAS PRESTACIONES'!J24*'OTRAS PRESTACIONES'!M24,0),0)</f>
        <v>0</v>
      </c>
      <c r="O24" s="59">
        <f>+'HORAS EXTRAS'!J22</f>
        <v>0</v>
      </c>
      <c r="P24" s="59">
        <f>+'HORAS EXTRAS'!K22</f>
        <v>0</v>
      </c>
      <c r="Q24" s="86"/>
      <c r="R24" s="86"/>
      <c r="S24" s="86"/>
      <c r="T24" s="86"/>
      <c r="U24" s="98">
        <v>0.4</v>
      </c>
      <c r="V24" s="59">
        <f>+IFERROR(IF('Datos y Resumen '!$E$61=1,$M$2*'ISR '!I24*U24,0),0)</f>
        <v>0</v>
      </c>
      <c r="W24" s="86"/>
      <c r="X24" s="86"/>
      <c r="Y24" s="92">
        <f>+AGUINALDO!H21</f>
        <v>0</v>
      </c>
      <c r="Z24" s="92">
        <f>+AGUINALDO!I21</f>
        <v>0</v>
      </c>
      <c r="AA24" s="86"/>
      <c r="AB24" s="86"/>
      <c r="AC24" s="92">
        <f t="shared" si="0"/>
        <v>0</v>
      </c>
      <c r="AD24" s="92">
        <f t="shared" si="1"/>
        <v>0</v>
      </c>
      <c r="AE24" s="92">
        <f t="shared" si="2"/>
        <v>0</v>
      </c>
    </row>
    <row r="25" spans="2:31" x14ac:dyDescent="0.25">
      <c r="E25" s="50" t="s">
        <v>93</v>
      </c>
      <c r="F25" s="91">
        <f>+'LISTA TRABAJADORES'!F24</f>
        <v>0</v>
      </c>
      <c r="G25" s="91">
        <f>+'LISTA TRABAJADORES'!G24</f>
        <v>0</v>
      </c>
      <c r="H25" s="53">
        <f>+'LISTA TRABAJADORES'!H24</f>
        <v>0</v>
      </c>
      <c r="I25" s="53">
        <f>+'CUOTAS IMSS'!L24</f>
        <v>0</v>
      </c>
      <c r="J25" s="53">
        <f>+I25*'ISR '!I25</f>
        <v>0</v>
      </c>
      <c r="K25" s="98">
        <v>0.1</v>
      </c>
      <c r="L25" s="59">
        <f>IFERROR(IF('Datos y Resumen '!$E$62=1,'OTRAS PRESTACIONES'!J25*'OTRAS PRESTACIONES'!K25,0),0)</f>
        <v>0</v>
      </c>
      <c r="M25" s="98">
        <v>0.1</v>
      </c>
      <c r="N25" s="59">
        <f>IFERROR(IF('Datos y Resumen '!$E$63=1,'OTRAS PRESTACIONES'!J25*'OTRAS PRESTACIONES'!M25,0),0)</f>
        <v>0</v>
      </c>
      <c r="O25" s="59">
        <f>+'HORAS EXTRAS'!J23</f>
        <v>0</v>
      </c>
      <c r="P25" s="59">
        <f>+'HORAS EXTRAS'!K23</f>
        <v>0</v>
      </c>
      <c r="Q25" s="86"/>
      <c r="R25" s="86"/>
      <c r="S25" s="86"/>
      <c r="T25" s="86"/>
      <c r="U25" s="98">
        <v>0.4</v>
      </c>
      <c r="V25" s="59">
        <f>+IFERROR(IF('Datos y Resumen '!$E$61=1,$M$2*'ISR '!I25*U25,0),0)</f>
        <v>0</v>
      </c>
      <c r="W25" s="86"/>
      <c r="X25" s="86"/>
      <c r="Y25" s="92">
        <f>+AGUINALDO!H22</f>
        <v>0</v>
      </c>
      <c r="Z25" s="92">
        <f>+AGUINALDO!I22</f>
        <v>0</v>
      </c>
      <c r="AA25" s="86"/>
      <c r="AB25" s="86"/>
      <c r="AC25" s="92">
        <f t="shared" si="0"/>
        <v>0</v>
      </c>
      <c r="AD25" s="92">
        <f t="shared" si="1"/>
        <v>0</v>
      </c>
      <c r="AE25" s="92">
        <f t="shared" si="2"/>
        <v>0</v>
      </c>
    </row>
    <row r="26" spans="2:31" x14ac:dyDescent="0.25">
      <c r="E26" s="50" t="s">
        <v>94</v>
      </c>
      <c r="F26" s="91">
        <f>+'LISTA TRABAJADORES'!F25</f>
        <v>0</v>
      </c>
      <c r="G26" s="91">
        <f>+'LISTA TRABAJADORES'!G25</f>
        <v>0</v>
      </c>
      <c r="H26" s="53">
        <f>+'LISTA TRABAJADORES'!H25</f>
        <v>0</v>
      </c>
      <c r="I26" s="53">
        <f>+'CUOTAS IMSS'!L25</f>
        <v>0</v>
      </c>
      <c r="J26" s="53">
        <f>+I26*'ISR '!I26</f>
        <v>0</v>
      </c>
      <c r="K26" s="98">
        <v>0.1</v>
      </c>
      <c r="L26" s="59">
        <f>IFERROR(IF('Datos y Resumen '!$E$62=1,'OTRAS PRESTACIONES'!J26*'OTRAS PRESTACIONES'!K26,0),0)</f>
        <v>0</v>
      </c>
      <c r="M26" s="98">
        <v>0.1</v>
      </c>
      <c r="N26" s="59">
        <f>IFERROR(IF('Datos y Resumen '!$E$63=1,'OTRAS PRESTACIONES'!J26*'OTRAS PRESTACIONES'!M26,0),0)</f>
        <v>0</v>
      </c>
      <c r="O26" s="59">
        <f>+'HORAS EXTRAS'!J24</f>
        <v>0</v>
      </c>
      <c r="P26" s="59">
        <f>+'HORAS EXTRAS'!K24</f>
        <v>0</v>
      </c>
      <c r="Q26" s="86"/>
      <c r="R26" s="86"/>
      <c r="S26" s="86"/>
      <c r="T26" s="86"/>
      <c r="U26" s="98">
        <v>0.4</v>
      </c>
      <c r="V26" s="59">
        <f>+IFERROR(IF('Datos y Resumen '!$E$61=1,$M$2*'ISR '!I26*U26,0),0)</f>
        <v>0</v>
      </c>
      <c r="W26" s="86"/>
      <c r="X26" s="86"/>
      <c r="Y26" s="92">
        <f>+AGUINALDO!H23</f>
        <v>0</v>
      </c>
      <c r="Z26" s="92">
        <f>+AGUINALDO!I23</f>
        <v>0</v>
      </c>
      <c r="AA26" s="86"/>
      <c r="AB26" s="86"/>
      <c r="AC26" s="92">
        <f t="shared" si="0"/>
        <v>0</v>
      </c>
      <c r="AD26" s="92">
        <f t="shared" si="1"/>
        <v>0</v>
      </c>
      <c r="AE26" s="92">
        <f t="shared" si="2"/>
        <v>0</v>
      </c>
    </row>
    <row r="27" spans="2:31" x14ac:dyDescent="0.25">
      <c r="E27" s="50" t="s">
        <v>95</v>
      </c>
      <c r="F27" s="91">
        <f>+'LISTA TRABAJADORES'!F26</f>
        <v>0</v>
      </c>
      <c r="G27" s="91">
        <f>+'LISTA TRABAJADORES'!G26</f>
        <v>0</v>
      </c>
      <c r="H27" s="53">
        <f>+'LISTA TRABAJADORES'!H26</f>
        <v>0</v>
      </c>
      <c r="I27" s="53">
        <f>+'CUOTAS IMSS'!L26</f>
        <v>0</v>
      </c>
      <c r="J27" s="53">
        <f>+I27*'ISR '!I27</f>
        <v>0</v>
      </c>
      <c r="K27" s="98">
        <v>0.1</v>
      </c>
      <c r="L27" s="59">
        <f>IFERROR(IF('Datos y Resumen '!$E$62=1,'OTRAS PRESTACIONES'!J27*'OTRAS PRESTACIONES'!K27,0),0)</f>
        <v>0</v>
      </c>
      <c r="M27" s="98">
        <v>0.1</v>
      </c>
      <c r="N27" s="59">
        <f>IFERROR(IF('Datos y Resumen '!$E$63=1,'OTRAS PRESTACIONES'!J27*'OTRAS PRESTACIONES'!M27,0),0)</f>
        <v>0</v>
      </c>
      <c r="O27" s="59">
        <f>+'HORAS EXTRAS'!J25</f>
        <v>0</v>
      </c>
      <c r="P27" s="59">
        <f>+'HORAS EXTRAS'!K25</f>
        <v>0</v>
      </c>
      <c r="Q27" s="86"/>
      <c r="R27" s="86"/>
      <c r="S27" s="86"/>
      <c r="T27" s="86"/>
      <c r="U27" s="98">
        <v>0.4</v>
      </c>
      <c r="V27" s="59">
        <f>+IFERROR(IF('Datos y Resumen '!$E$61=1,$M$2*'ISR '!I27*U27,0),0)</f>
        <v>0</v>
      </c>
      <c r="W27" s="86"/>
      <c r="X27" s="86"/>
      <c r="Y27" s="92">
        <f>+AGUINALDO!H24</f>
        <v>0</v>
      </c>
      <c r="Z27" s="92">
        <f>+AGUINALDO!I24</f>
        <v>0</v>
      </c>
      <c r="AA27" s="86"/>
      <c r="AB27" s="86"/>
      <c r="AC27" s="92">
        <f t="shared" si="0"/>
        <v>0</v>
      </c>
      <c r="AD27" s="92">
        <f t="shared" si="1"/>
        <v>0</v>
      </c>
      <c r="AE27" s="92">
        <f t="shared" si="2"/>
        <v>0</v>
      </c>
    </row>
    <row r="28" spans="2:31" x14ac:dyDescent="0.25">
      <c r="E28" s="50" t="s">
        <v>96</v>
      </c>
      <c r="F28" s="91">
        <f>+'LISTA TRABAJADORES'!F27</f>
        <v>0</v>
      </c>
      <c r="G28" s="91">
        <f>+'LISTA TRABAJADORES'!G27</f>
        <v>0</v>
      </c>
      <c r="H28" s="53">
        <f>+'LISTA TRABAJADORES'!H27</f>
        <v>0</v>
      </c>
      <c r="I28" s="53">
        <f>+'CUOTAS IMSS'!L27</f>
        <v>0</v>
      </c>
      <c r="J28" s="53">
        <f>+I28*'ISR '!I28</f>
        <v>0</v>
      </c>
      <c r="K28" s="98">
        <v>0.1</v>
      </c>
      <c r="L28" s="59">
        <f>IFERROR(IF('Datos y Resumen '!$E$62=1,'OTRAS PRESTACIONES'!J28*'OTRAS PRESTACIONES'!K28,0),0)</f>
        <v>0</v>
      </c>
      <c r="M28" s="98">
        <v>0.1</v>
      </c>
      <c r="N28" s="59">
        <f>IFERROR(IF('Datos y Resumen '!$E$63=1,'OTRAS PRESTACIONES'!J28*'OTRAS PRESTACIONES'!M28,0),0)</f>
        <v>0</v>
      </c>
      <c r="O28" s="59">
        <f>+'HORAS EXTRAS'!J26</f>
        <v>0</v>
      </c>
      <c r="P28" s="59">
        <f>+'HORAS EXTRAS'!K26</f>
        <v>0</v>
      </c>
      <c r="Q28" s="86"/>
      <c r="R28" s="86"/>
      <c r="S28" s="86"/>
      <c r="T28" s="86"/>
      <c r="U28" s="98">
        <v>0.4</v>
      </c>
      <c r="V28" s="59">
        <f>+IFERROR(IF('Datos y Resumen '!$E$61=1,$M$2*'ISR '!I28*U28,0),0)</f>
        <v>0</v>
      </c>
      <c r="W28" s="86"/>
      <c r="X28" s="86"/>
      <c r="Y28" s="92">
        <f>+AGUINALDO!H25</f>
        <v>0</v>
      </c>
      <c r="Z28" s="92">
        <f>+AGUINALDO!I25</f>
        <v>0</v>
      </c>
      <c r="AA28" s="86"/>
      <c r="AB28" s="86"/>
      <c r="AC28" s="92">
        <f t="shared" si="0"/>
        <v>0</v>
      </c>
      <c r="AD28" s="92">
        <f t="shared" si="1"/>
        <v>0</v>
      </c>
      <c r="AE28" s="92">
        <f t="shared" si="2"/>
        <v>0</v>
      </c>
    </row>
    <row r="29" spans="2:31" x14ac:dyDescent="0.25">
      <c r="E29" s="50" t="s">
        <v>97</v>
      </c>
      <c r="F29" s="91">
        <f>+'LISTA TRABAJADORES'!F28</f>
        <v>0</v>
      </c>
      <c r="G29" s="91">
        <f>+'LISTA TRABAJADORES'!G28</f>
        <v>0</v>
      </c>
      <c r="H29" s="53">
        <f>+'LISTA TRABAJADORES'!H28</f>
        <v>0</v>
      </c>
      <c r="I29" s="53">
        <f>+'CUOTAS IMSS'!L28</f>
        <v>0</v>
      </c>
      <c r="J29" s="53">
        <f>+I29*'ISR '!I29</f>
        <v>0</v>
      </c>
      <c r="K29" s="98">
        <v>0.1</v>
      </c>
      <c r="L29" s="59">
        <f>IFERROR(IF('Datos y Resumen '!$E$62=1,'OTRAS PRESTACIONES'!J29*'OTRAS PRESTACIONES'!K29,0),0)</f>
        <v>0</v>
      </c>
      <c r="M29" s="98">
        <v>0.1</v>
      </c>
      <c r="N29" s="59">
        <f>IFERROR(IF('Datos y Resumen '!$E$63=1,'OTRAS PRESTACIONES'!J29*'OTRAS PRESTACIONES'!M29,0),0)</f>
        <v>0</v>
      </c>
      <c r="O29" s="59">
        <f>+'HORAS EXTRAS'!J27</f>
        <v>0</v>
      </c>
      <c r="P29" s="59">
        <f>+'HORAS EXTRAS'!K27</f>
        <v>0</v>
      </c>
      <c r="Q29" s="86"/>
      <c r="R29" s="86"/>
      <c r="S29" s="86"/>
      <c r="T29" s="86"/>
      <c r="U29" s="98">
        <v>0.4</v>
      </c>
      <c r="V29" s="59">
        <f>+IFERROR(IF('Datos y Resumen '!$E$61=1,$M$2*'ISR '!I29*U29,0),0)</f>
        <v>0</v>
      </c>
      <c r="W29" s="86"/>
      <c r="X29" s="86"/>
      <c r="Y29" s="92">
        <f>+AGUINALDO!H26</f>
        <v>0</v>
      </c>
      <c r="Z29" s="92">
        <f>+AGUINALDO!I26</f>
        <v>0</v>
      </c>
      <c r="AA29" s="86"/>
      <c r="AB29" s="86"/>
      <c r="AC29" s="92">
        <f t="shared" si="0"/>
        <v>0</v>
      </c>
      <c r="AD29" s="92">
        <f t="shared" si="1"/>
        <v>0</v>
      </c>
      <c r="AE29" s="92">
        <f t="shared" si="2"/>
        <v>0</v>
      </c>
    </row>
    <row r="30" spans="2:31" x14ac:dyDescent="0.25">
      <c r="E30" s="50" t="s">
        <v>98</v>
      </c>
      <c r="F30" s="91">
        <f>+'LISTA TRABAJADORES'!F29</f>
        <v>0</v>
      </c>
      <c r="G30" s="91">
        <f>+'LISTA TRABAJADORES'!G29</f>
        <v>0</v>
      </c>
      <c r="H30" s="53">
        <f>+'LISTA TRABAJADORES'!H29</f>
        <v>0</v>
      </c>
      <c r="I30" s="53">
        <f>+'CUOTAS IMSS'!L29</f>
        <v>0</v>
      </c>
      <c r="J30" s="53">
        <f>+I30*'ISR '!I30</f>
        <v>0</v>
      </c>
      <c r="K30" s="98">
        <v>0.1</v>
      </c>
      <c r="L30" s="59">
        <f>IFERROR(IF('Datos y Resumen '!$E$62=1,'OTRAS PRESTACIONES'!J30*'OTRAS PRESTACIONES'!K30,0),0)</f>
        <v>0</v>
      </c>
      <c r="M30" s="98">
        <v>0.1</v>
      </c>
      <c r="N30" s="59">
        <f>IFERROR(IF('Datos y Resumen '!$E$63=1,'OTRAS PRESTACIONES'!J30*'OTRAS PRESTACIONES'!M30,0),0)</f>
        <v>0</v>
      </c>
      <c r="O30" s="59">
        <f>+'HORAS EXTRAS'!J28</f>
        <v>0</v>
      </c>
      <c r="P30" s="59">
        <f>+'HORAS EXTRAS'!K28</f>
        <v>0</v>
      </c>
      <c r="Q30" s="86"/>
      <c r="R30" s="86"/>
      <c r="S30" s="86"/>
      <c r="T30" s="86"/>
      <c r="U30" s="98">
        <v>0.4</v>
      </c>
      <c r="V30" s="59">
        <f>+IFERROR(IF('Datos y Resumen '!$E$61=1,$M$2*'ISR '!I30*U30,0),0)</f>
        <v>0</v>
      </c>
      <c r="W30" s="86"/>
      <c r="X30" s="86"/>
      <c r="Y30" s="92">
        <f>+AGUINALDO!H27</f>
        <v>0</v>
      </c>
      <c r="Z30" s="92">
        <f>+AGUINALDO!I27</f>
        <v>0</v>
      </c>
      <c r="AA30" s="86"/>
      <c r="AB30" s="86"/>
      <c r="AC30" s="92">
        <f t="shared" si="0"/>
        <v>0</v>
      </c>
      <c r="AD30" s="92">
        <f t="shared" si="1"/>
        <v>0</v>
      </c>
      <c r="AE30" s="92">
        <f t="shared" si="2"/>
        <v>0</v>
      </c>
    </row>
    <row r="31" spans="2:31" x14ac:dyDescent="0.25">
      <c r="E31" s="50" t="s">
        <v>99</v>
      </c>
      <c r="F31" s="91">
        <f>+'LISTA TRABAJADORES'!F30</f>
        <v>0</v>
      </c>
      <c r="G31" s="91">
        <f>+'LISTA TRABAJADORES'!G30</f>
        <v>0</v>
      </c>
      <c r="H31" s="53">
        <f>+'LISTA TRABAJADORES'!H30</f>
        <v>0</v>
      </c>
      <c r="I31" s="53">
        <f>+'CUOTAS IMSS'!L30</f>
        <v>0</v>
      </c>
      <c r="J31" s="53">
        <f>+I31*'ISR '!I31</f>
        <v>0</v>
      </c>
      <c r="K31" s="98">
        <v>0.1</v>
      </c>
      <c r="L31" s="59">
        <f>IFERROR(IF('Datos y Resumen '!$E$62=1,'OTRAS PRESTACIONES'!J31*'OTRAS PRESTACIONES'!K31,0),0)</f>
        <v>0</v>
      </c>
      <c r="M31" s="98">
        <v>0.1</v>
      </c>
      <c r="N31" s="59">
        <f>IFERROR(IF('Datos y Resumen '!$E$63=1,'OTRAS PRESTACIONES'!J31*'OTRAS PRESTACIONES'!M31,0),0)</f>
        <v>0</v>
      </c>
      <c r="O31" s="59">
        <f>+'HORAS EXTRAS'!J29</f>
        <v>0</v>
      </c>
      <c r="P31" s="59">
        <f>+'HORAS EXTRAS'!K29</f>
        <v>0</v>
      </c>
      <c r="Q31" s="86"/>
      <c r="R31" s="86"/>
      <c r="S31" s="86"/>
      <c r="T31" s="86"/>
      <c r="U31" s="98">
        <v>0.4</v>
      </c>
      <c r="V31" s="59">
        <f>+IFERROR(IF('Datos y Resumen '!$E$61=1,$M$2*'ISR '!I31*U31,0),0)</f>
        <v>0</v>
      </c>
      <c r="W31" s="86"/>
      <c r="X31" s="86"/>
      <c r="Y31" s="92">
        <f>+AGUINALDO!H28</f>
        <v>0</v>
      </c>
      <c r="Z31" s="92">
        <f>+AGUINALDO!I28</f>
        <v>0</v>
      </c>
      <c r="AA31" s="86"/>
      <c r="AB31" s="86"/>
      <c r="AC31" s="92">
        <f t="shared" si="0"/>
        <v>0</v>
      </c>
      <c r="AD31" s="92">
        <f t="shared" si="1"/>
        <v>0</v>
      </c>
      <c r="AE31" s="92">
        <f t="shared" si="2"/>
        <v>0</v>
      </c>
    </row>
    <row r="32" spans="2:31" x14ac:dyDescent="0.25">
      <c r="E32" s="50" t="s">
        <v>100</v>
      </c>
      <c r="F32" s="91">
        <f>+'LISTA TRABAJADORES'!F31</f>
        <v>0</v>
      </c>
      <c r="G32" s="91">
        <f>+'LISTA TRABAJADORES'!G31</f>
        <v>0</v>
      </c>
      <c r="H32" s="53">
        <f>+'LISTA TRABAJADORES'!H31</f>
        <v>0</v>
      </c>
      <c r="I32" s="53">
        <f>+'CUOTAS IMSS'!L31</f>
        <v>0</v>
      </c>
      <c r="J32" s="53">
        <f>+I32*'ISR '!I32</f>
        <v>0</v>
      </c>
      <c r="K32" s="98">
        <v>0.1</v>
      </c>
      <c r="L32" s="59">
        <f>IFERROR(IF('Datos y Resumen '!$E$62=1,'OTRAS PRESTACIONES'!J32*'OTRAS PRESTACIONES'!K32,0),0)</f>
        <v>0</v>
      </c>
      <c r="M32" s="98">
        <v>0.1</v>
      </c>
      <c r="N32" s="59">
        <f>IFERROR(IF('Datos y Resumen '!$E$63=1,'OTRAS PRESTACIONES'!J32*'OTRAS PRESTACIONES'!M32,0),0)</f>
        <v>0</v>
      </c>
      <c r="O32" s="59">
        <f>+'HORAS EXTRAS'!J30</f>
        <v>0</v>
      </c>
      <c r="P32" s="59">
        <f>+'HORAS EXTRAS'!K30</f>
        <v>0</v>
      </c>
      <c r="Q32" s="86"/>
      <c r="R32" s="86"/>
      <c r="S32" s="86"/>
      <c r="T32" s="86"/>
      <c r="U32" s="98">
        <v>0.4</v>
      </c>
      <c r="V32" s="59">
        <f>+IFERROR(IF('Datos y Resumen '!$E$61=1,$M$2*'ISR '!I32*U32,0),0)</f>
        <v>0</v>
      </c>
      <c r="W32" s="86"/>
      <c r="X32" s="86"/>
      <c r="Y32" s="92">
        <f>+AGUINALDO!H29</f>
        <v>0</v>
      </c>
      <c r="Z32" s="92">
        <f>+AGUINALDO!I29</f>
        <v>0</v>
      </c>
      <c r="AA32" s="86"/>
      <c r="AB32" s="86"/>
      <c r="AC32" s="92">
        <f t="shared" si="0"/>
        <v>0</v>
      </c>
      <c r="AD32" s="92">
        <f t="shared" si="1"/>
        <v>0</v>
      </c>
      <c r="AE32" s="92">
        <f t="shared" si="2"/>
        <v>0</v>
      </c>
    </row>
    <row r="33" spans="5:31" x14ac:dyDescent="0.25">
      <c r="E33" s="50" t="s">
        <v>101</v>
      </c>
      <c r="F33" s="91">
        <f>+'LISTA TRABAJADORES'!F32</f>
        <v>0</v>
      </c>
      <c r="G33" s="91">
        <f>+'LISTA TRABAJADORES'!G32</f>
        <v>0</v>
      </c>
      <c r="H33" s="53">
        <f>+'LISTA TRABAJADORES'!H32</f>
        <v>0</v>
      </c>
      <c r="I33" s="53">
        <f>+'CUOTAS IMSS'!L32</f>
        <v>0</v>
      </c>
      <c r="J33" s="53">
        <f>+I33*'ISR '!I33</f>
        <v>0</v>
      </c>
      <c r="K33" s="98">
        <v>0.1</v>
      </c>
      <c r="L33" s="59">
        <f>IFERROR(IF('Datos y Resumen '!$E$62=1,'OTRAS PRESTACIONES'!J33*'OTRAS PRESTACIONES'!K33,0),0)</f>
        <v>0</v>
      </c>
      <c r="M33" s="98">
        <v>0.1</v>
      </c>
      <c r="N33" s="59">
        <f>IFERROR(IF('Datos y Resumen '!$E$63=1,'OTRAS PRESTACIONES'!J33*'OTRAS PRESTACIONES'!M33,0),0)</f>
        <v>0</v>
      </c>
      <c r="O33" s="59">
        <f>+'HORAS EXTRAS'!J31</f>
        <v>0</v>
      </c>
      <c r="P33" s="59">
        <f>+'HORAS EXTRAS'!K31</f>
        <v>0</v>
      </c>
      <c r="Q33" s="86"/>
      <c r="R33" s="86"/>
      <c r="S33" s="86"/>
      <c r="T33" s="86"/>
      <c r="U33" s="98">
        <v>0.4</v>
      </c>
      <c r="V33" s="59">
        <f>+IFERROR(IF('Datos y Resumen '!$E$61=1,$M$2*'ISR '!I33*U33,0),0)</f>
        <v>0</v>
      </c>
      <c r="W33" s="86"/>
      <c r="X33" s="86"/>
      <c r="Y33" s="92">
        <f>+AGUINALDO!H30</f>
        <v>0</v>
      </c>
      <c r="Z33" s="92">
        <f>+AGUINALDO!I30</f>
        <v>0</v>
      </c>
      <c r="AA33" s="86"/>
      <c r="AB33" s="86"/>
      <c r="AC33" s="92">
        <f t="shared" si="0"/>
        <v>0</v>
      </c>
      <c r="AD33" s="92">
        <f t="shared" si="1"/>
        <v>0</v>
      </c>
      <c r="AE33" s="92">
        <f t="shared" si="2"/>
        <v>0</v>
      </c>
    </row>
    <row r="34" spans="5:31" x14ac:dyDescent="0.25">
      <c r="E34" s="50" t="s">
        <v>102</v>
      </c>
      <c r="F34" s="91">
        <f>+'LISTA TRABAJADORES'!F33</f>
        <v>0</v>
      </c>
      <c r="G34" s="91">
        <f>+'LISTA TRABAJADORES'!G33</f>
        <v>0</v>
      </c>
      <c r="H34" s="53">
        <f>+'LISTA TRABAJADORES'!H33</f>
        <v>0</v>
      </c>
      <c r="I34" s="53">
        <f>+'CUOTAS IMSS'!L33</f>
        <v>0</v>
      </c>
      <c r="J34" s="53">
        <f>+I34*'ISR '!I34</f>
        <v>0</v>
      </c>
      <c r="K34" s="98">
        <v>0.1</v>
      </c>
      <c r="L34" s="59">
        <f>IFERROR(IF('Datos y Resumen '!$E$62=1,'OTRAS PRESTACIONES'!J34*'OTRAS PRESTACIONES'!K34,0),0)</f>
        <v>0</v>
      </c>
      <c r="M34" s="98">
        <v>0.1</v>
      </c>
      <c r="N34" s="59">
        <f>IFERROR(IF('Datos y Resumen '!$E$63=1,'OTRAS PRESTACIONES'!J34*'OTRAS PRESTACIONES'!M34,0),0)</f>
        <v>0</v>
      </c>
      <c r="O34" s="59">
        <f>+'HORAS EXTRAS'!J32</f>
        <v>0</v>
      </c>
      <c r="P34" s="59">
        <f>+'HORAS EXTRAS'!K32</f>
        <v>0</v>
      </c>
      <c r="Q34" s="86"/>
      <c r="R34" s="86"/>
      <c r="S34" s="86"/>
      <c r="T34" s="86"/>
      <c r="U34" s="98">
        <v>0.4</v>
      </c>
      <c r="V34" s="59">
        <f>+IFERROR(IF('Datos y Resumen '!$E$61=1,$M$2*'ISR '!I34*U34,0),0)</f>
        <v>0</v>
      </c>
      <c r="W34" s="86"/>
      <c r="X34" s="86"/>
      <c r="Y34" s="92">
        <f>+AGUINALDO!H31</f>
        <v>0</v>
      </c>
      <c r="Z34" s="92">
        <f>+AGUINALDO!I31</f>
        <v>0</v>
      </c>
      <c r="AA34" s="86"/>
      <c r="AB34" s="86"/>
      <c r="AC34" s="92">
        <f t="shared" si="0"/>
        <v>0</v>
      </c>
      <c r="AD34" s="92">
        <f t="shared" si="1"/>
        <v>0</v>
      </c>
      <c r="AE34" s="92">
        <f t="shared" si="2"/>
        <v>0</v>
      </c>
    </row>
    <row r="35" spans="5:31" x14ac:dyDescent="0.25">
      <c r="E35" s="50" t="s">
        <v>103</v>
      </c>
      <c r="F35" s="91">
        <f>+'LISTA TRABAJADORES'!F34</f>
        <v>0</v>
      </c>
      <c r="G35" s="91">
        <f>+'LISTA TRABAJADORES'!G34</f>
        <v>0</v>
      </c>
      <c r="H35" s="53">
        <f>+'LISTA TRABAJADORES'!H34</f>
        <v>0</v>
      </c>
      <c r="I35" s="53">
        <f>+'CUOTAS IMSS'!L34</f>
        <v>0</v>
      </c>
      <c r="J35" s="53">
        <f>+I35*'ISR '!I35</f>
        <v>0</v>
      </c>
      <c r="K35" s="98">
        <v>0.1</v>
      </c>
      <c r="L35" s="59">
        <f>IFERROR(IF('Datos y Resumen '!$E$62=1,'OTRAS PRESTACIONES'!J35*'OTRAS PRESTACIONES'!K35,0),0)</f>
        <v>0</v>
      </c>
      <c r="M35" s="98">
        <v>0.1</v>
      </c>
      <c r="N35" s="59">
        <f>IFERROR(IF('Datos y Resumen '!$E$63=1,'OTRAS PRESTACIONES'!J35*'OTRAS PRESTACIONES'!M35,0),0)</f>
        <v>0</v>
      </c>
      <c r="O35" s="59">
        <f>+'HORAS EXTRAS'!J33</f>
        <v>0</v>
      </c>
      <c r="P35" s="59">
        <f>+'HORAS EXTRAS'!K33</f>
        <v>0</v>
      </c>
      <c r="Q35" s="86"/>
      <c r="R35" s="86"/>
      <c r="S35" s="86"/>
      <c r="T35" s="86"/>
      <c r="U35" s="98">
        <v>0.4</v>
      </c>
      <c r="V35" s="59">
        <f>+IFERROR(IF('Datos y Resumen '!$E$61=1,$M$2*'ISR '!I35*U35,0),0)</f>
        <v>0</v>
      </c>
      <c r="W35" s="86"/>
      <c r="X35" s="86"/>
      <c r="Y35" s="92">
        <f>+AGUINALDO!H32</f>
        <v>0</v>
      </c>
      <c r="Z35" s="92">
        <f>+AGUINALDO!I32</f>
        <v>0</v>
      </c>
      <c r="AA35" s="86"/>
      <c r="AB35" s="86"/>
      <c r="AC35" s="92">
        <f t="shared" si="0"/>
        <v>0</v>
      </c>
      <c r="AD35" s="92">
        <f t="shared" si="1"/>
        <v>0</v>
      </c>
      <c r="AE35" s="92">
        <f t="shared" si="2"/>
        <v>0</v>
      </c>
    </row>
    <row r="36" spans="5:31" x14ac:dyDescent="0.25">
      <c r="E36" s="50" t="s">
        <v>104</v>
      </c>
      <c r="F36" s="91">
        <f>+'LISTA TRABAJADORES'!F35</f>
        <v>0</v>
      </c>
      <c r="G36" s="91">
        <f>+'LISTA TRABAJADORES'!G35</f>
        <v>0</v>
      </c>
      <c r="H36" s="53">
        <f>+'LISTA TRABAJADORES'!H35</f>
        <v>0</v>
      </c>
      <c r="I36" s="53">
        <f>+'CUOTAS IMSS'!L35</f>
        <v>0</v>
      </c>
      <c r="J36" s="53">
        <f>+I36*'ISR '!I36</f>
        <v>0</v>
      </c>
      <c r="K36" s="98">
        <v>0.1</v>
      </c>
      <c r="L36" s="59">
        <f>IFERROR(IF('Datos y Resumen '!$E$62=1,'OTRAS PRESTACIONES'!J36*'OTRAS PRESTACIONES'!K36,0),0)</f>
        <v>0</v>
      </c>
      <c r="M36" s="98">
        <v>0.1</v>
      </c>
      <c r="N36" s="59">
        <f>IFERROR(IF('Datos y Resumen '!$E$63=1,'OTRAS PRESTACIONES'!J36*'OTRAS PRESTACIONES'!M36,0),0)</f>
        <v>0</v>
      </c>
      <c r="O36" s="59">
        <f>+'HORAS EXTRAS'!J34</f>
        <v>0</v>
      </c>
      <c r="P36" s="59">
        <f>+'HORAS EXTRAS'!K34</f>
        <v>0</v>
      </c>
      <c r="Q36" s="86"/>
      <c r="R36" s="86"/>
      <c r="S36" s="86"/>
      <c r="T36" s="86"/>
      <c r="U36" s="98">
        <v>0.4</v>
      </c>
      <c r="V36" s="59">
        <f>+IFERROR(IF('Datos y Resumen '!$E$61=1,$M$2*'ISR '!I36*U36,0),0)</f>
        <v>0</v>
      </c>
      <c r="W36" s="86"/>
      <c r="X36" s="86"/>
      <c r="Y36" s="92">
        <f>+AGUINALDO!H33</f>
        <v>0</v>
      </c>
      <c r="Z36" s="92">
        <f>+AGUINALDO!I33</f>
        <v>0</v>
      </c>
      <c r="AA36" s="86"/>
      <c r="AB36" s="86"/>
      <c r="AC36" s="92">
        <f t="shared" si="0"/>
        <v>0</v>
      </c>
      <c r="AD36" s="92">
        <f t="shared" si="1"/>
        <v>0</v>
      </c>
      <c r="AE36" s="92">
        <f t="shared" si="2"/>
        <v>0</v>
      </c>
    </row>
    <row r="37" spans="5:31" x14ac:dyDescent="0.25">
      <c r="E37" s="50" t="s">
        <v>105</v>
      </c>
      <c r="F37" s="91">
        <f>+'LISTA TRABAJADORES'!F36</f>
        <v>0</v>
      </c>
      <c r="G37" s="91">
        <f>+'LISTA TRABAJADORES'!G36</f>
        <v>0</v>
      </c>
      <c r="H37" s="53">
        <f>+'LISTA TRABAJADORES'!H36</f>
        <v>0</v>
      </c>
      <c r="I37" s="53">
        <f>+'CUOTAS IMSS'!L36</f>
        <v>0</v>
      </c>
      <c r="J37" s="53">
        <f>+I37*'ISR '!I37</f>
        <v>0</v>
      </c>
      <c r="K37" s="98">
        <v>0.1</v>
      </c>
      <c r="L37" s="59">
        <f>IFERROR(IF('Datos y Resumen '!$E$62=1,'OTRAS PRESTACIONES'!J37*'OTRAS PRESTACIONES'!K37,0),0)</f>
        <v>0</v>
      </c>
      <c r="M37" s="98">
        <v>0.1</v>
      </c>
      <c r="N37" s="59">
        <f>IFERROR(IF('Datos y Resumen '!$E$63=1,'OTRAS PRESTACIONES'!J37*'OTRAS PRESTACIONES'!M37,0),0)</f>
        <v>0</v>
      </c>
      <c r="O37" s="59">
        <f>+'HORAS EXTRAS'!J35</f>
        <v>0</v>
      </c>
      <c r="P37" s="59">
        <f>+'HORAS EXTRAS'!K35</f>
        <v>0</v>
      </c>
      <c r="Q37" s="86"/>
      <c r="R37" s="86"/>
      <c r="S37" s="86"/>
      <c r="T37" s="86"/>
      <c r="U37" s="98">
        <v>0.4</v>
      </c>
      <c r="V37" s="59">
        <f>+IFERROR(IF('Datos y Resumen '!$E$61=1,$M$2*'ISR '!I37*U37,0),0)</f>
        <v>0</v>
      </c>
      <c r="W37" s="86"/>
      <c r="X37" s="86"/>
      <c r="Y37" s="92">
        <f>+AGUINALDO!H34</f>
        <v>0</v>
      </c>
      <c r="Z37" s="92">
        <f>+AGUINALDO!I34</f>
        <v>0</v>
      </c>
      <c r="AA37" s="86"/>
      <c r="AB37" s="86"/>
      <c r="AC37" s="92">
        <f t="shared" si="0"/>
        <v>0</v>
      </c>
      <c r="AD37" s="92">
        <f t="shared" si="1"/>
        <v>0</v>
      </c>
      <c r="AE37" s="92">
        <f t="shared" si="2"/>
        <v>0</v>
      </c>
    </row>
    <row r="38" spans="5:31" x14ac:dyDescent="0.25">
      <c r="E38" s="50" t="s">
        <v>106</v>
      </c>
      <c r="F38" s="91">
        <f>+'LISTA TRABAJADORES'!F37</f>
        <v>0</v>
      </c>
      <c r="G38" s="91">
        <f>+'LISTA TRABAJADORES'!G37</f>
        <v>0</v>
      </c>
      <c r="H38" s="53">
        <f>+'LISTA TRABAJADORES'!H37</f>
        <v>0</v>
      </c>
      <c r="I38" s="53">
        <f>+'CUOTAS IMSS'!L37</f>
        <v>0</v>
      </c>
      <c r="J38" s="53">
        <f>+I38*'ISR '!I38</f>
        <v>0</v>
      </c>
      <c r="K38" s="98">
        <v>0.1</v>
      </c>
      <c r="L38" s="59">
        <f>IFERROR(IF('Datos y Resumen '!$E$62=1,'OTRAS PRESTACIONES'!J38*'OTRAS PRESTACIONES'!K38,0),0)</f>
        <v>0</v>
      </c>
      <c r="M38" s="98">
        <v>0.1</v>
      </c>
      <c r="N38" s="59">
        <f>IFERROR(IF('Datos y Resumen '!$E$63=1,'OTRAS PRESTACIONES'!J38*'OTRAS PRESTACIONES'!M38,0),0)</f>
        <v>0</v>
      </c>
      <c r="O38" s="59">
        <f>+'HORAS EXTRAS'!J36</f>
        <v>0</v>
      </c>
      <c r="P38" s="59">
        <f>+'HORAS EXTRAS'!K36</f>
        <v>0</v>
      </c>
      <c r="Q38" s="86"/>
      <c r="R38" s="86"/>
      <c r="S38" s="86"/>
      <c r="T38" s="86"/>
      <c r="U38" s="98">
        <v>0.4</v>
      </c>
      <c r="V38" s="59">
        <f>+IFERROR(IF('Datos y Resumen '!$E$61=1,$M$2*'ISR '!I38*U38,0),0)</f>
        <v>0</v>
      </c>
      <c r="W38" s="86"/>
      <c r="X38" s="86"/>
      <c r="Y38" s="92">
        <f>+AGUINALDO!H35</f>
        <v>0</v>
      </c>
      <c r="Z38" s="92">
        <f>+AGUINALDO!I35</f>
        <v>0</v>
      </c>
      <c r="AA38" s="86"/>
      <c r="AB38" s="86"/>
      <c r="AC38" s="92">
        <f t="shared" si="0"/>
        <v>0</v>
      </c>
      <c r="AD38" s="92">
        <f t="shared" si="1"/>
        <v>0</v>
      </c>
      <c r="AE38" s="92">
        <f t="shared" si="2"/>
        <v>0</v>
      </c>
    </row>
    <row r="39" spans="5:31" x14ac:dyDescent="0.25">
      <c r="E39" s="50" t="s">
        <v>107</v>
      </c>
      <c r="F39" s="91">
        <f>+'LISTA TRABAJADORES'!F38</f>
        <v>0</v>
      </c>
      <c r="G39" s="91">
        <f>+'LISTA TRABAJADORES'!G38</f>
        <v>0</v>
      </c>
      <c r="H39" s="53">
        <f>+'LISTA TRABAJADORES'!H38</f>
        <v>0</v>
      </c>
      <c r="I39" s="53">
        <f>+'CUOTAS IMSS'!L38</f>
        <v>0</v>
      </c>
      <c r="J39" s="53">
        <f>+I39*'ISR '!I39</f>
        <v>0</v>
      </c>
      <c r="K39" s="98">
        <v>0.1</v>
      </c>
      <c r="L39" s="59">
        <f>IFERROR(IF('Datos y Resumen '!$E$62=1,'OTRAS PRESTACIONES'!J39*'OTRAS PRESTACIONES'!K39,0),0)</f>
        <v>0</v>
      </c>
      <c r="M39" s="98">
        <v>0.1</v>
      </c>
      <c r="N39" s="59">
        <f>IFERROR(IF('Datos y Resumen '!$E$63=1,'OTRAS PRESTACIONES'!J39*'OTRAS PRESTACIONES'!M39,0),0)</f>
        <v>0</v>
      </c>
      <c r="O39" s="59">
        <f>+'HORAS EXTRAS'!J37</f>
        <v>0</v>
      </c>
      <c r="P39" s="59">
        <f>+'HORAS EXTRAS'!K37</f>
        <v>0</v>
      </c>
      <c r="Q39" s="86"/>
      <c r="R39" s="86"/>
      <c r="S39" s="86"/>
      <c r="T39" s="86"/>
      <c r="U39" s="98">
        <v>0.4</v>
      </c>
      <c r="V39" s="59">
        <f>+IFERROR(IF('Datos y Resumen '!$E$61=1,$M$2*'ISR '!I39*U39,0),0)</f>
        <v>0</v>
      </c>
      <c r="W39" s="86"/>
      <c r="X39" s="86"/>
      <c r="Y39" s="92">
        <f>+AGUINALDO!H36</f>
        <v>0</v>
      </c>
      <c r="Z39" s="92">
        <f>+AGUINALDO!I36</f>
        <v>0</v>
      </c>
      <c r="AA39" s="86"/>
      <c r="AB39" s="86"/>
      <c r="AC39" s="92">
        <f t="shared" si="0"/>
        <v>0</v>
      </c>
      <c r="AD39" s="92">
        <f t="shared" si="1"/>
        <v>0</v>
      </c>
      <c r="AE39" s="92">
        <f t="shared" si="2"/>
        <v>0</v>
      </c>
    </row>
    <row r="40" spans="5:31" x14ac:dyDescent="0.25">
      <c r="E40" s="50" t="s">
        <v>108</v>
      </c>
      <c r="F40" s="91">
        <f>+'LISTA TRABAJADORES'!F39</f>
        <v>0</v>
      </c>
      <c r="G40" s="91">
        <f>+'LISTA TRABAJADORES'!G39</f>
        <v>0</v>
      </c>
      <c r="H40" s="53">
        <f>+'LISTA TRABAJADORES'!H39</f>
        <v>0</v>
      </c>
      <c r="I40" s="53">
        <f>+'CUOTAS IMSS'!L39</f>
        <v>0</v>
      </c>
      <c r="J40" s="53">
        <f>+I40*'ISR '!I40</f>
        <v>0</v>
      </c>
      <c r="K40" s="98">
        <v>0.1</v>
      </c>
      <c r="L40" s="59">
        <f>IFERROR(IF('Datos y Resumen '!$E$62=1,'OTRAS PRESTACIONES'!J40*'OTRAS PRESTACIONES'!K40,0),0)</f>
        <v>0</v>
      </c>
      <c r="M40" s="98">
        <v>0.1</v>
      </c>
      <c r="N40" s="59">
        <f>IFERROR(IF('Datos y Resumen '!$E$63=1,'OTRAS PRESTACIONES'!J40*'OTRAS PRESTACIONES'!M40,0),0)</f>
        <v>0</v>
      </c>
      <c r="O40" s="59">
        <f>+'HORAS EXTRAS'!J38</f>
        <v>0</v>
      </c>
      <c r="P40" s="59">
        <f>+'HORAS EXTRAS'!K38</f>
        <v>0</v>
      </c>
      <c r="Q40" s="86"/>
      <c r="R40" s="86"/>
      <c r="S40" s="86"/>
      <c r="T40" s="86"/>
      <c r="U40" s="98">
        <v>0.4</v>
      </c>
      <c r="V40" s="59">
        <f>+IFERROR(IF('Datos y Resumen '!$E$61=1,$M$2*'ISR '!I40*U40,0),0)</f>
        <v>0</v>
      </c>
      <c r="W40" s="86"/>
      <c r="X40" s="86"/>
      <c r="Y40" s="92">
        <f>+AGUINALDO!H37</f>
        <v>0</v>
      </c>
      <c r="Z40" s="92">
        <f>+AGUINALDO!I37</f>
        <v>0</v>
      </c>
      <c r="AA40" s="86"/>
      <c r="AB40" s="86"/>
      <c r="AC40" s="92">
        <f t="shared" si="0"/>
        <v>0</v>
      </c>
      <c r="AD40" s="92">
        <f t="shared" si="1"/>
        <v>0</v>
      </c>
      <c r="AE40" s="92">
        <f t="shared" si="2"/>
        <v>0</v>
      </c>
    </row>
    <row r="41" spans="5:31" x14ac:dyDescent="0.25">
      <c r="E41" s="50" t="s">
        <v>109</v>
      </c>
      <c r="F41" s="91">
        <f>+'LISTA TRABAJADORES'!F40</f>
        <v>0</v>
      </c>
      <c r="G41" s="91">
        <f>+'LISTA TRABAJADORES'!G40</f>
        <v>0</v>
      </c>
      <c r="H41" s="53">
        <f>+'LISTA TRABAJADORES'!H40</f>
        <v>0</v>
      </c>
      <c r="I41" s="53">
        <f>+'CUOTAS IMSS'!L40</f>
        <v>0</v>
      </c>
      <c r="J41" s="53">
        <f>+I41*'ISR '!I41</f>
        <v>0</v>
      </c>
      <c r="K41" s="98">
        <v>0.1</v>
      </c>
      <c r="L41" s="59">
        <f>IFERROR(IF('Datos y Resumen '!$E$62=1,'OTRAS PRESTACIONES'!J41*'OTRAS PRESTACIONES'!K41,0),0)</f>
        <v>0</v>
      </c>
      <c r="M41" s="98">
        <v>0.1</v>
      </c>
      <c r="N41" s="59">
        <f>IFERROR(IF('Datos y Resumen '!$E$63=1,'OTRAS PRESTACIONES'!J41*'OTRAS PRESTACIONES'!M41,0),0)</f>
        <v>0</v>
      </c>
      <c r="O41" s="59">
        <f>+'HORAS EXTRAS'!J39</f>
        <v>0</v>
      </c>
      <c r="P41" s="59">
        <f>+'HORAS EXTRAS'!K39</f>
        <v>0</v>
      </c>
      <c r="Q41" s="86"/>
      <c r="R41" s="86"/>
      <c r="S41" s="86"/>
      <c r="T41" s="86"/>
      <c r="U41" s="98">
        <v>0.4</v>
      </c>
      <c r="V41" s="59">
        <f>+IFERROR(IF('Datos y Resumen '!$E$61=1,$M$2*'ISR '!I41*U41,0),0)</f>
        <v>0</v>
      </c>
      <c r="W41" s="86"/>
      <c r="X41" s="86"/>
      <c r="Y41" s="92">
        <f>+AGUINALDO!H38</f>
        <v>0</v>
      </c>
      <c r="Z41" s="92">
        <f>+AGUINALDO!I38</f>
        <v>0</v>
      </c>
      <c r="AA41" s="86"/>
      <c r="AB41" s="86"/>
      <c r="AC41" s="92">
        <f t="shared" si="0"/>
        <v>0</v>
      </c>
      <c r="AD41" s="92">
        <f t="shared" si="1"/>
        <v>0</v>
      </c>
      <c r="AE41" s="92">
        <f t="shared" si="2"/>
        <v>0</v>
      </c>
    </row>
    <row r="42" spans="5:31" x14ac:dyDescent="0.25">
      <c r="E42" s="50" t="s">
        <v>110</v>
      </c>
      <c r="F42" s="91">
        <f>+'LISTA TRABAJADORES'!F41</f>
        <v>0</v>
      </c>
      <c r="G42" s="91">
        <f>+'LISTA TRABAJADORES'!G41</f>
        <v>0</v>
      </c>
      <c r="H42" s="53">
        <f>+'LISTA TRABAJADORES'!H41</f>
        <v>0</v>
      </c>
      <c r="I42" s="53">
        <f>+'CUOTAS IMSS'!L41</f>
        <v>0</v>
      </c>
      <c r="J42" s="53">
        <f>+I42*'ISR '!I42</f>
        <v>0</v>
      </c>
      <c r="K42" s="98">
        <v>0.1</v>
      </c>
      <c r="L42" s="59">
        <f>IFERROR(IF('Datos y Resumen '!$E$62=1,'OTRAS PRESTACIONES'!J42*'OTRAS PRESTACIONES'!K42,0),0)</f>
        <v>0</v>
      </c>
      <c r="M42" s="98">
        <v>0.1</v>
      </c>
      <c r="N42" s="59">
        <f>IFERROR(IF('Datos y Resumen '!$E$63=1,'OTRAS PRESTACIONES'!J42*'OTRAS PRESTACIONES'!M42,0),0)</f>
        <v>0</v>
      </c>
      <c r="O42" s="59">
        <f>+'HORAS EXTRAS'!J40</f>
        <v>0</v>
      </c>
      <c r="P42" s="59">
        <f>+'HORAS EXTRAS'!K40</f>
        <v>0</v>
      </c>
      <c r="Q42" s="86"/>
      <c r="R42" s="86"/>
      <c r="S42" s="86"/>
      <c r="T42" s="86"/>
      <c r="U42" s="98">
        <v>0.4</v>
      </c>
      <c r="V42" s="59">
        <f>+IFERROR(IF('Datos y Resumen '!$E$61=1,$M$2*'ISR '!I42*U42,0),0)</f>
        <v>0</v>
      </c>
      <c r="W42" s="86"/>
      <c r="X42" s="86"/>
      <c r="Y42" s="92">
        <f>+AGUINALDO!H39</f>
        <v>0</v>
      </c>
      <c r="Z42" s="92">
        <f>+AGUINALDO!I39</f>
        <v>0</v>
      </c>
      <c r="AA42" s="86"/>
      <c r="AB42" s="86"/>
      <c r="AC42" s="92">
        <f t="shared" si="0"/>
        <v>0</v>
      </c>
      <c r="AD42" s="92">
        <f t="shared" si="1"/>
        <v>0</v>
      </c>
      <c r="AE42" s="92">
        <f t="shared" si="2"/>
        <v>0</v>
      </c>
    </row>
    <row r="43" spans="5:31" x14ac:dyDescent="0.25">
      <c r="E43" s="50" t="s">
        <v>111</v>
      </c>
      <c r="F43" s="91">
        <f>+'LISTA TRABAJADORES'!F42</f>
        <v>0</v>
      </c>
      <c r="G43" s="91">
        <f>+'LISTA TRABAJADORES'!G42</f>
        <v>0</v>
      </c>
      <c r="H43" s="53">
        <f>+'LISTA TRABAJADORES'!H42</f>
        <v>0</v>
      </c>
      <c r="I43" s="53">
        <f>+'CUOTAS IMSS'!L42</f>
        <v>0</v>
      </c>
      <c r="J43" s="53">
        <f>+I43*'ISR '!I43</f>
        <v>0</v>
      </c>
      <c r="K43" s="98">
        <v>0.1</v>
      </c>
      <c r="L43" s="59">
        <f>IFERROR(IF('Datos y Resumen '!$E$62=1,'OTRAS PRESTACIONES'!J43*'OTRAS PRESTACIONES'!K43,0),0)</f>
        <v>0</v>
      </c>
      <c r="M43" s="98">
        <v>0.1</v>
      </c>
      <c r="N43" s="59">
        <f>IFERROR(IF('Datos y Resumen '!$E$63=1,'OTRAS PRESTACIONES'!J43*'OTRAS PRESTACIONES'!M43,0),0)</f>
        <v>0</v>
      </c>
      <c r="O43" s="59">
        <f>+'HORAS EXTRAS'!J41</f>
        <v>0</v>
      </c>
      <c r="P43" s="59">
        <f>+'HORAS EXTRAS'!K41</f>
        <v>0</v>
      </c>
      <c r="Q43" s="86"/>
      <c r="R43" s="86"/>
      <c r="S43" s="86"/>
      <c r="T43" s="86"/>
      <c r="U43" s="98">
        <v>0.4</v>
      </c>
      <c r="V43" s="59">
        <f>+IFERROR(IF('Datos y Resumen '!$E$61=1,$M$2*'ISR '!I43*U43,0),0)</f>
        <v>0</v>
      </c>
      <c r="W43" s="86"/>
      <c r="X43" s="86"/>
      <c r="Y43" s="92">
        <f>+AGUINALDO!H40</f>
        <v>0</v>
      </c>
      <c r="Z43" s="92">
        <f>+AGUINALDO!I40</f>
        <v>0</v>
      </c>
      <c r="AA43" s="86"/>
      <c r="AB43" s="86"/>
      <c r="AC43" s="92">
        <f t="shared" si="0"/>
        <v>0</v>
      </c>
      <c r="AD43" s="92">
        <f t="shared" si="1"/>
        <v>0</v>
      </c>
      <c r="AE43" s="92">
        <f t="shared" si="2"/>
        <v>0</v>
      </c>
    </row>
    <row r="44" spans="5:31" x14ac:dyDescent="0.25">
      <c r="E44" s="50" t="s">
        <v>112</v>
      </c>
      <c r="F44" s="91">
        <f>+'LISTA TRABAJADORES'!F43</f>
        <v>0</v>
      </c>
      <c r="G44" s="91">
        <f>+'LISTA TRABAJADORES'!G43</f>
        <v>0</v>
      </c>
      <c r="H44" s="53">
        <f>+'LISTA TRABAJADORES'!H43</f>
        <v>0</v>
      </c>
      <c r="I44" s="53">
        <f>+'CUOTAS IMSS'!L43</f>
        <v>0</v>
      </c>
      <c r="J44" s="53">
        <f>+I44*'ISR '!I44</f>
        <v>0</v>
      </c>
      <c r="K44" s="98">
        <v>0.1</v>
      </c>
      <c r="L44" s="59">
        <f>IFERROR(IF('Datos y Resumen '!$E$62=1,'OTRAS PRESTACIONES'!J44*'OTRAS PRESTACIONES'!K44,0),0)</f>
        <v>0</v>
      </c>
      <c r="M44" s="98">
        <v>0.1</v>
      </c>
      <c r="N44" s="59">
        <f>IFERROR(IF('Datos y Resumen '!$E$63=1,'OTRAS PRESTACIONES'!J44*'OTRAS PRESTACIONES'!M44,0),0)</f>
        <v>0</v>
      </c>
      <c r="O44" s="59">
        <f>+'HORAS EXTRAS'!J42</f>
        <v>0</v>
      </c>
      <c r="P44" s="59">
        <f>+'HORAS EXTRAS'!K42</f>
        <v>0</v>
      </c>
      <c r="Q44" s="86"/>
      <c r="R44" s="86"/>
      <c r="S44" s="86"/>
      <c r="T44" s="86"/>
      <c r="U44" s="98">
        <v>0.4</v>
      </c>
      <c r="V44" s="59">
        <f>+IFERROR(IF('Datos y Resumen '!$E$61=1,$M$2*'ISR '!I44*U44,0),0)</f>
        <v>0</v>
      </c>
      <c r="W44" s="86"/>
      <c r="X44" s="86"/>
      <c r="Y44" s="92">
        <f>+AGUINALDO!H41</f>
        <v>0</v>
      </c>
      <c r="Z44" s="92">
        <f>+AGUINALDO!I41</f>
        <v>0</v>
      </c>
      <c r="AA44" s="86"/>
      <c r="AB44" s="86"/>
      <c r="AC44" s="92">
        <f t="shared" si="0"/>
        <v>0</v>
      </c>
      <c r="AD44" s="92">
        <f t="shared" si="1"/>
        <v>0</v>
      </c>
      <c r="AE44" s="92">
        <f t="shared" si="2"/>
        <v>0</v>
      </c>
    </row>
    <row r="45" spans="5:31" x14ac:dyDescent="0.25">
      <c r="E45" s="50" t="s">
        <v>114</v>
      </c>
      <c r="F45" s="91">
        <f>+'LISTA TRABAJADORES'!F44</f>
        <v>0</v>
      </c>
      <c r="G45" s="91">
        <f>+'LISTA TRABAJADORES'!G44</f>
        <v>0</v>
      </c>
      <c r="H45" s="53">
        <f>+'LISTA TRABAJADORES'!H44</f>
        <v>0</v>
      </c>
      <c r="I45" s="53">
        <f>+'CUOTAS IMSS'!L44</f>
        <v>0</v>
      </c>
      <c r="J45" s="53">
        <f>+I45*'ISR '!I45</f>
        <v>0</v>
      </c>
      <c r="K45" s="98">
        <v>0.1</v>
      </c>
      <c r="L45" s="59">
        <f>IFERROR(IF('Datos y Resumen '!$E$62=1,'OTRAS PRESTACIONES'!J45*'OTRAS PRESTACIONES'!K45,0),0)</f>
        <v>0</v>
      </c>
      <c r="M45" s="98">
        <v>0.1</v>
      </c>
      <c r="N45" s="59">
        <f>IFERROR(IF('Datos y Resumen '!$E$63=1,'OTRAS PRESTACIONES'!J45*'OTRAS PRESTACIONES'!M45,0),0)</f>
        <v>0</v>
      </c>
      <c r="O45" s="59">
        <f>+'HORAS EXTRAS'!J43</f>
        <v>0</v>
      </c>
      <c r="P45" s="59">
        <f>+'HORAS EXTRAS'!K43</f>
        <v>0</v>
      </c>
      <c r="Q45" s="86"/>
      <c r="R45" s="86"/>
      <c r="S45" s="86"/>
      <c r="T45" s="86"/>
      <c r="U45" s="98">
        <v>0.4</v>
      </c>
      <c r="V45" s="59">
        <f>+IFERROR(IF('Datos y Resumen '!$E$61=1,$M$2*'ISR '!I45*U45,0),0)</f>
        <v>0</v>
      </c>
      <c r="W45" s="86"/>
      <c r="X45" s="86"/>
      <c r="Y45" s="92">
        <f>+AGUINALDO!H42</f>
        <v>0</v>
      </c>
      <c r="Z45" s="92">
        <f>+AGUINALDO!I42</f>
        <v>0</v>
      </c>
      <c r="AA45" s="86"/>
      <c r="AB45" s="86"/>
      <c r="AC45" s="92">
        <f t="shared" si="0"/>
        <v>0</v>
      </c>
      <c r="AD45" s="92">
        <f t="shared" si="1"/>
        <v>0</v>
      </c>
      <c r="AE45" s="92">
        <f t="shared" si="2"/>
        <v>0</v>
      </c>
    </row>
    <row r="46" spans="5:31" x14ac:dyDescent="0.25">
      <c r="E46" s="50" t="s">
        <v>115</v>
      </c>
      <c r="F46" s="91">
        <f>+'LISTA TRABAJADORES'!F45</f>
        <v>0</v>
      </c>
      <c r="G46" s="91">
        <f>+'LISTA TRABAJADORES'!G45</f>
        <v>0</v>
      </c>
      <c r="H46" s="53">
        <f>+'LISTA TRABAJADORES'!H45</f>
        <v>0</v>
      </c>
      <c r="I46" s="53">
        <f>+'CUOTAS IMSS'!L45</f>
        <v>0</v>
      </c>
      <c r="J46" s="53">
        <f>+I46*'ISR '!I46</f>
        <v>0</v>
      </c>
      <c r="K46" s="98">
        <v>0.1</v>
      </c>
      <c r="L46" s="59">
        <f>IFERROR(IF('Datos y Resumen '!$E$62=1,'OTRAS PRESTACIONES'!J46*'OTRAS PRESTACIONES'!K46,0),0)</f>
        <v>0</v>
      </c>
      <c r="M46" s="98">
        <v>0.1</v>
      </c>
      <c r="N46" s="59">
        <f>IFERROR(IF('Datos y Resumen '!$E$63=1,'OTRAS PRESTACIONES'!J46*'OTRAS PRESTACIONES'!M46,0),0)</f>
        <v>0</v>
      </c>
      <c r="O46" s="59">
        <f>+'HORAS EXTRAS'!J44</f>
        <v>0</v>
      </c>
      <c r="P46" s="59">
        <f>+'HORAS EXTRAS'!K44</f>
        <v>0</v>
      </c>
      <c r="Q46" s="86"/>
      <c r="R46" s="86"/>
      <c r="S46" s="86"/>
      <c r="T46" s="86"/>
      <c r="U46" s="98">
        <v>0.4</v>
      </c>
      <c r="V46" s="59">
        <f>+IFERROR(IF('Datos y Resumen '!$E$61=1,$M$2*'ISR '!I46*U46,0),0)</f>
        <v>0</v>
      </c>
      <c r="W46" s="86"/>
      <c r="X46" s="86"/>
      <c r="Y46" s="92">
        <f>+AGUINALDO!H43</f>
        <v>0</v>
      </c>
      <c r="Z46" s="92">
        <f>+AGUINALDO!I43</f>
        <v>0</v>
      </c>
      <c r="AA46" s="86"/>
      <c r="AB46" s="86"/>
      <c r="AC46" s="92">
        <f t="shared" si="0"/>
        <v>0</v>
      </c>
      <c r="AD46" s="92">
        <f t="shared" si="1"/>
        <v>0</v>
      </c>
      <c r="AE46" s="92">
        <f t="shared" si="2"/>
        <v>0</v>
      </c>
    </row>
    <row r="47" spans="5:31" x14ac:dyDescent="0.25">
      <c r="E47" s="50" t="s">
        <v>116</v>
      </c>
      <c r="F47" s="91">
        <f>+'LISTA TRABAJADORES'!F46</f>
        <v>0</v>
      </c>
      <c r="G47" s="91">
        <f>+'LISTA TRABAJADORES'!G46</f>
        <v>0</v>
      </c>
      <c r="H47" s="53">
        <f>+'LISTA TRABAJADORES'!H46</f>
        <v>0</v>
      </c>
      <c r="I47" s="53">
        <f>+'CUOTAS IMSS'!L46</f>
        <v>0</v>
      </c>
      <c r="J47" s="53">
        <f>+I47*'ISR '!I47</f>
        <v>0</v>
      </c>
      <c r="K47" s="98">
        <v>0.1</v>
      </c>
      <c r="L47" s="59">
        <f>IFERROR(IF('Datos y Resumen '!$E$62=1,'OTRAS PRESTACIONES'!J47*'OTRAS PRESTACIONES'!K47,0),0)</f>
        <v>0</v>
      </c>
      <c r="M47" s="98">
        <v>0.1</v>
      </c>
      <c r="N47" s="59">
        <f>IFERROR(IF('Datos y Resumen '!$E$63=1,'OTRAS PRESTACIONES'!J47*'OTRAS PRESTACIONES'!M47,0),0)</f>
        <v>0</v>
      </c>
      <c r="O47" s="59">
        <f>+'HORAS EXTRAS'!J45</f>
        <v>0</v>
      </c>
      <c r="P47" s="59">
        <f>+'HORAS EXTRAS'!K45</f>
        <v>0</v>
      </c>
      <c r="Q47" s="86"/>
      <c r="R47" s="86"/>
      <c r="S47" s="86"/>
      <c r="T47" s="86"/>
      <c r="U47" s="98">
        <v>0.4</v>
      </c>
      <c r="V47" s="59">
        <f>+IFERROR(IF('Datos y Resumen '!$E$61=1,$M$2*'ISR '!I47*U47,0),0)</f>
        <v>0</v>
      </c>
      <c r="W47" s="86"/>
      <c r="X47" s="86"/>
      <c r="Y47" s="92">
        <f>+AGUINALDO!H44</f>
        <v>0</v>
      </c>
      <c r="Z47" s="92">
        <f>+AGUINALDO!I44</f>
        <v>0</v>
      </c>
      <c r="AA47" s="86"/>
      <c r="AB47" s="86"/>
      <c r="AC47" s="92">
        <f t="shared" si="0"/>
        <v>0</v>
      </c>
      <c r="AD47" s="92">
        <f t="shared" si="1"/>
        <v>0</v>
      </c>
      <c r="AE47" s="92">
        <f t="shared" si="2"/>
        <v>0</v>
      </c>
    </row>
    <row r="48" spans="5:31" x14ac:dyDescent="0.25">
      <c r="E48" s="50" t="s">
        <v>117</v>
      </c>
      <c r="F48" s="91">
        <f>+'LISTA TRABAJADORES'!F47</f>
        <v>0</v>
      </c>
      <c r="G48" s="91">
        <f>+'LISTA TRABAJADORES'!G47</f>
        <v>0</v>
      </c>
      <c r="H48" s="53">
        <f>+'LISTA TRABAJADORES'!H47</f>
        <v>0</v>
      </c>
      <c r="I48" s="53">
        <f>+'CUOTAS IMSS'!L47</f>
        <v>0</v>
      </c>
      <c r="J48" s="53">
        <f>+I48*'ISR '!I48</f>
        <v>0</v>
      </c>
      <c r="K48" s="98">
        <v>0.1</v>
      </c>
      <c r="L48" s="59">
        <f>IFERROR(IF('Datos y Resumen '!$E$62=1,'OTRAS PRESTACIONES'!J48*'OTRAS PRESTACIONES'!K48,0),0)</f>
        <v>0</v>
      </c>
      <c r="M48" s="98">
        <v>0.1</v>
      </c>
      <c r="N48" s="59">
        <f>IFERROR(IF('Datos y Resumen '!$E$63=1,'OTRAS PRESTACIONES'!J48*'OTRAS PRESTACIONES'!M48,0),0)</f>
        <v>0</v>
      </c>
      <c r="O48" s="59">
        <f>+'HORAS EXTRAS'!J46</f>
        <v>0</v>
      </c>
      <c r="P48" s="59">
        <f>+'HORAS EXTRAS'!K46</f>
        <v>0</v>
      </c>
      <c r="Q48" s="86"/>
      <c r="R48" s="86"/>
      <c r="S48" s="86"/>
      <c r="T48" s="86"/>
      <c r="U48" s="98">
        <v>0.4</v>
      </c>
      <c r="V48" s="59">
        <f>+IFERROR(IF('Datos y Resumen '!$E$61=1,$M$2*'ISR '!I48*U48,0),0)</f>
        <v>0</v>
      </c>
      <c r="W48" s="86"/>
      <c r="X48" s="86"/>
      <c r="Y48" s="92">
        <f>+AGUINALDO!H45</f>
        <v>0</v>
      </c>
      <c r="Z48" s="92">
        <f>+AGUINALDO!I45</f>
        <v>0</v>
      </c>
      <c r="AA48" s="86"/>
      <c r="AB48" s="86"/>
      <c r="AC48" s="92">
        <f t="shared" si="0"/>
        <v>0</v>
      </c>
      <c r="AD48" s="92">
        <f t="shared" si="1"/>
        <v>0</v>
      </c>
      <c r="AE48" s="92">
        <f t="shared" si="2"/>
        <v>0</v>
      </c>
    </row>
    <row r="49" spans="5:31" x14ac:dyDescent="0.25">
      <c r="E49" s="50" t="s">
        <v>118</v>
      </c>
      <c r="F49" s="91">
        <f>+'LISTA TRABAJADORES'!F48</f>
        <v>0</v>
      </c>
      <c r="G49" s="91">
        <f>+'LISTA TRABAJADORES'!G48</f>
        <v>0</v>
      </c>
      <c r="H49" s="53">
        <f>+'LISTA TRABAJADORES'!H48</f>
        <v>0</v>
      </c>
      <c r="I49" s="53">
        <f>+'CUOTAS IMSS'!L48</f>
        <v>0</v>
      </c>
      <c r="J49" s="53">
        <f>+I49*'ISR '!I49</f>
        <v>0</v>
      </c>
      <c r="K49" s="98">
        <v>0.1</v>
      </c>
      <c r="L49" s="59">
        <f>IFERROR(IF('Datos y Resumen '!$E$62=1,'OTRAS PRESTACIONES'!J49*'OTRAS PRESTACIONES'!K49,0),0)</f>
        <v>0</v>
      </c>
      <c r="M49" s="98">
        <v>0.1</v>
      </c>
      <c r="N49" s="59">
        <f>IFERROR(IF('Datos y Resumen '!$E$63=1,'OTRAS PRESTACIONES'!J49*'OTRAS PRESTACIONES'!M49,0),0)</f>
        <v>0</v>
      </c>
      <c r="O49" s="59">
        <f>+'HORAS EXTRAS'!J47</f>
        <v>0</v>
      </c>
      <c r="P49" s="59">
        <f>+'HORAS EXTRAS'!K47</f>
        <v>0</v>
      </c>
      <c r="Q49" s="86"/>
      <c r="R49" s="86"/>
      <c r="S49" s="86"/>
      <c r="T49" s="86"/>
      <c r="U49" s="98">
        <v>0.4</v>
      </c>
      <c r="V49" s="59">
        <f>+IFERROR(IF('Datos y Resumen '!$E$61=1,$M$2*'ISR '!I49*U49,0),0)</f>
        <v>0</v>
      </c>
      <c r="W49" s="86"/>
      <c r="X49" s="86"/>
      <c r="Y49" s="92">
        <f>+AGUINALDO!H46</f>
        <v>0</v>
      </c>
      <c r="Z49" s="92">
        <f>+AGUINALDO!I46</f>
        <v>0</v>
      </c>
      <c r="AA49" s="86"/>
      <c r="AB49" s="86"/>
      <c r="AC49" s="92">
        <f t="shared" si="0"/>
        <v>0</v>
      </c>
      <c r="AD49" s="92">
        <f t="shared" si="1"/>
        <v>0</v>
      </c>
      <c r="AE49" s="92">
        <f t="shared" si="2"/>
        <v>0</v>
      </c>
    </row>
    <row r="50" spans="5:31" x14ac:dyDescent="0.25">
      <c r="E50" s="50" t="s">
        <v>119</v>
      </c>
      <c r="F50" s="91">
        <f>+'LISTA TRABAJADORES'!F49</f>
        <v>0</v>
      </c>
      <c r="G50" s="91">
        <f>+'LISTA TRABAJADORES'!G49</f>
        <v>0</v>
      </c>
      <c r="H50" s="53">
        <f>+'LISTA TRABAJADORES'!H49</f>
        <v>0</v>
      </c>
      <c r="I50" s="53">
        <f>+'CUOTAS IMSS'!L49</f>
        <v>0</v>
      </c>
      <c r="J50" s="53">
        <f>+I50*'ISR '!I50</f>
        <v>0</v>
      </c>
      <c r="K50" s="98">
        <v>0.1</v>
      </c>
      <c r="L50" s="59">
        <f>IFERROR(IF('Datos y Resumen '!$E$62=1,'OTRAS PRESTACIONES'!J50*'OTRAS PRESTACIONES'!K50,0),0)</f>
        <v>0</v>
      </c>
      <c r="M50" s="98">
        <v>0.1</v>
      </c>
      <c r="N50" s="59">
        <f>IFERROR(IF('Datos y Resumen '!$E$63=1,'OTRAS PRESTACIONES'!J50*'OTRAS PRESTACIONES'!M50,0),0)</f>
        <v>0</v>
      </c>
      <c r="O50" s="59">
        <f>+'HORAS EXTRAS'!J48</f>
        <v>0</v>
      </c>
      <c r="P50" s="59">
        <f>+'HORAS EXTRAS'!K48</f>
        <v>0</v>
      </c>
      <c r="Q50" s="86"/>
      <c r="R50" s="86"/>
      <c r="S50" s="86"/>
      <c r="T50" s="86"/>
      <c r="U50" s="98">
        <v>0.4</v>
      </c>
      <c r="V50" s="59">
        <f>+IFERROR(IF('Datos y Resumen '!$E$61=1,$M$2*'ISR '!I50*U50,0),0)</f>
        <v>0</v>
      </c>
      <c r="W50" s="86"/>
      <c r="X50" s="86"/>
      <c r="Y50" s="92">
        <f>+AGUINALDO!H47</f>
        <v>0</v>
      </c>
      <c r="Z50" s="92">
        <f>+AGUINALDO!I47</f>
        <v>0</v>
      </c>
      <c r="AA50" s="86"/>
      <c r="AB50" s="86"/>
      <c r="AC50" s="92">
        <f t="shared" si="0"/>
        <v>0</v>
      </c>
      <c r="AD50" s="92">
        <f t="shared" si="1"/>
        <v>0</v>
      </c>
      <c r="AE50" s="92">
        <f t="shared" si="2"/>
        <v>0</v>
      </c>
    </row>
    <row r="51" spans="5:31" x14ac:dyDescent="0.25">
      <c r="E51" s="50" t="s">
        <v>120</v>
      </c>
      <c r="F51" s="91">
        <f>+'LISTA TRABAJADORES'!F50</f>
        <v>0</v>
      </c>
      <c r="G51" s="91">
        <f>+'LISTA TRABAJADORES'!G50</f>
        <v>0</v>
      </c>
      <c r="H51" s="53">
        <f>+'LISTA TRABAJADORES'!H50</f>
        <v>0</v>
      </c>
      <c r="I51" s="53">
        <f>+'CUOTAS IMSS'!L50</f>
        <v>0</v>
      </c>
      <c r="J51" s="53">
        <f>+I51*'ISR '!I51</f>
        <v>0</v>
      </c>
      <c r="K51" s="98">
        <v>0.1</v>
      </c>
      <c r="L51" s="59">
        <f>IFERROR(IF('Datos y Resumen '!$E$62=1,'OTRAS PRESTACIONES'!J51*'OTRAS PRESTACIONES'!K51,0),0)</f>
        <v>0</v>
      </c>
      <c r="M51" s="98">
        <v>0.1</v>
      </c>
      <c r="N51" s="59">
        <f>IFERROR(IF('Datos y Resumen '!$E$63=1,'OTRAS PRESTACIONES'!J51*'OTRAS PRESTACIONES'!M51,0),0)</f>
        <v>0</v>
      </c>
      <c r="O51" s="59">
        <f>+'HORAS EXTRAS'!J49</f>
        <v>0</v>
      </c>
      <c r="P51" s="59">
        <f>+'HORAS EXTRAS'!K49</f>
        <v>0</v>
      </c>
      <c r="Q51" s="86"/>
      <c r="R51" s="86"/>
      <c r="S51" s="86"/>
      <c r="T51" s="86"/>
      <c r="U51" s="98">
        <v>0.4</v>
      </c>
      <c r="V51" s="59">
        <f>+IFERROR(IF('Datos y Resumen '!$E$61=1,$M$2*'ISR '!I51*U51,0),0)</f>
        <v>0</v>
      </c>
      <c r="W51" s="86"/>
      <c r="X51" s="86"/>
      <c r="Y51" s="92">
        <f>+AGUINALDO!H48</f>
        <v>0</v>
      </c>
      <c r="Z51" s="92">
        <f>+AGUINALDO!I48</f>
        <v>0</v>
      </c>
      <c r="AA51" s="86"/>
      <c r="AB51" s="86"/>
      <c r="AC51" s="92">
        <f t="shared" si="0"/>
        <v>0</v>
      </c>
      <c r="AD51" s="92">
        <f t="shared" si="1"/>
        <v>0</v>
      </c>
      <c r="AE51" s="92">
        <f t="shared" si="2"/>
        <v>0</v>
      </c>
    </row>
    <row r="52" spans="5:31" x14ac:dyDescent="0.25">
      <c r="E52" s="50" t="s">
        <v>121</v>
      </c>
      <c r="F52" s="91">
        <f>+'LISTA TRABAJADORES'!F51</f>
        <v>0</v>
      </c>
      <c r="G52" s="91">
        <f>+'LISTA TRABAJADORES'!G51</f>
        <v>0</v>
      </c>
      <c r="H52" s="53">
        <f>+'LISTA TRABAJADORES'!H51</f>
        <v>0</v>
      </c>
      <c r="I52" s="53">
        <f>+'CUOTAS IMSS'!L51</f>
        <v>0</v>
      </c>
      <c r="J52" s="53">
        <f>+I52*'ISR '!I52</f>
        <v>0</v>
      </c>
      <c r="K52" s="98">
        <v>0.1</v>
      </c>
      <c r="L52" s="59">
        <f>IFERROR(IF('Datos y Resumen '!$E$62=1,'OTRAS PRESTACIONES'!J52*'OTRAS PRESTACIONES'!K52,0),0)</f>
        <v>0</v>
      </c>
      <c r="M52" s="98">
        <v>0.1</v>
      </c>
      <c r="N52" s="59">
        <f>IFERROR(IF('Datos y Resumen '!$E$63=1,'OTRAS PRESTACIONES'!J52*'OTRAS PRESTACIONES'!M52,0),0)</f>
        <v>0</v>
      </c>
      <c r="O52" s="59">
        <f>+'HORAS EXTRAS'!J50</f>
        <v>0</v>
      </c>
      <c r="P52" s="59">
        <f>+'HORAS EXTRAS'!K50</f>
        <v>0</v>
      </c>
      <c r="Q52" s="86"/>
      <c r="R52" s="86"/>
      <c r="S52" s="86"/>
      <c r="T52" s="86"/>
      <c r="U52" s="98">
        <v>0.4</v>
      </c>
      <c r="V52" s="59">
        <f>+IFERROR(IF('Datos y Resumen '!$E$61=1,$M$2*'ISR '!I52*U52,0),0)</f>
        <v>0</v>
      </c>
      <c r="W52" s="86"/>
      <c r="X52" s="86"/>
      <c r="Y52" s="92">
        <f>+AGUINALDO!H49</f>
        <v>0</v>
      </c>
      <c r="Z52" s="92">
        <f>+AGUINALDO!I49</f>
        <v>0</v>
      </c>
      <c r="AA52" s="86"/>
      <c r="AB52" s="86"/>
      <c r="AC52" s="92">
        <f t="shared" si="0"/>
        <v>0</v>
      </c>
      <c r="AD52" s="92">
        <f t="shared" si="1"/>
        <v>0</v>
      </c>
      <c r="AE52" s="92">
        <f t="shared" si="2"/>
        <v>0</v>
      </c>
    </row>
    <row r="53" spans="5:31" x14ac:dyDescent="0.25">
      <c r="E53" s="50" t="s">
        <v>122</v>
      </c>
      <c r="F53" s="91">
        <f>+'LISTA TRABAJADORES'!F52</f>
        <v>0</v>
      </c>
      <c r="G53" s="91">
        <f>+'LISTA TRABAJADORES'!G52</f>
        <v>0</v>
      </c>
      <c r="H53" s="53">
        <f>+'LISTA TRABAJADORES'!H52</f>
        <v>0</v>
      </c>
      <c r="I53" s="53">
        <f>+'CUOTAS IMSS'!L52</f>
        <v>0</v>
      </c>
      <c r="J53" s="53">
        <f>+I53*'ISR '!I53</f>
        <v>0</v>
      </c>
      <c r="K53" s="98">
        <v>0.1</v>
      </c>
      <c r="L53" s="59">
        <f>IFERROR(IF('Datos y Resumen '!$E$62=1,'OTRAS PRESTACIONES'!J53*'OTRAS PRESTACIONES'!K53,0),0)</f>
        <v>0</v>
      </c>
      <c r="M53" s="98">
        <v>0.1</v>
      </c>
      <c r="N53" s="59">
        <f>IFERROR(IF('Datos y Resumen '!$E$63=1,'OTRAS PRESTACIONES'!J53*'OTRAS PRESTACIONES'!M53,0),0)</f>
        <v>0</v>
      </c>
      <c r="O53" s="59">
        <f>+'HORAS EXTRAS'!J51</f>
        <v>0</v>
      </c>
      <c r="P53" s="59">
        <f>+'HORAS EXTRAS'!K51</f>
        <v>0</v>
      </c>
      <c r="Q53" s="86"/>
      <c r="R53" s="86"/>
      <c r="S53" s="86"/>
      <c r="T53" s="86"/>
      <c r="U53" s="98">
        <v>0.4</v>
      </c>
      <c r="V53" s="59">
        <f>+IFERROR(IF('Datos y Resumen '!$E$61=1,$M$2*'ISR '!I53*U53,0),0)</f>
        <v>0</v>
      </c>
      <c r="W53" s="86"/>
      <c r="X53" s="86"/>
      <c r="Y53" s="92">
        <f>+AGUINALDO!H50</f>
        <v>0</v>
      </c>
      <c r="Z53" s="92">
        <f>+AGUINALDO!I50</f>
        <v>0</v>
      </c>
      <c r="AA53" s="86"/>
      <c r="AB53" s="86"/>
      <c r="AC53" s="92">
        <f t="shared" si="0"/>
        <v>0</v>
      </c>
      <c r="AD53" s="92">
        <f t="shared" si="1"/>
        <v>0</v>
      </c>
      <c r="AE53" s="92">
        <f t="shared" si="2"/>
        <v>0</v>
      </c>
    </row>
    <row r="54" spans="5:31" x14ac:dyDescent="0.25">
      <c r="E54" s="50" t="s">
        <v>123</v>
      </c>
      <c r="F54" s="91">
        <f>+'LISTA TRABAJADORES'!F53</f>
        <v>0</v>
      </c>
      <c r="G54" s="91">
        <f>+'LISTA TRABAJADORES'!G53</f>
        <v>0</v>
      </c>
      <c r="H54" s="53">
        <f>+'LISTA TRABAJADORES'!H53</f>
        <v>0</v>
      </c>
      <c r="I54" s="53">
        <f>+'CUOTAS IMSS'!L53</f>
        <v>0</v>
      </c>
      <c r="J54" s="53">
        <f>+I54*'ISR '!I54</f>
        <v>0</v>
      </c>
      <c r="K54" s="98">
        <v>0.1</v>
      </c>
      <c r="L54" s="59">
        <f>IFERROR(IF('Datos y Resumen '!$E$62=1,'OTRAS PRESTACIONES'!J54*'OTRAS PRESTACIONES'!K54,0),0)</f>
        <v>0</v>
      </c>
      <c r="M54" s="98">
        <v>0.1</v>
      </c>
      <c r="N54" s="59">
        <f>IFERROR(IF('Datos y Resumen '!$E$63=1,'OTRAS PRESTACIONES'!J54*'OTRAS PRESTACIONES'!M54,0),0)</f>
        <v>0</v>
      </c>
      <c r="O54" s="59">
        <f>+'HORAS EXTRAS'!J52</f>
        <v>0</v>
      </c>
      <c r="P54" s="59">
        <f>+'HORAS EXTRAS'!K52</f>
        <v>0</v>
      </c>
      <c r="Q54" s="86"/>
      <c r="R54" s="86"/>
      <c r="S54" s="86"/>
      <c r="T54" s="86"/>
      <c r="U54" s="98">
        <v>0.4</v>
      </c>
      <c r="V54" s="59">
        <f>+IFERROR(IF('Datos y Resumen '!$E$61=1,$M$2*'ISR '!I54*U54,0),0)</f>
        <v>0</v>
      </c>
      <c r="W54" s="86"/>
      <c r="X54" s="86"/>
      <c r="Y54" s="92">
        <f>+AGUINALDO!H51</f>
        <v>0</v>
      </c>
      <c r="Z54" s="92">
        <f>+AGUINALDO!I51</f>
        <v>0</v>
      </c>
      <c r="AA54" s="86"/>
      <c r="AB54" s="86"/>
      <c r="AC54" s="92">
        <f t="shared" si="0"/>
        <v>0</v>
      </c>
      <c r="AD54" s="92">
        <f t="shared" si="1"/>
        <v>0</v>
      </c>
      <c r="AE54" s="92">
        <f t="shared" si="2"/>
        <v>0</v>
      </c>
    </row>
    <row r="55" spans="5:31" x14ac:dyDescent="0.25">
      <c r="E55" s="50" t="s">
        <v>124</v>
      </c>
      <c r="F55" s="91">
        <f>+'LISTA TRABAJADORES'!F54</f>
        <v>0</v>
      </c>
      <c r="G55" s="91">
        <f>+'LISTA TRABAJADORES'!G54</f>
        <v>0</v>
      </c>
      <c r="H55" s="53">
        <f>+'LISTA TRABAJADORES'!H54</f>
        <v>0</v>
      </c>
      <c r="I55" s="53">
        <f>+'CUOTAS IMSS'!L54</f>
        <v>0</v>
      </c>
      <c r="J55" s="53">
        <f>+I55*'ISR '!I55</f>
        <v>0</v>
      </c>
      <c r="K55" s="98">
        <v>0.1</v>
      </c>
      <c r="L55" s="59">
        <f>IFERROR(IF('Datos y Resumen '!$E$62=1,'OTRAS PRESTACIONES'!J55*'OTRAS PRESTACIONES'!K55,0),0)</f>
        <v>0</v>
      </c>
      <c r="M55" s="98">
        <v>0.1</v>
      </c>
      <c r="N55" s="59">
        <f>IFERROR(IF('Datos y Resumen '!$E$63=1,'OTRAS PRESTACIONES'!J55*'OTRAS PRESTACIONES'!M55,0),0)</f>
        <v>0</v>
      </c>
      <c r="O55" s="59">
        <f>+'HORAS EXTRAS'!J53</f>
        <v>0</v>
      </c>
      <c r="P55" s="59">
        <f>+'HORAS EXTRAS'!K53</f>
        <v>0</v>
      </c>
      <c r="Q55" s="86"/>
      <c r="R55" s="86"/>
      <c r="S55" s="86"/>
      <c r="T55" s="86"/>
      <c r="U55" s="98">
        <v>0.4</v>
      </c>
      <c r="V55" s="59">
        <f>+IFERROR(IF('Datos y Resumen '!$E$61=1,$M$2*'ISR '!I55*U55,0),0)</f>
        <v>0</v>
      </c>
      <c r="W55" s="86"/>
      <c r="X55" s="86"/>
      <c r="Y55" s="92">
        <f>+AGUINALDO!H52</f>
        <v>0</v>
      </c>
      <c r="Z55" s="92">
        <f>+AGUINALDO!I52</f>
        <v>0</v>
      </c>
      <c r="AA55" s="86"/>
      <c r="AB55" s="86"/>
      <c r="AC55" s="92">
        <f t="shared" si="0"/>
        <v>0</v>
      </c>
      <c r="AD55" s="92">
        <f t="shared" si="1"/>
        <v>0</v>
      </c>
      <c r="AE55" s="92">
        <f t="shared" si="2"/>
        <v>0</v>
      </c>
    </row>
    <row r="56" spans="5:31" x14ac:dyDescent="0.25">
      <c r="E56" s="50" t="s">
        <v>125</v>
      </c>
      <c r="F56" s="91">
        <f>+'LISTA TRABAJADORES'!F55</f>
        <v>0</v>
      </c>
      <c r="G56" s="91">
        <f>+'LISTA TRABAJADORES'!G55</f>
        <v>0</v>
      </c>
      <c r="H56" s="53">
        <f>+'LISTA TRABAJADORES'!H55</f>
        <v>0</v>
      </c>
      <c r="I56" s="53">
        <f>+'CUOTAS IMSS'!L55</f>
        <v>0</v>
      </c>
      <c r="J56" s="53">
        <f>+I56*'ISR '!I56</f>
        <v>0</v>
      </c>
      <c r="K56" s="98">
        <v>0.1</v>
      </c>
      <c r="L56" s="59">
        <f>IFERROR(IF('Datos y Resumen '!$E$62=1,'OTRAS PRESTACIONES'!J56*'OTRAS PRESTACIONES'!K56,0),0)</f>
        <v>0</v>
      </c>
      <c r="M56" s="98">
        <v>0.1</v>
      </c>
      <c r="N56" s="59">
        <f>IFERROR(IF('Datos y Resumen '!$E$63=1,'OTRAS PRESTACIONES'!J56*'OTRAS PRESTACIONES'!M56,0),0)</f>
        <v>0</v>
      </c>
      <c r="O56" s="59">
        <f>+'HORAS EXTRAS'!J54</f>
        <v>0</v>
      </c>
      <c r="P56" s="59">
        <f>+'HORAS EXTRAS'!K54</f>
        <v>0</v>
      </c>
      <c r="Q56" s="86"/>
      <c r="R56" s="86"/>
      <c r="S56" s="86"/>
      <c r="T56" s="86"/>
      <c r="U56" s="98">
        <v>0.4</v>
      </c>
      <c r="V56" s="59">
        <f>+IFERROR(IF('Datos y Resumen '!$E$61=1,$M$2*'ISR '!I56*U56,0),0)</f>
        <v>0</v>
      </c>
      <c r="W56" s="86"/>
      <c r="X56" s="86"/>
      <c r="Y56" s="92">
        <f>+AGUINALDO!H53</f>
        <v>0</v>
      </c>
      <c r="Z56" s="92">
        <f>+AGUINALDO!I53</f>
        <v>0</v>
      </c>
      <c r="AA56" s="86"/>
      <c r="AB56" s="86"/>
      <c r="AC56" s="92">
        <f t="shared" si="0"/>
        <v>0</v>
      </c>
      <c r="AD56" s="92">
        <f t="shared" si="1"/>
        <v>0</v>
      </c>
      <c r="AE56" s="92">
        <f t="shared" si="2"/>
        <v>0</v>
      </c>
    </row>
    <row r="57" spans="5:31" x14ac:dyDescent="0.25">
      <c r="E57" s="51" t="s">
        <v>126</v>
      </c>
      <c r="F57" s="91">
        <f>+'LISTA TRABAJADORES'!F56</f>
        <v>0</v>
      </c>
      <c r="G57" s="91">
        <f>+'LISTA TRABAJADORES'!G56</f>
        <v>0</v>
      </c>
      <c r="H57" s="53">
        <f>+'LISTA TRABAJADORES'!H56</f>
        <v>0</v>
      </c>
      <c r="I57" s="53">
        <f>+'CUOTAS IMSS'!L56</f>
        <v>0</v>
      </c>
      <c r="J57" s="53">
        <f>+I57*'ISR '!I57</f>
        <v>0</v>
      </c>
      <c r="K57" s="98">
        <v>0.1</v>
      </c>
      <c r="L57" s="59">
        <f>IFERROR(IF('Datos y Resumen '!$E$62=1,'OTRAS PRESTACIONES'!J57*'OTRAS PRESTACIONES'!K57,0),0)</f>
        <v>0</v>
      </c>
      <c r="M57" s="98">
        <v>0.1</v>
      </c>
      <c r="N57" s="59">
        <f>IFERROR(IF('Datos y Resumen '!$E$63=1,'OTRAS PRESTACIONES'!J57*'OTRAS PRESTACIONES'!M57,0),0)</f>
        <v>0</v>
      </c>
      <c r="O57" s="59">
        <f>+'HORAS EXTRAS'!J55</f>
        <v>0</v>
      </c>
      <c r="P57" s="59">
        <f>+'HORAS EXTRAS'!K55</f>
        <v>0</v>
      </c>
      <c r="Q57" s="86"/>
      <c r="R57" s="102"/>
      <c r="S57" s="86"/>
      <c r="T57" s="102"/>
      <c r="U57" s="98">
        <v>0.4</v>
      </c>
      <c r="V57" s="59">
        <f>+IFERROR(IF('Datos y Resumen '!$E$61=1,$M$2*'ISR '!I57*U57,0),0)</f>
        <v>0</v>
      </c>
      <c r="W57" s="86"/>
      <c r="X57" s="86"/>
      <c r="Y57" s="92">
        <f>+AGUINALDO!H54</f>
        <v>0</v>
      </c>
      <c r="Z57" s="92">
        <f>+AGUINALDO!I54</f>
        <v>0</v>
      </c>
      <c r="AA57" s="86"/>
      <c r="AB57" s="86"/>
      <c r="AC57" s="92">
        <f t="shared" si="0"/>
        <v>0</v>
      </c>
      <c r="AD57" s="92">
        <f t="shared" si="1"/>
        <v>0</v>
      </c>
      <c r="AE57" s="94">
        <f t="shared" si="2"/>
        <v>0</v>
      </c>
    </row>
    <row r="58" spans="5:31" ht="15.75" thickBot="1" x14ac:dyDescent="0.3">
      <c r="E58" s="52" t="s">
        <v>126</v>
      </c>
      <c r="F58" s="95"/>
      <c r="G58" s="61"/>
      <c r="H58" s="61"/>
      <c r="I58" s="61"/>
      <c r="J58" s="61"/>
      <c r="K58" s="61"/>
      <c r="L58" s="96"/>
      <c r="M58" s="61"/>
      <c r="N58" s="96"/>
      <c r="O58" s="96"/>
      <c r="P58" s="96"/>
      <c r="Q58" s="57"/>
      <c r="R58" s="57"/>
      <c r="S58" s="57"/>
      <c r="T58" s="57"/>
      <c r="U58" s="103"/>
      <c r="V58" s="103"/>
      <c r="W58" s="57"/>
      <c r="X58" s="57"/>
      <c r="Y58" s="57">
        <f>SUM(Y8:Y57)</f>
        <v>0</v>
      </c>
      <c r="Z58" s="57">
        <f>SUM(Z8:Z57)</f>
        <v>0</v>
      </c>
      <c r="AA58" s="57"/>
      <c r="AB58" s="57"/>
      <c r="AC58" s="103"/>
      <c r="AD58" s="103"/>
      <c r="AE58" s="97">
        <f>SUM(AE8:AE57)</f>
        <v>0</v>
      </c>
    </row>
    <row r="59" spans="5:31" ht="15.75" thickTop="1" x14ac:dyDescent="0.25"/>
    <row r="62" spans="5:31" x14ac:dyDescent="0.25">
      <c r="G62" s="122"/>
    </row>
    <row r="63" spans="5:31" x14ac:dyDescent="0.25">
      <c r="G63" s="122"/>
    </row>
    <row r="64" spans="5:31" x14ac:dyDescent="0.25">
      <c r="G64" s="122"/>
    </row>
  </sheetData>
  <mergeCells count="37">
    <mergeCell ref="B18:C18"/>
    <mergeCell ref="B14:C14"/>
    <mergeCell ref="B15:C15"/>
    <mergeCell ref="B16:C16"/>
    <mergeCell ref="B17:C17"/>
    <mergeCell ref="B2:C3"/>
    <mergeCell ref="B4:C4"/>
    <mergeCell ref="B5:C5"/>
    <mergeCell ref="B6:C6"/>
    <mergeCell ref="B7:C7"/>
    <mergeCell ref="B13:C13"/>
    <mergeCell ref="K6:K7"/>
    <mergeCell ref="E6:E7"/>
    <mergeCell ref="F6:F7"/>
    <mergeCell ref="G6:G7"/>
    <mergeCell ref="H6:H7"/>
    <mergeCell ref="J6:J7"/>
    <mergeCell ref="I6:I7"/>
    <mergeCell ref="B8:C8"/>
    <mergeCell ref="B9:C9"/>
    <mergeCell ref="B10:C10"/>
    <mergeCell ref="B11:C11"/>
    <mergeCell ref="B12:C12"/>
    <mergeCell ref="AE6:AE7"/>
    <mergeCell ref="L6:L7"/>
    <mergeCell ref="M6:M7"/>
    <mergeCell ref="N6:N7"/>
    <mergeCell ref="O6:P6"/>
    <mergeCell ref="Q6:R6"/>
    <mergeCell ref="S6:T6"/>
    <mergeCell ref="U6:U7"/>
    <mergeCell ref="V6:V7"/>
    <mergeCell ref="AA6:AB6"/>
    <mergeCell ref="AC6:AC7"/>
    <mergeCell ref="AD6:AD7"/>
    <mergeCell ref="Y6:Z6"/>
    <mergeCell ref="W6:X6"/>
  </mergeCells>
  <hyperlinks>
    <hyperlink ref="B4:C4" location="'Datos y Resumen '!A1" display="DATOS Y RESUMEN" xr:uid="{D589C694-DA3C-4148-8365-FDB49DE83099}"/>
    <hyperlink ref="B5:C5" location="'LISTA TRABAJADORES'!A1" display="LISTA DE TRABAJADORES" xr:uid="{AECAC85E-EC7C-4337-A66E-A297E10F8A90}"/>
    <hyperlink ref="B6:C6" location="'ISR '!A1" display="ISR" xr:uid="{FCB12E53-A4DE-4E64-9787-EC5E32259E5F}"/>
    <hyperlink ref="B7:C7" location="'OTRAS PRESTACIONES'!A1" display="OTRAS PRESTACIONES" xr:uid="{95575651-3F53-41ED-8A80-F0915F6D3250}"/>
    <hyperlink ref="B8:C8" location="'OTRAS RETENCIONES'!A1" display="OTRAS RETENCIONES" xr:uid="{2B074F68-6F3A-4F14-AD6E-0C80BBE4295A}"/>
    <hyperlink ref="B12:C12" location="'CUOTAS IMSS'!A1" display="CUOTAS IMSS" xr:uid="{2210A515-B92C-4EAA-A5B7-66C5A1B3DC33}"/>
    <hyperlink ref="B13:C13" location="'HORAS EXTRAS'!A1" display="HORAS EXTRAS" xr:uid="{5987D5B1-7250-4039-9F30-26880EB5EAE2}"/>
    <hyperlink ref="B14:C14" location="AGUINALDO!A1" display="AGUINALDO" xr:uid="{4AAFA368-063F-45E9-B882-26B2F40CC9DA}"/>
    <hyperlink ref="B15:C15" location="'NOMINA FISCAL'!A1" display="NOMINA FISCAL " xr:uid="{679CD53A-3B44-4061-9678-7CD700940346}"/>
    <hyperlink ref="B16:C16" location="CONCEN!A1" display="CONCENTRADO" xr:uid="{4759CEFF-471C-4095-98FA-68EB1CB1E4A2}"/>
    <hyperlink ref="B17:C17" location="'TARIFAS 2025'!A1" display="TARIFAS 2025" xr:uid="{07CD7895-E4A1-4835-93AB-67A2C5131C91}"/>
    <hyperlink ref="B18:C18" location="'DATOS EXTRAS'!A1" display="DATOS EXTRAS" xr:uid="{C79D3034-15EE-4AF1-93D0-3DE59636675B}"/>
  </hyperlinks>
  <pageMargins left="0.7" right="0.7" top="0.75" bottom="0.75" header="0.3" footer="0.3"/>
  <pageSetup orientation="portrait" r:id="rId1"/>
  <ignoredErrors>
    <ignoredError sqref="E8:E29 E30:E5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4597-7CA7-4EC7-835E-EC9A5917D93E}">
  <sheetPr codeName="Hoja5">
    <tabColor theme="3" tint="-0.499984740745262"/>
  </sheetPr>
  <dimension ref="A1:N63"/>
  <sheetViews>
    <sheetView zoomScaleNormal="100" workbookViewId="0">
      <selection activeCell="B2" sqref="B2:C3"/>
    </sheetView>
  </sheetViews>
  <sheetFormatPr baseColWidth="10" defaultColWidth="0" defaultRowHeight="15" x14ac:dyDescent="0.25"/>
  <cols>
    <col min="1" max="1" width="1.28515625" style="40" customWidth="1"/>
    <col min="2" max="2" width="9.85546875" style="40" customWidth="1"/>
    <col min="3" max="3" width="9.7109375" style="40" customWidth="1"/>
    <col min="4" max="4" width="2.7109375" style="40" customWidth="1"/>
    <col min="5" max="6" width="11.42578125" style="40" customWidth="1"/>
    <col min="7" max="7" width="37.42578125" style="40" customWidth="1"/>
    <col min="8" max="8" width="11.42578125" style="60" customWidth="1"/>
    <col min="9" max="9" width="11.5703125" style="60" customWidth="1"/>
    <col min="10" max="10" width="17.5703125" style="60" bestFit="1" customWidth="1"/>
    <col min="11" max="13" width="11.42578125" style="60" customWidth="1"/>
    <col min="14" max="14" width="11.42578125" style="40" customWidth="1"/>
    <col min="15" max="16384" width="11.42578125" style="40" hidden="1"/>
  </cols>
  <sheetData>
    <row r="1" spans="2:13" ht="3.75" customHeight="1" thickBot="1" x14ac:dyDescent="0.3"/>
    <row r="2" spans="2:13" ht="18" customHeight="1" x14ac:dyDescent="0.25">
      <c r="B2" s="300" t="s">
        <v>352</v>
      </c>
      <c r="C2" s="301"/>
      <c r="E2" s="250" t="str">
        <f>+'Datos y Resumen '!AC2</f>
        <v>A</v>
      </c>
    </row>
    <row r="3" spans="2:13" ht="15.75" customHeight="1" x14ac:dyDescent="0.25">
      <c r="B3" s="302"/>
      <c r="C3" s="303"/>
      <c r="E3" s="44" t="s">
        <v>206</v>
      </c>
    </row>
    <row r="4" spans="2:13" x14ac:dyDescent="0.25">
      <c r="B4" s="304" t="s">
        <v>312</v>
      </c>
      <c r="C4" s="305"/>
    </row>
    <row r="5" spans="2:13" ht="15" customHeight="1" x14ac:dyDescent="0.25">
      <c r="B5" s="304" t="s">
        <v>233</v>
      </c>
      <c r="C5" s="305"/>
      <c r="E5" s="326" t="s">
        <v>66</v>
      </c>
      <c r="F5" s="328" t="s">
        <v>53</v>
      </c>
      <c r="G5" s="328" t="s">
        <v>65</v>
      </c>
      <c r="H5" s="357" t="s">
        <v>207</v>
      </c>
      <c r="I5" s="361"/>
      <c r="J5" s="361"/>
      <c r="K5" s="361"/>
      <c r="L5" s="358"/>
      <c r="M5" s="354" t="s">
        <v>205</v>
      </c>
    </row>
    <row r="6" spans="2:13" x14ac:dyDescent="0.25">
      <c r="B6" s="304" t="s">
        <v>62</v>
      </c>
      <c r="C6" s="305"/>
      <c r="E6" s="327"/>
      <c r="F6" s="329"/>
      <c r="G6" s="329"/>
      <c r="H6" s="81" t="s">
        <v>60</v>
      </c>
      <c r="I6" s="81" t="s">
        <v>61</v>
      </c>
      <c r="J6" s="81" t="s">
        <v>208</v>
      </c>
      <c r="K6" s="81" t="s">
        <v>209</v>
      </c>
      <c r="L6" s="81" t="s">
        <v>210</v>
      </c>
      <c r="M6" s="323"/>
    </row>
    <row r="7" spans="2:13" x14ac:dyDescent="0.25">
      <c r="B7" s="306" t="s">
        <v>313</v>
      </c>
      <c r="C7" s="307"/>
      <c r="E7" s="50" t="s">
        <v>113</v>
      </c>
      <c r="F7" s="91">
        <f>+'LISTA TRABAJADORES'!F7</f>
        <v>54008317338</v>
      </c>
      <c r="G7" s="91" t="str">
        <f>+'LISTA TRABAJADORES'!G7</f>
        <v>JUAN PABLO CAMINOS</v>
      </c>
      <c r="H7" s="99"/>
      <c r="I7" s="99"/>
      <c r="J7" s="99"/>
      <c r="K7" s="99"/>
      <c r="L7" s="99"/>
      <c r="M7" s="93">
        <f>SUM(H7:L7)</f>
        <v>0</v>
      </c>
    </row>
    <row r="8" spans="2:13" ht="15.75" thickBot="1" x14ac:dyDescent="0.3">
      <c r="B8" s="304" t="s">
        <v>243</v>
      </c>
      <c r="C8" s="305"/>
      <c r="E8" s="50" t="s">
        <v>77</v>
      </c>
      <c r="F8" s="91">
        <f>+'LISTA TRABAJADORES'!F8</f>
        <v>4008063127</v>
      </c>
      <c r="G8" s="91" t="str">
        <f>+'LISTA TRABAJADORES'!G8</f>
        <v>HECTOR ULISES GARCIA</v>
      </c>
      <c r="H8" s="99"/>
      <c r="I8" s="99"/>
      <c r="J8" s="99"/>
      <c r="K8" s="99"/>
      <c r="L8" s="99"/>
      <c r="M8" s="93">
        <f t="shared" ref="M8:M56" si="0">SUM(H8:L8)</f>
        <v>0</v>
      </c>
    </row>
    <row r="9" spans="2:13" x14ac:dyDescent="0.25">
      <c r="B9" s="310" t="s">
        <v>344</v>
      </c>
      <c r="C9" s="311"/>
      <c r="E9" s="50" t="s">
        <v>78</v>
      </c>
      <c r="F9" s="91">
        <f>+'LISTA TRABAJADORES'!F9</f>
        <v>4997999471</v>
      </c>
      <c r="G9" s="91" t="str">
        <f>+'LISTA TRABAJADORES'!G9</f>
        <v>MARISOL VILLA</v>
      </c>
      <c r="H9" s="99"/>
      <c r="I9" s="99"/>
      <c r="J9" s="99"/>
      <c r="K9" s="99"/>
      <c r="L9" s="99"/>
      <c r="M9" s="93">
        <f t="shared" si="0"/>
        <v>0</v>
      </c>
    </row>
    <row r="10" spans="2:13" x14ac:dyDescent="0.25">
      <c r="B10" s="312" t="s">
        <v>345</v>
      </c>
      <c r="C10" s="313"/>
      <c r="E10" s="50" t="s">
        <v>79</v>
      </c>
      <c r="F10" s="91">
        <f>+'LISTA TRABAJADORES'!F10</f>
        <v>5158985232</v>
      </c>
      <c r="G10" s="91" t="str">
        <f>+'LISTA TRABAJADORES'!G10</f>
        <v>MARCO PEREZ</v>
      </c>
      <c r="H10" s="99"/>
      <c r="I10" s="99"/>
      <c r="J10" s="99"/>
      <c r="K10" s="99"/>
      <c r="L10" s="99"/>
      <c r="M10" s="93">
        <f t="shared" si="0"/>
        <v>0</v>
      </c>
    </row>
    <row r="11" spans="2:13" ht="15.75" thickBot="1" x14ac:dyDescent="0.3">
      <c r="B11" s="314" t="s">
        <v>346</v>
      </c>
      <c r="C11" s="315"/>
      <c r="E11" s="50" t="s">
        <v>80</v>
      </c>
      <c r="F11" s="91">
        <f>+'LISTA TRABAJADORES'!F11</f>
        <v>5478565521</v>
      </c>
      <c r="G11" s="91" t="str">
        <f>+'LISTA TRABAJADORES'!G11</f>
        <v>ALEJANDRO VENEGAS</v>
      </c>
      <c r="H11" s="99"/>
      <c r="I11" s="99"/>
      <c r="J11" s="99"/>
      <c r="K11" s="99"/>
      <c r="L11" s="99"/>
      <c r="M11" s="93">
        <f t="shared" si="0"/>
        <v>0</v>
      </c>
    </row>
    <row r="12" spans="2:13" x14ac:dyDescent="0.25">
      <c r="B12" s="304" t="s">
        <v>315</v>
      </c>
      <c r="C12" s="305"/>
      <c r="E12" s="50" t="s">
        <v>81</v>
      </c>
      <c r="F12" s="91">
        <f>+'LISTA TRABAJADORES'!F12</f>
        <v>5258525822</v>
      </c>
      <c r="G12" s="91" t="str">
        <f>+'LISTA TRABAJADORES'!G12</f>
        <v>MARTHA ZAVALA</v>
      </c>
      <c r="H12" s="99"/>
      <c r="I12" s="99"/>
      <c r="J12" s="99"/>
      <c r="K12" s="99"/>
      <c r="L12" s="99"/>
      <c r="M12" s="93">
        <f t="shared" si="0"/>
        <v>0</v>
      </c>
    </row>
    <row r="13" spans="2:13" x14ac:dyDescent="0.25">
      <c r="B13" s="304" t="s">
        <v>192</v>
      </c>
      <c r="C13" s="305"/>
      <c r="E13" s="50" t="s">
        <v>82</v>
      </c>
      <c r="F13" s="91">
        <f>+'LISTA TRABAJADORES'!F13</f>
        <v>2587566225</v>
      </c>
      <c r="G13" s="91" t="str">
        <f>+'LISTA TRABAJADORES'!G13</f>
        <v>CRISTINA MACIAS</v>
      </c>
      <c r="H13" s="99"/>
      <c r="I13" s="99"/>
      <c r="J13" s="99"/>
      <c r="K13" s="99"/>
      <c r="L13" s="99"/>
      <c r="M13" s="93">
        <f t="shared" si="0"/>
        <v>0</v>
      </c>
    </row>
    <row r="14" spans="2:13" x14ac:dyDescent="0.25">
      <c r="B14" s="306" t="s">
        <v>236</v>
      </c>
      <c r="C14" s="307"/>
      <c r="E14" s="50" t="s">
        <v>83</v>
      </c>
      <c r="F14" s="91">
        <f>+'LISTA TRABAJADORES'!F14</f>
        <v>6585422585</v>
      </c>
      <c r="G14" s="91" t="str">
        <f>+'LISTA TRABAJADORES'!G14</f>
        <v>ANTONIO OCAMPOS</v>
      </c>
      <c r="H14" s="99"/>
      <c r="I14" s="99"/>
      <c r="J14" s="99"/>
      <c r="K14" s="99"/>
      <c r="L14" s="99"/>
      <c r="M14" s="93">
        <f t="shared" si="0"/>
        <v>0</v>
      </c>
    </row>
    <row r="15" spans="2:13" x14ac:dyDescent="0.25">
      <c r="B15" s="304" t="s">
        <v>316</v>
      </c>
      <c r="C15" s="305"/>
      <c r="E15" s="50" t="s">
        <v>84</v>
      </c>
      <c r="F15" s="91">
        <f>+'LISTA TRABAJADORES'!F15</f>
        <v>0</v>
      </c>
      <c r="G15" s="91">
        <f>+'LISTA TRABAJADORES'!G15</f>
        <v>0</v>
      </c>
      <c r="H15" s="99"/>
      <c r="I15" s="99"/>
      <c r="J15" s="99"/>
      <c r="K15" s="99"/>
      <c r="L15" s="99"/>
      <c r="M15" s="93">
        <f t="shared" si="0"/>
        <v>0</v>
      </c>
    </row>
    <row r="16" spans="2:13" x14ac:dyDescent="0.25">
      <c r="B16" s="306" t="s">
        <v>244</v>
      </c>
      <c r="C16" s="307"/>
      <c r="E16" s="50" t="s">
        <v>85</v>
      </c>
      <c r="F16" s="91">
        <f>+'LISTA TRABAJADORES'!F16</f>
        <v>0</v>
      </c>
      <c r="G16" s="91">
        <f>+'LISTA TRABAJADORES'!G16</f>
        <v>0</v>
      </c>
      <c r="H16" s="99"/>
      <c r="I16" s="99"/>
      <c r="J16" s="99"/>
      <c r="K16" s="99"/>
      <c r="L16" s="99"/>
      <c r="M16" s="93">
        <f t="shared" si="0"/>
        <v>0</v>
      </c>
    </row>
    <row r="17" spans="2:13" x14ac:dyDescent="0.25">
      <c r="B17" s="320" t="s">
        <v>356</v>
      </c>
      <c r="C17" s="321"/>
      <c r="E17" s="50" t="s">
        <v>86</v>
      </c>
      <c r="F17" s="91">
        <f>+'LISTA TRABAJADORES'!F17</f>
        <v>0</v>
      </c>
      <c r="G17" s="91">
        <f>+'LISTA TRABAJADORES'!G17</f>
        <v>0</v>
      </c>
      <c r="H17" s="99"/>
      <c r="I17" s="99"/>
      <c r="J17" s="99"/>
      <c r="K17" s="99"/>
      <c r="L17" s="99"/>
      <c r="M17" s="93">
        <f t="shared" si="0"/>
        <v>0</v>
      </c>
    </row>
    <row r="18" spans="2:13" ht="15.75" thickBot="1" x14ac:dyDescent="0.3">
      <c r="B18" s="318" t="s">
        <v>330</v>
      </c>
      <c r="C18" s="319"/>
      <c r="E18" s="50" t="s">
        <v>87</v>
      </c>
      <c r="F18" s="91">
        <f>+'LISTA TRABAJADORES'!F18</f>
        <v>0</v>
      </c>
      <c r="G18" s="91">
        <f>+'LISTA TRABAJADORES'!G18</f>
        <v>0</v>
      </c>
      <c r="H18" s="99"/>
      <c r="I18" s="99"/>
      <c r="J18" s="99"/>
      <c r="K18" s="99"/>
      <c r="L18" s="99"/>
      <c r="M18" s="93">
        <f t="shared" si="0"/>
        <v>0</v>
      </c>
    </row>
    <row r="19" spans="2:13" x14ac:dyDescent="0.25">
      <c r="E19" s="50" t="s">
        <v>88</v>
      </c>
      <c r="F19" s="91">
        <f>+'LISTA TRABAJADORES'!F19</f>
        <v>0</v>
      </c>
      <c r="G19" s="91">
        <f>+'LISTA TRABAJADORES'!G19</f>
        <v>0</v>
      </c>
      <c r="H19" s="99"/>
      <c r="I19" s="99"/>
      <c r="J19" s="99"/>
      <c r="K19" s="99"/>
      <c r="L19" s="99"/>
      <c r="M19" s="93">
        <f t="shared" si="0"/>
        <v>0</v>
      </c>
    </row>
    <row r="20" spans="2:13" x14ac:dyDescent="0.25">
      <c r="E20" s="50" t="s">
        <v>89</v>
      </c>
      <c r="F20" s="91">
        <f>+'LISTA TRABAJADORES'!F20</f>
        <v>0</v>
      </c>
      <c r="G20" s="91">
        <f>+'LISTA TRABAJADORES'!G20</f>
        <v>0</v>
      </c>
      <c r="H20" s="99"/>
      <c r="I20" s="99"/>
      <c r="J20" s="99"/>
      <c r="K20" s="99"/>
      <c r="L20" s="99"/>
      <c r="M20" s="93">
        <f t="shared" si="0"/>
        <v>0</v>
      </c>
    </row>
    <row r="21" spans="2:13" x14ac:dyDescent="0.25">
      <c r="E21" s="50" t="s">
        <v>90</v>
      </c>
      <c r="F21" s="91">
        <f>+'LISTA TRABAJADORES'!F21</f>
        <v>0</v>
      </c>
      <c r="G21" s="91">
        <f>+'LISTA TRABAJADORES'!G21</f>
        <v>0</v>
      </c>
      <c r="H21" s="99"/>
      <c r="I21" s="99"/>
      <c r="J21" s="99"/>
      <c r="K21" s="99"/>
      <c r="L21" s="99"/>
      <c r="M21" s="93">
        <f t="shared" si="0"/>
        <v>0</v>
      </c>
    </row>
    <row r="22" spans="2:13" x14ac:dyDescent="0.25">
      <c r="E22" s="50" t="s">
        <v>91</v>
      </c>
      <c r="F22" s="91">
        <f>+'LISTA TRABAJADORES'!F22</f>
        <v>0</v>
      </c>
      <c r="G22" s="91">
        <f>+'LISTA TRABAJADORES'!G22</f>
        <v>0</v>
      </c>
      <c r="H22" s="99"/>
      <c r="I22" s="99"/>
      <c r="J22" s="99"/>
      <c r="K22" s="99"/>
      <c r="L22" s="99"/>
      <c r="M22" s="93">
        <f t="shared" si="0"/>
        <v>0</v>
      </c>
    </row>
    <row r="23" spans="2:13" x14ac:dyDescent="0.25">
      <c r="E23" s="50" t="s">
        <v>92</v>
      </c>
      <c r="F23" s="91">
        <f>+'LISTA TRABAJADORES'!F23</f>
        <v>0</v>
      </c>
      <c r="G23" s="91">
        <f>+'LISTA TRABAJADORES'!G23</f>
        <v>0</v>
      </c>
      <c r="H23" s="99"/>
      <c r="I23" s="99"/>
      <c r="J23" s="99"/>
      <c r="K23" s="99"/>
      <c r="L23" s="99"/>
      <c r="M23" s="93">
        <f t="shared" si="0"/>
        <v>0</v>
      </c>
    </row>
    <row r="24" spans="2:13" x14ac:dyDescent="0.25">
      <c r="E24" s="50" t="s">
        <v>93</v>
      </c>
      <c r="F24" s="91">
        <f>+'LISTA TRABAJADORES'!F24</f>
        <v>0</v>
      </c>
      <c r="G24" s="91">
        <f>+'LISTA TRABAJADORES'!G24</f>
        <v>0</v>
      </c>
      <c r="H24" s="99"/>
      <c r="I24" s="99"/>
      <c r="J24" s="99"/>
      <c r="K24" s="99"/>
      <c r="L24" s="99"/>
      <c r="M24" s="93">
        <f t="shared" si="0"/>
        <v>0</v>
      </c>
    </row>
    <row r="25" spans="2:13" x14ac:dyDescent="0.25">
      <c r="E25" s="50" t="s">
        <v>94</v>
      </c>
      <c r="F25" s="91">
        <f>+'LISTA TRABAJADORES'!F25</f>
        <v>0</v>
      </c>
      <c r="G25" s="91">
        <f>+'LISTA TRABAJADORES'!G25</f>
        <v>0</v>
      </c>
      <c r="H25" s="99"/>
      <c r="I25" s="99"/>
      <c r="J25" s="99"/>
      <c r="K25" s="99"/>
      <c r="L25" s="99"/>
      <c r="M25" s="93">
        <f t="shared" si="0"/>
        <v>0</v>
      </c>
    </row>
    <row r="26" spans="2:13" x14ac:dyDescent="0.25">
      <c r="E26" s="50" t="s">
        <v>95</v>
      </c>
      <c r="F26" s="91">
        <f>+'LISTA TRABAJADORES'!F26</f>
        <v>0</v>
      </c>
      <c r="G26" s="91">
        <f>+'LISTA TRABAJADORES'!G26</f>
        <v>0</v>
      </c>
      <c r="H26" s="99"/>
      <c r="I26" s="99"/>
      <c r="J26" s="99"/>
      <c r="K26" s="99"/>
      <c r="L26" s="99"/>
      <c r="M26" s="93">
        <f t="shared" si="0"/>
        <v>0</v>
      </c>
    </row>
    <row r="27" spans="2:13" x14ac:dyDescent="0.25">
      <c r="E27" s="50" t="s">
        <v>96</v>
      </c>
      <c r="F27" s="91">
        <f>+'LISTA TRABAJADORES'!F27</f>
        <v>0</v>
      </c>
      <c r="G27" s="91">
        <f>+'LISTA TRABAJADORES'!G27</f>
        <v>0</v>
      </c>
      <c r="H27" s="99"/>
      <c r="I27" s="99"/>
      <c r="J27" s="99"/>
      <c r="K27" s="99"/>
      <c r="L27" s="99"/>
      <c r="M27" s="93">
        <f t="shared" si="0"/>
        <v>0</v>
      </c>
    </row>
    <row r="28" spans="2:13" x14ac:dyDescent="0.25">
      <c r="E28" s="50" t="s">
        <v>97</v>
      </c>
      <c r="F28" s="91">
        <f>+'LISTA TRABAJADORES'!F28</f>
        <v>0</v>
      </c>
      <c r="G28" s="91">
        <f>+'LISTA TRABAJADORES'!G28</f>
        <v>0</v>
      </c>
      <c r="H28" s="99"/>
      <c r="I28" s="99"/>
      <c r="J28" s="99"/>
      <c r="K28" s="99"/>
      <c r="L28" s="99"/>
      <c r="M28" s="93">
        <f t="shared" si="0"/>
        <v>0</v>
      </c>
    </row>
    <row r="29" spans="2:13" x14ac:dyDescent="0.25">
      <c r="E29" s="50" t="s">
        <v>98</v>
      </c>
      <c r="F29" s="91">
        <f>+'LISTA TRABAJADORES'!F29</f>
        <v>0</v>
      </c>
      <c r="G29" s="91">
        <f>+'LISTA TRABAJADORES'!G29</f>
        <v>0</v>
      </c>
      <c r="H29" s="99"/>
      <c r="I29" s="99"/>
      <c r="J29" s="99"/>
      <c r="K29" s="99"/>
      <c r="L29" s="99"/>
      <c r="M29" s="93">
        <f t="shared" si="0"/>
        <v>0</v>
      </c>
    </row>
    <row r="30" spans="2:13" x14ac:dyDescent="0.25">
      <c r="E30" s="50" t="s">
        <v>99</v>
      </c>
      <c r="F30" s="91">
        <f>+'LISTA TRABAJADORES'!F30</f>
        <v>0</v>
      </c>
      <c r="G30" s="91">
        <f>+'LISTA TRABAJADORES'!G30</f>
        <v>0</v>
      </c>
      <c r="H30" s="99"/>
      <c r="I30" s="99"/>
      <c r="J30" s="99"/>
      <c r="K30" s="99"/>
      <c r="L30" s="99"/>
      <c r="M30" s="93">
        <f t="shared" si="0"/>
        <v>0</v>
      </c>
    </row>
    <row r="31" spans="2:13" x14ac:dyDescent="0.25">
      <c r="E31" s="50" t="s">
        <v>100</v>
      </c>
      <c r="F31" s="91">
        <f>+'LISTA TRABAJADORES'!F31</f>
        <v>0</v>
      </c>
      <c r="G31" s="91">
        <f>+'LISTA TRABAJADORES'!G31</f>
        <v>0</v>
      </c>
      <c r="H31" s="99"/>
      <c r="I31" s="99"/>
      <c r="J31" s="99"/>
      <c r="K31" s="99"/>
      <c r="L31" s="99"/>
      <c r="M31" s="93">
        <f t="shared" si="0"/>
        <v>0</v>
      </c>
    </row>
    <row r="32" spans="2:13" x14ac:dyDescent="0.25">
      <c r="E32" s="50" t="s">
        <v>101</v>
      </c>
      <c r="F32" s="91">
        <f>+'LISTA TRABAJADORES'!F32</f>
        <v>0</v>
      </c>
      <c r="G32" s="91">
        <f>+'LISTA TRABAJADORES'!G32</f>
        <v>0</v>
      </c>
      <c r="H32" s="99"/>
      <c r="I32" s="99"/>
      <c r="J32" s="99"/>
      <c r="K32" s="99"/>
      <c r="L32" s="99"/>
      <c r="M32" s="93">
        <f t="shared" si="0"/>
        <v>0</v>
      </c>
    </row>
    <row r="33" spans="5:13" x14ac:dyDescent="0.25">
      <c r="E33" s="50" t="s">
        <v>102</v>
      </c>
      <c r="F33" s="91">
        <f>+'LISTA TRABAJADORES'!F33</f>
        <v>0</v>
      </c>
      <c r="G33" s="91">
        <f>+'LISTA TRABAJADORES'!G33</f>
        <v>0</v>
      </c>
      <c r="H33" s="99"/>
      <c r="I33" s="99"/>
      <c r="J33" s="99"/>
      <c r="K33" s="99"/>
      <c r="L33" s="99"/>
      <c r="M33" s="93">
        <f t="shared" si="0"/>
        <v>0</v>
      </c>
    </row>
    <row r="34" spans="5:13" x14ac:dyDescent="0.25">
      <c r="E34" s="50" t="s">
        <v>103</v>
      </c>
      <c r="F34" s="91">
        <f>+'LISTA TRABAJADORES'!F34</f>
        <v>0</v>
      </c>
      <c r="G34" s="91">
        <f>+'LISTA TRABAJADORES'!G34</f>
        <v>0</v>
      </c>
      <c r="H34" s="99"/>
      <c r="I34" s="99"/>
      <c r="J34" s="99"/>
      <c r="K34" s="99"/>
      <c r="L34" s="99"/>
      <c r="M34" s="93">
        <f t="shared" si="0"/>
        <v>0</v>
      </c>
    </row>
    <row r="35" spans="5:13" x14ac:dyDescent="0.25">
      <c r="E35" s="50" t="s">
        <v>104</v>
      </c>
      <c r="F35" s="91">
        <f>+'LISTA TRABAJADORES'!F35</f>
        <v>0</v>
      </c>
      <c r="G35" s="91">
        <f>+'LISTA TRABAJADORES'!G35</f>
        <v>0</v>
      </c>
      <c r="H35" s="99"/>
      <c r="I35" s="99"/>
      <c r="J35" s="99"/>
      <c r="K35" s="99"/>
      <c r="L35" s="99"/>
      <c r="M35" s="93">
        <f t="shared" si="0"/>
        <v>0</v>
      </c>
    </row>
    <row r="36" spans="5:13" x14ac:dyDescent="0.25">
      <c r="E36" s="50" t="s">
        <v>105</v>
      </c>
      <c r="F36" s="91">
        <f>+'LISTA TRABAJADORES'!F36</f>
        <v>0</v>
      </c>
      <c r="G36" s="91">
        <f>+'LISTA TRABAJADORES'!G36</f>
        <v>0</v>
      </c>
      <c r="H36" s="99"/>
      <c r="I36" s="99"/>
      <c r="J36" s="99"/>
      <c r="K36" s="99"/>
      <c r="L36" s="99"/>
      <c r="M36" s="93">
        <f t="shared" si="0"/>
        <v>0</v>
      </c>
    </row>
    <row r="37" spans="5:13" x14ac:dyDescent="0.25">
      <c r="E37" s="50" t="s">
        <v>106</v>
      </c>
      <c r="F37" s="91">
        <f>+'LISTA TRABAJADORES'!F37</f>
        <v>0</v>
      </c>
      <c r="G37" s="91">
        <f>+'LISTA TRABAJADORES'!G37</f>
        <v>0</v>
      </c>
      <c r="H37" s="99"/>
      <c r="I37" s="99"/>
      <c r="J37" s="99"/>
      <c r="K37" s="99"/>
      <c r="L37" s="99"/>
      <c r="M37" s="93">
        <f t="shared" si="0"/>
        <v>0</v>
      </c>
    </row>
    <row r="38" spans="5:13" x14ac:dyDescent="0.25">
      <c r="E38" s="50" t="s">
        <v>107</v>
      </c>
      <c r="F38" s="91">
        <f>+'LISTA TRABAJADORES'!F38</f>
        <v>0</v>
      </c>
      <c r="G38" s="91">
        <f>+'LISTA TRABAJADORES'!G38</f>
        <v>0</v>
      </c>
      <c r="H38" s="99"/>
      <c r="I38" s="99"/>
      <c r="J38" s="99"/>
      <c r="K38" s="99"/>
      <c r="L38" s="99"/>
      <c r="M38" s="93">
        <f t="shared" si="0"/>
        <v>0</v>
      </c>
    </row>
    <row r="39" spans="5:13" x14ac:dyDescent="0.25">
      <c r="E39" s="50" t="s">
        <v>108</v>
      </c>
      <c r="F39" s="91">
        <f>+'LISTA TRABAJADORES'!F39</f>
        <v>0</v>
      </c>
      <c r="G39" s="91">
        <f>+'LISTA TRABAJADORES'!G39</f>
        <v>0</v>
      </c>
      <c r="H39" s="99"/>
      <c r="I39" s="99"/>
      <c r="J39" s="99"/>
      <c r="K39" s="99"/>
      <c r="L39" s="99"/>
      <c r="M39" s="93">
        <f t="shared" si="0"/>
        <v>0</v>
      </c>
    </row>
    <row r="40" spans="5:13" x14ac:dyDescent="0.25">
      <c r="E40" s="50" t="s">
        <v>109</v>
      </c>
      <c r="F40" s="91">
        <f>+'LISTA TRABAJADORES'!F40</f>
        <v>0</v>
      </c>
      <c r="G40" s="91">
        <f>+'LISTA TRABAJADORES'!G40</f>
        <v>0</v>
      </c>
      <c r="H40" s="99"/>
      <c r="I40" s="99"/>
      <c r="J40" s="99"/>
      <c r="K40" s="99"/>
      <c r="L40" s="99"/>
      <c r="M40" s="93">
        <f t="shared" si="0"/>
        <v>0</v>
      </c>
    </row>
    <row r="41" spans="5:13" x14ac:dyDescent="0.25">
      <c r="E41" s="50" t="s">
        <v>110</v>
      </c>
      <c r="F41" s="91">
        <f>+'LISTA TRABAJADORES'!F41</f>
        <v>0</v>
      </c>
      <c r="G41" s="91">
        <f>+'LISTA TRABAJADORES'!G41</f>
        <v>0</v>
      </c>
      <c r="H41" s="99"/>
      <c r="I41" s="99"/>
      <c r="J41" s="99"/>
      <c r="K41" s="99"/>
      <c r="L41" s="99"/>
      <c r="M41" s="93">
        <f t="shared" si="0"/>
        <v>0</v>
      </c>
    </row>
    <row r="42" spans="5:13" x14ac:dyDescent="0.25">
      <c r="E42" s="50" t="s">
        <v>111</v>
      </c>
      <c r="F42" s="91">
        <f>+'LISTA TRABAJADORES'!F42</f>
        <v>0</v>
      </c>
      <c r="G42" s="91">
        <f>+'LISTA TRABAJADORES'!G42</f>
        <v>0</v>
      </c>
      <c r="H42" s="99"/>
      <c r="I42" s="99"/>
      <c r="J42" s="99"/>
      <c r="K42" s="99"/>
      <c r="L42" s="99"/>
      <c r="M42" s="93">
        <f t="shared" si="0"/>
        <v>0</v>
      </c>
    </row>
    <row r="43" spans="5:13" x14ac:dyDescent="0.25">
      <c r="E43" s="50" t="s">
        <v>112</v>
      </c>
      <c r="F43" s="91">
        <f>+'LISTA TRABAJADORES'!F43</f>
        <v>0</v>
      </c>
      <c r="G43" s="91">
        <f>+'LISTA TRABAJADORES'!G43</f>
        <v>0</v>
      </c>
      <c r="H43" s="99"/>
      <c r="I43" s="99"/>
      <c r="J43" s="99"/>
      <c r="K43" s="99"/>
      <c r="L43" s="99"/>
      <c r="M43" s="93">
        <f t="shared" si="0"/>
        <v>0</v>
      </c>
    </row>
    <row r="44" spans="5:13" x14ac:dyDescent="0.25">
      <c r="E44" s="50" t="s">
        <v>114</v>
      </c>
      <c r="F44" s="91">
        <f>+'LISTA TRABAJADORES'!F44</f>
        <v>0</v>
      </c>
      <c r="G44" s="91">
        <f>+'LISTA TRABAJADORES'!G44</f>
        <v>0</v>
      </c>
      <c r="H44" s="99"/>
      <c r="I44" s="99"/>
      <c r="J44" s="99"/>
      <c r="K44" s="99"/>
      <c r="L44" s="99"/>
      <c r="M44" s="93">
        <f t="shared" si="0"/>
        <v>0</v>
      </c>
    </row>
    <row r="45" spans="5:13" x14ac:dyDescent="0.25">
      <c r="E45" s="50" t="s">
        <v>115</v>
      </c>
      <c r="F45" s="91">
        <f>+'LISTA TRABAJADORES'!F45</f>
        <v>0</v>
      </c>
      <c r="G45" s="91">
        <f>+'LISTA TRABAJADORES'!G45</f>
        <v>0</v>
      </c>
      <c r="H45" s="99"/>
      <c r="I45" s="99"/>
      <c r="J45" s="99"/>
      <c r="K45" s="99"/>
      <c r="L45" s="99"/>
      <c r="M45" s="93">
        <f t="shared" si="0"/>
        <v>0</v>
      </c>
    </row>
    <row r="46" spans="5:13" x14ac:dyDescent="0.25">
      <c r="E46" s="50" t="s">
        <v>116</v>
      </c>
      <c r="F46" s="91">
        <f>+'LISTA TRABAJADORES'!F46</f>
        <v>0</v>
      </c>
      <c r="G46" s="91">
        <f>+'LISTA TRABAJADORES'!G46</f>
        <v>0</v>
      </c>
      <c r="H46" s="99"/>
      <c r="I46" s="99"/>
      <c r="J46" s="99"/>
      <c r="K46" s="99"/>
      <c r="L46" s="99"/>
      <c r="M46" s="93">
        <f t="shared" si="0"/>
        <v>0</v>
      </c>
    </row>
    <row r="47" spans="5:13" x14ac:dyDescent="0.25">
      <c r="E47" s="50" t="s">
        <v>117</v>
      </c>
      <c r="F47" s="91">
        <f>+'LISTA TRABAJADORES'!F47</f>
        <v>0</v>
      </c>
      <c r="G47" s="91">
        <f>+'LISTA TRABAJADORES'!G47</f>
        <v>0</v>
      </c>
      <c r="H47" s="99"/>
      <c r="I47" s="99"/>
      <c r="J47" s="99"/>
      <c r="K47" s="99"/>
      <c r="L47" s="99"/>
      <c r="M47" s="93">
        <f t="shared" si="0"/>
        <v>0</v>
      </c>
    </row>
    <row r="48" spans="5:13" x14ac:dyDescent="0.25">
      <c r="E48" s="50" t="s">
        <v>118</v>
      </c>
      <c r="F48" s="91">
        <f>+'LISTA TRABAJADORES'!F48</f>
        <v>0</v>
      </c>
      <c r="G48" s="91">
        <f>+'LISTA TRABAJADORES'!G48</f>
        <v>0</v>
      </c>
      <c r="H48" s="99"/>
      <c r="I48" s="99"/>
      <c r="J48" s="99"/>
      <c r="K48" s="99"/>
      <c r="L48" s="99"/>
      <c r="M48" s="93">
        <f t="shared" si="0"/>
        <v>0</v>
      </c>
    </row>
    <row r="49" spans="5:13" x14ac:dyDescent="0.25">
      <c r="E49" s="50" t="s">
        <v>119</v>
      </c>
      <c r="F49" s="91">
        <f>+'LISTA TRABAJADORES'!F49</f>
        <v>0</v>
      </c>
      <c r="G49" s="91">
        <f>+'LISTA TRABAJADORES'!G49</f>
        <v>0</v>
      </c>
      <c r="H49" s="99"/>
      <c r="I49" s="99"/>
      <c r="J49" s="99"/>
      <c r="K49" s="99"/>
      <c r="L49" s="99"/>
      <c r="M49" s="93">
        <f t="shared" si="0"/>
        <v>0</v>
      </c>
    </row>
    <row r="50" spans="5:13" x14ac:dyDescent="0.25">
      <c r="E50" s="50" t="s">
        <v>120</v>
      </c>
      <c r="F50" s="91">
        <f>+'LISTA TRABAJADORES'!F50</f>
        <v>0</v>
      </c>
      <c r="G50" s="91">
        <f>+'LISTA TRABAJADORES'!G50</f>
        <v>0</v>
      </c>
      <c r="H50" s="99"/>
      <c r="I50" s="99"/>
      <c r="J50" s="99"/>
      <c r="K50" s="99"/>
      <c r="L50" s="99"/>
      <c r="M50" s="93">
        <f t="shared" si="0"/>
        <v>0</v>
      </c>
    </row>
    <row r="51" spans="5:13" x14ac:dyDescent="0.25">
      <c r="E51" s="50" t="s">
        <v>121</v>
      </c>
      <c r="F51" s="91">
        <f>+'LISTA TRABAJADORES'!F51</f>
        <v>0</v>
      </c>
      <c r="G51" s="91">
        <f>+'LISTA TRABAJADORES'!G51</f>
        <v>0</v>
      </c>
      <c r="H51" s="99"/>
      <c r="I51" s="99"/>
      <c r="J51" s="99"/>
      <c r="K51" s="99"/>
      <c r="L51" s="99"/>
      <c r="M51" s="93">
        <f t="shared" si="0"/>
        <v>0</v>
      </c>
    </row>
    <row r="52" spans="5:13" x14ac:dyDescent="0.25">
      <c r="E52" s="50" t="s">
        <v>122</v>
      </c>
      <c r="F52" s="91">
        <f>+'LISTA TRABAJADORES'!F52</f>
        <v>0</v>
      </c>
      <c r="G52" s="91">
        <f>+'LISTA TRABAJADORES'!G52</f>
        <v>0</v>
      </c>
      <c r="H52" s="99"/>
      <c r="I52" s="99"/>
      <c r="J52" s="99"/>
      <c r="K52" s="99"/>
      <c r="L52" s="99"/>
      <c r="M52" s="93">
        <f t="shared" si="0"/>
        <v>0</v>
      </c>
    </row>
    <row r="53" spans="5:13" x14ac:dyDescent="0.25">
      <c r="E53" s="50" t="s">
        <v>123</v>
      </c>
      <c r="F53" s="91">
        <f>+'LISTA TRABAJADORES'!F53</f>
        <v>0</v>
      </c>
      <c r="G53" s="91">
        <f>+'LISTA TRABAJADORES'!G53</f>
        <v>0</v>
      </c>
      <c r="H53" s="99"/>
      <c r="I53" s="99"/>
      <c r="J53" s="99"/>
      <c r="K53" s="99"/>
      <c r="L53" s="99"/>
      <c r="M53" s="93">
        <f t="shared" si="0"/>
        <v>0</v>
      </c>
    </row>
    <row r="54" spans="5:13" x14ac:dyDescent="0.25">
      <c r="E54" s="50" t="s">
        <v>124</v>
      </c>
      <c r="F54" s="91">
        <f>+'LISTA TRABAJADORES'!F54</f>
        <v>0</v>
      </c>
      <c r="G54" s="91">
        <f>+'LISTA TRABAJADORES'!G54</f>
        <v>0</v>
      </c>
      <c r="H54" s="99"/>
      <c r="I54" s="99"/>
      <c r="J54" s="99"/>
      <c r="K54" s="99"/>
      <c r="L54" s="99"/>
      <c r="M54" s="93">
        <f t="shared" si="0"/>
        <v>0</v>
      </c>
    </row>
    <row r="55" spans="5:13" x14ac:dyDescent="0.25">
      <c r="E55" s="50" t="s">
        <v>125</v>
      </c>
      <c r="F55" s="91">
        <f>+'LISTA TRABAJADORES'!F55</f>
        <v>0</v>
      </c>
      <c r="G55" s="91">
        <f>+'LISTA TRABAJADORES'!G55</f>
        <v>0</v>
      </c>
      <c r="H55" s="99"/>
      <c r="I55" s="99"/>
      <c r="J55" s="99"/>
      <c r="K55" s="99"/>
      <c r="L55" s="99"/>
      <c r="M55" s="93">
        <f t="shared" si="0"/>
        <v>0</v>
      </c>
    </row>
    <row r="56" spans="5:13" x14ac:dyDescent="0.25">
      <c r="E56" s="51" t="s">
        <v>126</v>
      </c>
      <c r="F56" s="91">
        <f>+'LISTA TRABAJADORES'!F56</f>
        <v>0</v>
      </c>
      <c r="G56" s="91">
        <f>+'LISTA TRABAJADORES'!G56</f>
        <v>0</v>
      </c>
      <c r="H56" s="99"/>
      <c r="I56" s="99"/>
      <c r="J56" s="99"/>
      <c r="K56" s="99"/>
      <c r="L56" s="99"/>
      <c r="M56" s="93">
        <f t="shared" si="0"/>
        <v>0</v>
      </c>
    </row>
    <row r="57" spans="5:13" ht="15.75" thickBot="1" x14ac:dyDescent="0.3">
      <c r="E57" s="52" t="s">
        <v>126</v>
      </c>
      <c r="F57" s="95"/>
      <c r="G57" s="95"/>
      <c r="H57" s="96"/>
      <c r="I57" s="96"/>
      <c r="J57" s="96"/>
      <c r="K57" s="96"/>
      <c r="L57" s="96"/>
      <c r="M57" s="96"/>
    </row>
    <row r="58" spans="5:13" ht="15.75" thickTop="1" x14ac:dyDescent="0.25"/>
    <row r="61" spans="5:13" x14ac:dyDescent="0.25">
      <c r="G61" s="122"/>
    </row>
    <row r="62" spans="5:13" x14ac:dyDescent="0.25">
      <c r="G62" s="122"/>
    </row>
    <row r="63" spans="5:13" x14ac:dyDescent="0.25">
      <c r="G63" s="122"/>
    </row>
  </sheetData>
  <mergeCells count="21">
    <mergeCell ref="B18:C18"/>
    <mergeCell ref="B8:C8"/>
    <mergeCell ref="B9:C9"/>
    <mergeCell ref="B10:C10"/>
    <mergeCell ref="B11:C11"/>
    <mergeCell ref="B17:C17"/>
    <mergeCell ref="B12:C12"/>
    <mergeCell ref="B13:C13"/>
    <mergeCell ref="B14:C14"/>
    <mergeCell ref="B15:C15"/>
    <mergeCell ref="B16:C16"/>
    <mergeCell ref="B2:C3"/>
    <mergeCell ref="B4:C4"/>
    <mergeCell ref="B5:C5"/>
    <mergeCell ref="B6:C6"/>
    <mergeCell ref="B7:C7"/>
    <mergeCell ref="M5:M6"/>
    <mergeCell ref="H5:L5"/>
    <mergeCell ref="E5:E6"/>
    <mergeCell ref="F5:F6"/>
    <mergeCell ref="G5:G6"/>
  </mergeCells>
  <hyperlinks>
    <hyperlink ref="B4:C4" location="'Datos y Resumen '!A1" display="DATOS Y RESUMEN" xr:uid="{197A8508-D439-4D16-810A-AE224CE564DC}"/>
    <hyperlink ref="B5:C5" location="'LISTA TRABAJADORES'!A1" display="LISTA DE TRABAJADORES" xr:uid="{E52A1FE9-E057-4251-B1CE-B0ACEDD96764}"/>
    <hyperlink ref="B6:C6" location="'ISR '!A1" display="ISR" xr:uid="{E23980E9-8B2C-45D6-A669-C242CA493522}"/>
    <hyperlink ref="B7:C7" location="'OTRAS PRESTACIONES'!A1" display="OTRAS PRESTACIONES" xr:uid="{F5036649-C7DE-48A2-869F-3027EC2E2200}"/>
    <hyperlink ref="B8:C8" location="'OTRAS RETENCIONES'!A1" display="OTRAS RETENCIONES" xr:uid="{30E7BAA2-5F38-45D4-BEF1-E20A80C8D8FF}"/>
    <hyperlink ref="B12:C12" location="'CUOTAS IMSS'!A1" display="CUOTAS IMSS" xr:uid="{DA26D816-77ED-417A-90AE-2029506FB9C8}"/>
    <hyperlink ref="B13:C13" location="'HORAS EXTRAS'!A1" display="HORAS EXTRAS" xr:uid="{3E3E52F9-1BF7-4C04-A21C-C204F44F3DE3}"/>
    <hyperlink ref="B14:C14" location="AGUINALDO!A1" display="AGUINALDO" xr:uid="{09DA4899-0994-444F-B6DD-6542A7AD2D9E}"/>
    <hyperlink ref="B15:C15" location="'NOMINA FISCAL'!A1" display="NOMINA FISCAL " xr:uid="{38721FA7-2E80-484F-A390-9AF83D90DAE9}"/>
    <hyperlink ref="B16:C16" location="CONCEN!A1" display="CONCENTRADO" xr:uid="{DA172D2B-BB4C-4DB9-A56C-1706D9294A7E}"/>
    <hyperlink ref="B17:C17" location="'TARIFAS 2025'!A1" display="TARIFAS 2025" xr:uid="{11A0B1E3-5E9B-460A-9A5B-BB2786298320}"/>
    <hyperlink ref="B18:C18" location="'DATOS EXTRAS'!A1" display="DATOS EXTRAS" xr:uid="{3901D2E3-C36D-4495-9B01-4A876BA96F86}"/>
  </hyperlinks>
  <pageMargins left="0.7" right="0.7" top="0.75" bottom="0.75" header="0.3" footer="0.3"/>
  <pageSetup orientation="portrait" r:id="rId1"/>
  <ignoredErrors>
    <ignoredError sqref="E7:E57" numberStoredAsText="1"/>
    <ignoredError sqref="F7:G10 F12:G56 F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89D8-D957-41F1-AAE5-1C1949FA2046}">
  <sheetPr codeName="Hoja6">
    <tabColor theme="3" tint="-0.499984740745262"/>
  </sheetPr>
  <dimension ref="B1:L64"/>
  <sheetViews>
    <sheetView zoomScaleNormal="100" workbookViewId="0">
      <selection activeCell="H7" sqref="H7"/>
    </sheetView>
  </sheetViews>
  <sheetFormatPr baseColWidth="10" defaultColWidth="11.42578125" defaultRowHeight="15" x14ac:dyDescent="0.25"/>
  <cols>
    <col min="1" max="1" width="1.5703125" style="40" customWidth="1"/>
    <col min="2" max="2" width="10.140625" style="40" customWidth="1"/>
    <col min="3" max="3" width="9.140625" style="40" customWidth="1"/>
    <col min="4" max="4" width="2.28515625" style="40" customWidth="1"/>
    <col min="5" max="6" width="11.42578125" style="40" customWidth="1"/>
    <col min="7" max="7" width="35.140625" style="40" customWidth="1"/>
    <col min="8" max="8" width="11.42578125" style="60" customWidth="1"/>
    <col min="9" max="10" width="11.42578125" style="40" customWidth="1"/>
    <col min="11" max="16384" width="11.42578125" style="40"/>
  </cols>
  <sheetData>
    <row r="1" spans="2:12" ht="5.25" customHeight="1" thickBot="1" x14ac:dyDescent="0.3"/>
    <row r="2" spans="2:12" ht="18" customHeight="1" x14ac:dyDescent="0.25">
      <c r="B2" s="300" t="s">
        <v>334</v>
      </c>
      <c r="C2" s="301"/>
      <c r="E2" s="250" t="str">
        <f>+'Datos y Resumen '!AC2</f>
        <v>A</v>
      </c>
    </row>
    <row r="3" spans="2:12" ht="15.75" customHeight="1" x14ac:dyDescent="0.25">
      <c r="B3" s="302"/>
      <c r="C3" s="303"/>
      <c r="E3" s="44" t="s">
        <v>233</v>
      </c>
    </row>
    <row r="4" spans="2:12" x14ac:dyDescent="0.25">
      <c r="B4" s="304" t="s">
        <v>312</v>
      </c>
      <c r="C4" s="305"/>
    </row>
    <row r="5" spans="2:12" x14ac:dyDescent="0.25">
      <c r="B5" s="304" t="s">
        <v>233</v>
      </c>
      <c r="C5" s="305"/>
      <c r="E5" s="326" t="s">
        <v>66</v>
      </c>
      <c r="F5" s="328" t="s">
        <v>53</v>
      </c>
      <c r="G5" s="324" t="s">
        <v>65</v>
      </c>
      <c r="H5" s="322" t="s">
        <v>246</v>
      </c>
      <c r="I5" s="322" t="s">
        <v>247</v>
      </c>
      <c r="J5" s="322" t="s">
        <v>76</v>
      </c>
      <c r="K5" s="322" t="s">
        <v>248</v>
      </c>
      <c r="L5" s="322" t="s">
        <v>249</v>
      </c>
    </row>
    <row r="6" spans="2:12" x14ac:dyDescent="0.25">
      <c r="B6" s="304" t="s">
        <v>62</v>
      </c>
      <c r="C6" s="305"/>
      <c r="E6" s="327"/>
      <c r="F6" s="329"/>
      <c r="G6" s="325"/>
      <c r="H6" s="323"/>
      <c r="I6" s="323"/>
      <c r="J6" s="323"/>
      <c r="K6" s="323"/>
      <c r="L6" s="323"/>
    </row>
    <row r="7" spans="2:12" x14ac:dyDescent="0.25">
      <c r="B7" s="306" t="s">
        <v>313</v>
      </c>
      <c r="C7" s="307"/>
      <c r="E7" s="89">
        <v>1</v>
      </c>
      <c r="F7" s="91">
        <f>+'LISTA TRABAJADORES'!F7</f>
        <v>54008317338</v>
      </c>
      <c r="G7" s="101" t="str">
        <f>+'LISTA TRABAJADORES'!G7</f>
        <v>JUAN PABLO CAMINOS</v>
      </c>
      <c r="H7" s="99">
        <v>0</v>
      </c>
      <c r="I7" s="99">
        <v>0</v>
      </c>
      <c r="J7" s="99">
        <v>0</v>
      </c>
      <c r="K7" s="99"/>
      <c r="L7" s="99">
        <v>0</v>
      </c>
    </row>
    <row r="8" spans="2:12" x14ac:dyDescent="0.25">
      <c r="B8" s="304" t="s">
        <v>243</v>
      </c>
      <c r="C8" s="305"/>
      <c r="E8" s="89">
        <v>2</v>
      </c>
      <c r="F8" s="91">
        <f>+'LISTA TRABAJADORES'!F8</f>
        <v>4008063127</v>
      </c>
      <c r="G8" s="101" t="str">
        <f>+'LISTA TRABAJADORES'!G8</f>
        <v>HECTOR ULISES GARCIA</v>
      </c>
      <c r="H8" s="99">
        <v>0</v>
      </c>
      <c r="I8" s="99">
        <v>0</v>
      </c>
      <c r="J8" s="99">
        <v>0</v>
      </c>
      <c r="K8" s="99"/>
      <c r="L8" s="99">
        <v>0</v>
      </c>
    </row>
    <row r="9" spans="2:12" x14ac:dyDescent="0.25">
      <c r="B9" s="304" t="s">
        <v>282</v>
      </c>
      <c r="C9" s="305"/>
      <c r="E9" s="89">
        <v>3</v>
      </c>
      <c r="F9" s="91">
        <f>+'LISTA TRABAJADORES'!F9</f>
        <v>4997999471</v>
      </c>
      <c r="G9" s="101" t="str">
        <f>+'LISTA TRABAJADORES'!G9</f>
        <v>MARISOL VILLA</v>
      </c>
      <c r="H9" s="99">
        <v>0</v>
      </c>
      <c r="I9" s="99">
        <v>0</v>
      </c>
      <c r="J9" s="99">
        <v>0</v>
      </c>
      <c r="K9" s="99"/>
      <c r="L9" s="99">
        <v>0</v>
      </c>
    </row>
    <row r="10" spans="2:12" x14ac:dyDescent="0.25">
      <c r="B10" s="306" t="s">
        <v>314</v>
      </c>
      <c r="C10" s="307"/>
      <c r="E10" s="89">
        <v>4</v>
      </c>
      <c r="F10" s="91">
        <f>+'LISTA TRABAJADORES'!F10</f>
        <v>5158985232</v>
      </c>
      <c r="G10" s="101" t="str">
        <f>+'LISTA TRABAJADORES'!G10</f>
        <v>MARCO PEREZ</v>
      </c>
      <c r="H10" s="99">
        <v>0</v>
      </c>
      <c r="I10" s="99">
        <v>0</v>
      </c>
      <c r="J10" s="99">
        <v>0</v>
      </c>
      <c r="K10" s="99"/>
      <c r="L10" s="99">
        <v>0</v>
      </c>
    </row>
    <row r="11" spans="2:12" x14ac:dyDescent="0.25">
      <c r="B11" s="306" t="s">
        <v>300</v>
      </c>
      <c r="C11" s="307"/>
      <c r="E11" s="89">
        <v>5</v>
      </c>
      <c r="F11" s="91">
        <f>+'LISTA TRABAJADORES'!F11</f>
        <v>5478565521</v>
      </c>
      <c r="G11" s="101" t="str">
        <f>+'LISTA TRABAJADORES'!G11</f>
        <v>ALEJANDRO VENEGAS</v>
      </c>
      <c r="H11" s="99">
        <v>0</v>
      </c>
      <c r="I11" s="99">
        <v>0</v>
      </c>
      <c r="J11" s="99">
        <v>0</v>
      </c>
      <c r="K11" s="99"/>
      <c r="L11" s="99">
        <v>0</v>
      </c>
    </row>
    <row r="12" spans="2:12" x14ac:dyDescent="0.25">
      <c r="B12" s="304" t="s">
        <v>315</v>
      </c>
      <c r="C12" s="305"/>
      <c r="E12" s="89">
        <v>6</v>
      </c>
      <c r="F12" s="91">
        <f>+'LISTA TRABAJADORES'!F12</f>
        <v>5258525822</v>
      </c>
      <c r="G12" s="101" t="str">
        <f>+'LISTA TRABAJADORES'!G12</f>
        <v>MARTHA ZAVALA</v>
      </c>
      <c r="H12" s="99">
        <v>0</v>
      </c>
      <c r="I12" s="99">
        <v>0</v>
      </c>
      <c r="J12" s="99">
        <v>0</v>
      </c>
      <c r="K12" s="99"/>
      <c r="L12" s="99">
        <v>0</v>
      </c>
    </row>
    <row r="13" spans="2:12" x14ac:dyDescent="0.25">
      <c r="B13" s="304" t="s">
        <v>192</v>
      </c>
      <c r="C13" s="305"/>
      <c r="E13" s="89">
        <v>7</v>
      </c>
      <c r="F13" s="91">
        <f>+'LISTA TRABAJADORES'!F13</f>
        <v>2587566225</v>
      </c>
      <c r="G13" s="101" t="str">
        <f>+'LISTA TRABAJADORES'!G13</f>
        <v>CRISTINA MACIAS</v>
      </c>
      <c r="H13" s="99">
        <v>0</v>
      </c>
      <c r="I13" s="99">
        <v>0</v>
      </c>
      <c r="J13" s="99">
        <v>0</v>
      </c>
      <c r="K13" s="99"/>
      <c r="L13" s="99">
        <v>0</v>
      </c>
    </row>
    <row r="14" spans="2:12" x14ac:dyDescent="0.25">
      <c r="B14" s="306" t="s">
        <v>236</v>
      </c>
      <c r="C14" s="307"/>
      <c r="E14" s="89">
        <v>8</v>
      </c>
      <c r="F14" s="91">
        <f>+'LISTA TRABAJADORES'!F14</f>
        <v>6585422585</v>
      </c>
      <c r="G14" s="101" t="str">
        <f>+'LISTA TRABAJADORES'!G14</f>
        <v>ANTONIO OCAMPOS</v>
      </c>
      <c r="H14" s="99">
        <v>0</v>
      </c>
      <c r="I14" s="99">
        <v>0</v>
      </c>
      <c r="J14" s="99">
        <v>0</v>
      </c>
      <c r="K14" s="99"/>
      <c r="L14" s="99">
        <v>0</v>
      </c>
    </row>
    <row r="15" spans="2:12" x14ac:dyDescent="0.25">
      <c r="B15" s="304" t="s">
        <v>316</v>
      </c>
      <c r="C15" s="305"/>
      <c r="E15" s="89">
        <v>9</v>
      </c>
      <c r="F15" s="91">
        <f>+'LISTA TRABAJADORES'!F15</f>
        <v>0</v>
      </c>
      <c r="G15" s="101">
        <f>+'LISTA TRABAJADORES'!G15</f>
        <v>0</v>
      </c>
      <c r="H15" s="99">
        <v>0</v>
      </c>
      <c r="I15" s="99">
        <v>0</v>
      </c>
      <c r="J15" s="99">
        <v>0</v>
      </c>
      <c r="K15" s="99"/>
      <c r="L15" s="99">
        <v>0</v>
      </c>
    </row>
    <row r="16" spans="2:12" x14ac:dyDescent="0.25">
      <c r="B16" s="306" t="s">
        <v>244</v>
      </c>
      <c r="C16" s="307"/>
      <c r="E16" s="89">
        <v>10</v>
      </c>
      <c r="F16" s="91">
        <f>+'LISTA TRABAJADORES'!F16</f>
        <v>0</v>
      </c>
      <c r="G16" s="101">
        <f>+'LISTA TRABAJADORES'!G16</f>
        <v>0</v>
      </c>
      <c r="H16" s="99">
        <v>0</v>
      </c>
      <c r="I16" s="99">
        <v>0</v>
      </c>
      <c r="J16" s="99">
        <v>0</v>
      </c>
      <c r="K16" s="99"/>
      <c r="L16" s="99">
        <v>0</v>
      </c>
    </row>
    <row r="17" spans="2:12" x14ac:dyDescent="0.25">
      <c r="B17" s="320" t="s">
        <v>335</v>
      </c>
      <c r="C17" s="321"/>
      <c r="E17" s="89">
        <v>11</v>
      </c>
      <c r="F17" s="91">
        <f>+'LISTA TRABAJADORES'!F17</f>
        <v>0</v>
      </c>
      <c r="G17" s="101">
        <f>+'LISTA TRABAJADORES'!G17</f>
        <v>0</v>
      </c>
      <c r="H17" s="99">
        <v>0</v>
      </c>
      <c r="I17" s="99">
        <v>0</v>
      </c>
      <c r="J17" s="99">
        <v>0</v>
      </c>
      <c r="K17" s="99"/>
      <c r="L17" s="99">
        <v>0</v>
      </c>
    </row>
    <row r="18" spans="2:12" ht="15.75" thickBot="1" x14ac:dyDescent="0.3">
      <c r="B18" s="318" t="s">
        <v>330</v>
      </c>
      <c r="C18" s="319"/>
      <c r="E18" s="89">
        <v>12</v>
      </c>
      <c r="F18" s="91">
        <f>+'LISTA TRABAJADORES'!F18</f>
        <v>0</v>
      </c>
      <c r="G18" s="101">
        <f>+'LISTA TRABAJADORES'!G18</f>
        <v>0</v>
      </c>
      <c r="H18" s="99">
        <v>0</v>
      </c>
      <c r="I18" s="99">
        <v>0</v>
      </c>
      <c r="J18" s="99">
        <v>0</v>
      </c>
      <c r="K18" s="99"/>
      <c r="L18" s="99">
        <v>0</v>
      </c>
    </row>
    <row r="19" spans="2:12" x14ac:dyDescent="0.25">
      <c r="E19" s="89">
        <v>13</v>
      </c>
      <c r="F19" s="91">
        <f>+'LISTA TRABAJADORES'!F19</f>
        <v>0</v>
      </c>
      <c r="G19" s="101">
        <f>+'LISTA TRABAJADORES'!G19</f>
        <v>0</v>
      </c>
      <c r="H19" s="99">
        <v>0</v>
      </c>
      <c r="I19" s="99">
        <v>0</v>
      </c>
      <c r="J19" s="99">
        <v>0</v>
      </c>
      <c r="K19" s="99"/>
      <c r="L19" s="99">
        <v>0</v>
      </c>
    </row>
    <row r="20" spans="2:12" x14ac:dyDescent="0.25">
      <c r="E20" s="89">
        <v>14</v>
      </c>
      <c r="F20" s="91">
        <f>+'LISTA TRABAJADORES'!F20</f>
        <v>0</v>
      </c>
      <c r="G20" s="101">
        <f>+'LISTA TRABAJADORES'!G20</f>
        <v>0</v>
      </c>
      <c r="H20" s="99">
        <v>0</v>
      </c>
      <c r="I20" s="99">
        <v>0</v>
      </c>
      <c r="J20" s="99">
        <v>0</v>
      </c>
      <c r="K20" s="99"/>
      <c r="L20" s="99">
        <v>0</v>
      </c>
    </row>
    <row r="21" spans="2:12" x14ac:dyDescent="0.25">
      <c r="E21" s="89">
        <v>15</v>
      </c>
      <c r="F21" s="91">
        <f>+'LISTA TRABAJADORES'!F21</f>
        <v>0</v>
      </c>
      <c r="G21" s="101">
        <f>+'LISTA TRABAJADORES'!G21</f>
        <v>0</v>
      </c>
      <c r="H21" s="99">
        <v>0</v>
      </c>
      <c r="I21" s="99">
        <v>0</v>
      </c>
      <c r="J21" s="99">
        <v>0</v>
      </c>
      <c r="K21" s="99"/>
      <c r="L21" s="99">
        <v>0</v>
      </c>
    </row>
    <row r="22" spans="2:12" x14ac:dyDescent="0.25">
      <c r="E22" s="89">
        <v>16</v>
      </c>
      <c r="F22" s="91">
        <f>+'LISTA TRABAJADORES'!F22</f>
        <v>0</v>
      </c>
      <c r="G22" s="101">
        <f>+'LISTA TRABAJADORES'!G22</f>
        <v>0</v>
      </c>
      <c r="H22" s="99">
        <v>0</v>
      </c>
      <c r="I22" s="99">
        <v>0</v>
      </c>
      <c r="J22" s="99">
        <v>0</v>
      </c>
      <c r="K22" s="99"/>
      <c r="L22" s="99">
        <v>0</v>
      </c>
    </row>
    <row r="23" spans="2:12" x14ac:dyDescent="0.25">
      <c r="E23" s="89">
        <v>17</v>
      </c>
      <c r="F23" s="91">
        <f>+'LISTA TRABAJADORES'!F23</f>
        <v>0</v>
      </c>
      <c r="G23" s="101">
        <f>+'LISTA TRABAJADORES'!G23</f>
        <v>0</v>
      </c>
      <c r="H23" s="99">
        <v>0</v>
      </c>
      <c r="I23" s="99">
        <v>0</v>
      </c>
      <c r="J23" s="99">
        <v>0</v>
      </c>
      <c r="K23" s="99"/>
      <c r="L23" s="99">
        <v>0</v>
      </c>
    </row>
    <row r="24" spans="2:12" x14ac:dyDescent="0.25">
      <c r="E24" s="89">
        <v>18</v>
      </c>
      <c r="F24" s="91">
        <f>+'LISTA TRABAJADORES'!F24</f>
        <v>0</v>
      </c>
      <c r="G24" s="101">
        <f>+'LISTA TRABAJADORES'!G24</f>
        <v>0</v>
      </c>
      <c r="H24" s="99">
        <v>0</v>
      </c>
      <c r="I24" s="99">
        <v>0</v>
      </c>
      <c r="J24" s="99">
        <v>0</v>
      </c>
      <c r="K24" s="99"/>
      <c r="L24" s="99">
        <v>0</v>
      </c>
    </row>
    <row r="25" spans="2:12" x14ac:dyDescent="0.25">
      <c r="E25" s="89">
        <v>19</v>
      </c>
      <c r="F25" s="91">
        <f>+'LISTA TRABAJADORES'!F25</f>
        <v>0</v>
      </c>
      <c r="G25" s="101">
        <f>+'LISTA TRABAJADORES'!G25</f>
        <v>0</v>
      </c>
      <c r="H25" s="99">
        <v>0</v>
      </c>
      <c r="I25" s="99">
        <v>0</v>
      </c>
      <c r="J25" s="99">
        <v>0</v>
      </c>
      <c r="K25" s="99"/>
      <c r="L25" s="99">
        <v>0</v>
      </c>
    </row>
    <row r="26" spans="2:12" x14ac:dyDescent="0.25">
      <c r="E26" s="89">
        <v>20</v>
      </c>
      <c r="F26" s="91">
        <f>+'LISTA TRABAJADORES'!F26</f>
        <v>0</v>
      </c>
      <c r="G26" s="101">
        <f>+'LISTA TRABAJADORES'!G26</f>
        <v>0</v>
      </c>
      <c r="H26" s="99">
        <v>0</v>
      </c>
      <c r="I26" s="99">
        <v>0</v>
      </c>
      <c r="J26" s="99">
        <v>0</v>
      </c>
      <c r="K26" s="99"/>
      <c r="L26" s="99">
        <v>0</v>
      </c>
    </row>
    <row r="27" spans="2:12" x14ac:dyDescent="0.25">
      <c r="E27" s="89">
        <v>21</v>
      </c>
      <c r="F27" s="91">
        <f>+'LISTA TRABAJADORES'!F27</f>
        <v>0</v>
      </c>
      <c r="G27" s="101">
        <f>+'LISTA TRABAJADORES'!G27</f>
        <v>0</v>
      </c>
      <c r="H27" s="99">
        <v>0</v>
      </c>
      <c r="I27" s="99">
        <v>0</v>
      </c>
      <c r="J27" s="99">
        <v>0</v>
      </c>
      <c r="K27" s="99"/>
      <c r="L27" s="99">
        <v>0</v>
      </c>
    </row>
    <row r="28" spans="2:12" x14ac:dyDescent="0.25">
      <c r="E28" s="89">
        <v>22</v>
      </c>
      <c r="F28" s="91">
        <f>+'LISTA TRABAJADORES'!F28</f>
        <v>0</v>
      </c>
      <c r="G28" s="101">
        <f>+'LISTA TRABAJADORES'!G28</f>
        <v>0</v>
      </c>
      <c r="H28" s="99">
        <v>0</v>
      </c>
      <c r="I28" s="99">
        <v>0</v>
      </c>
      <c r="J28" s="99">
        <v>0</v>
      </c>
      <c r="K28" s="99"/>
      <c r="L28" s="99">
        <v>0</v>
      </c>
    </row>
    <row r="29" spans="2:12" x14ac:dyDescent="0.25">
      <c r="E29" s="89">
        <v>23</v>
      </c>
      <c r="F29" s="91">
        <f>+'LISTA TRABAJADORES'!F29</f>
        <v>0</v>
      </c>
      <c r="G29" s="101">
        <f>+'LISTA TRABAJADORES'!G29</f>
        <v>0</v>
      </c>
      <c r="H29" s="99">
        <v>0</v>
      </c>
      <c r="I29" s="99">
        <v>0</v>
      </c>
      <c r="J29" s="99">
        <v>0</v>
      </c>
      <c r="K29" s="99"/>
      <c r="L29" s="99">
        <v>0</v>
      </c>
    </row>
    <row r="30" spans="2:12" x14ac:dyDescent="0.25">
      <c r="E30" s="89">
        <v>24</v>
      </c>
      <c r="F30" s="91">
        <f>+'LISTA TRABAJADORES'!F30</f>
        <v>0</v>
      </c>
      <c r="G30" s="101">
        <f>+'LISTA TRABAJADORES'!G30</f>
        <v>0</v>
      </c>
      <c r="H30" s="99">
        <v>0</v>
      </c>
      <c r="I30" s="99">
        <v>0</v>
      </c>
      <c r="J30" s="99">
        <v>0</v>
      </c>
      <c r="K30" s="99"/>
      <c r="L30" s="99">
        <v>0</v>
      </c>
    </row>
    <row r="31" spans="2:12" x14ac:dyDescent="0.25">
      <c r="E31" s="89">
        <v>25</v>
      </c>
      <c r="F31" s="91">
        <f>+'LISTA TRABAJADORES'!F31</f>
        <v>0</v>
      </c>
      <c r="G31" s="101">
        <f>+'LISTA TRABAJADORES'!G31</f>
        <v>0</v>
      </c>
      <c r="H31" s="99">
        <v>0</v>
      </c>
      <c r="I31" s="99">
        <v>0</v>
      </c>
      <c r="J31" s="99">
        <v>0</v>
      </c>
      <c r="K31" s="99"/>
      <c r="L31" s="99">
        <v>0</v>
      </c>
    </row>
    <row r="32" spans="2:12" x14ac:dyDescent="0.25">
      <c r="E32" s="89">
        <v>26</v>
      </c>
      <c r="F32" s="91">
        <f>+'LISTA TRABAJADORES'!F32</f>
        <v>0</v>
      </c>
      <c r="G32" s="101">
        <f>+'LISTA TRABAJADORES'!G32</f>
        <v>0</v>
      </c>
      <c r="H32" s="99">
        <v>0</v>
      </c>
      <c r="I32" s="99">
        <v>0</v>
      </c>
      <c r="J32" s="99">
        <v>0</v>
      </c>
      <c r="K32" s="99"/>
      <c r="L32" s="99">
        <v>0</v>
      </c>
    </row>
    <row r="33" spans="5:12" x14ac:dyDescent="0.25">
      <c r="E33" s="89">
        <v>27</v>
      </c>
      <c r="F33" s="91">
        <f>+'LISTA TRABAJADORES'!F33</f>
        <v>0</v>
      </c>
      <c r="G33" s="101">
        <f>+'LISTA TRABAJADORES'!G33</f>
        <v>0</v>
      </c>
      <c r="H33" s="99">
        <v>0</v>
      </c>
      <c r="I33" s="99">
        <v>0</v>
      </c>
      <c r="J33" s="99">
        <v>0</v>
      </c>
      <c r="K33" s="99"/>
      <c r="L33" s="99">
        <v>0</v>
      </c>
    </row>
    <row r="34" spans="5:12" x14ac:dyDescent="0.25">
      <c r="E34" s="89">
        <v>28</v>
      </c>
      <c r="F34" s="91">
        <f>+'LISTA TRABAJADORES'!F34</f>
        <v>0</v>
      </c>
      <c r="G34" s="101">
        <f>+'LISTA TRABAJADORES'!G34</f>
        <v>0</v>
      </c>
      <c r="H34" s="99">
        <v>0</v>
      </c>
      <c r="I34" s="99">
        <v>0</v>
      </c>
      <c r="J34" s="99">
        <v>0</v>
      </c>
      <c r="K34" s="99"/>
      <c r="L34" s="99">
        <v>0</v>
      </c>
    </row>
    <row r="35" spans="5:12" x14ac:dyDescent="0.25">
      <c r="E35" s="89">
        <v>29</v>
      </c>
      <c r="F35" s="91">
        <f>+'LISTA TRABAJADORES'!F35</f>
        <v>0</v>
      </c>
      <c r="G35" s="101">
        <f>+'LISTA TRABAJADORES'!G35</f>
        <v>0</v>
      </c>
      <c r="H35" s="99">
        <v>0</v>
      </c>
      <c r="I35" s="99">
        <v>0</v>
      </c>
      <c r="J35" s="99">
        <v>0</v>
      </c>
      <c r="K35" s="99"/>
      <c r="L35" s="99">
        <v>0</v>
      </c>
    </row>
    <row r="36" spans="5:12" x14ac:dyDescent="0.25">
      <c r="E36" s="89">
        <v>30</v>
      </c>
      <c r="F36" s="91">
        <f>+'LISTA TRABAJADORES'!F36</f>
        <v>0</v>
      </c>
      <c r="G36" s="101">
        <f>+'LISTA TRABAJADORES'!G36</f>
        <v>0</v>
      </c>
      <c r="H36" s="99">
        <v>0</v>
      </c>
      <c r="I36" s="99">
        <v>0</v>
      </c>
      <c r="J36" s="99">
        <v>0</v>
      </c>
      <c r="K36" s="99"/>
      <c r="L36" s="99">
        <v>0</v>
      </c>
    </row>
    <row r="37" spans="5:12" x14ac:dyDescent="0.25">
      <c r="E37" s="89">
        <v>31</v>
      </c>
      <c r="F37" s="91">
        <f>+'LISTA TRABAJADORES'!F37</f>
        <v>0</v>
      </c>
      <c r="G37" s="101">
        <f>+'LISTA TRABAJADORES'!G37</f>
        <v>0</v>
      </c>
      <c r="H37" s="99">
        <v>0</v>
      </c>
      <c r="I37" s="99">
        <v>0</v>
      </c>
      <c r="J37" s="99">
        <v>0</v>
      </c>
      <c r="K37" s="99"/>
      <c r="L37" s="99">
        <v>0</v>
      </c>
    </row>
    <row r="38" spans="5:12" x14ac:dyDescent="0.25">
      <c r="E38" s="89">
        <v>32</v>
      </c>
      <c r="F38" s="91">
        <f>+'LISTA TRABAJADORES'!F38</f>
        <v>0</v>
      </c>
      <c r="G38" s="101">
        <f>+'LISTA TRABAJADORES'!G38</f>
        <v>0</v>
      </c>
      <c r="H38" s="99">
        <v>0</v>
      </c>
      <c r="I38" s="99">
        <v>0</v>
      </c>
      <c r="J38" s="99">
        <v>0</v>
      </c>
      <c r="K38" s="99"/>
      <c r="L38" s="99">
        <v>0</v>
      </c>
    </row>
    <row r="39" spans="5:12" x14ac:dyDescent="0.25">
      <c r="E39" s="89">
        <v>33</v>
      </c>
      <c r="F39" s="91">
        <f>+'LISTA TRABAJADORES'!F39</f>
        <v>0</v>
      </c>
      <c r="G39" s="101">
        <f>+'LISTA TRABAJADORES'!G39</f>
        <v>0</v>
      </c>
      <c r="H39" s="99">
        <v>0</v>
      </c>
      <c r="I39" s="99">
        <v>0</v>
      </c>
      <c r="J39" s="99">
        <v>0</v>
      </c>
      <c r="K39" s="99"/>
      <c r="L39" s="99">
        <v>0</v>
      </c>
    </row>
    <row r="40" spans="5:12" x14ac:dyDescent="0.25">
      <c r="E40" s="89">
        <v>34</v>
      </c>
      <c r="F40" s="91">
        <f>+'LISTA TRABAJADORES'!F40</f>
        <v>0</v>
      </c>
      <c r="G40" s="101">
        <f>+'LISTA TRABAJADORES'!G40</f>
        <v>0</v>
      </c>
      <c r="H40" s="99">
        <v>0</v>
      </c>
      <c r="I40" s="99">
        <v>0</v>
      </c>
      <c r="J40" s="99">
        <v>0</v>
      </c>
      <c r="K40" s="99"/>
      <c r="L40" s="99">
        <v>0</v>
      </c>
    </row>
    <row r="41" spans="5:12" x14ac:dyDescent="0.25">
      <c r="E41" s="89">
        <v>35</v>
      </c>
      <c r="F41" s="91">
        <f>+'LISTA TRABAJADORES'!F41</f>
        <v>0</v>
      </c>
      <c r="G41" s="101">
        <f>+'LISTA TRABAJADORES'!G41</f>
        <v>0</v>
      </c>
      <c r="H41" s="99">
        <v>0</v>
      </c>
      <c r="I41" s="99">
        <v>0</v>
      </c>
      <c r="J41" s="99">
        <v>0</v>
      </c>
      <c r="K41" s="99"/>
      <c r="L41" s="99">
        <v>0</v>
      </c>
    </row>
    <row r="42" spans="5:12" x14ac:dyDescent="0.25">
      <c r="E42" s="89">
        <v>36</v>
      </c>
      <c r="F42" s="91">
        <f>+'LISTA TRABAJADORES'!F42</f>
        <v>0</v>
      </c>
      <c r="G42" s="101">
        <f>+'LISTA TRABAJADORES'!G42</f>
        <v>0</v>
      </c>
      <c r="H42" s="99">
        <v>0</v>
      </c>
      <c r="I42" s="99">
        <v>0</v>
      </c>
      <c r="J42" s="99">
        <v>0</v>
      </c>
      <c r="K42" s="99"/>
      <c r="L42" s="99">
        <v>0</v>
      </c>
    </row>
    <row r="43" spans="5:12" x14ac:dyDescent="0.25">
      <c r="E43" s="89">
        <v>37</v>
      </c>
      <c r="F43" s="91">
        <f>+'LISTA TRABAJADORES'!F43</f>
        <v>0</v>
      </c>
      <c r="G43" s="101">
        <f>+'LISTA TRABAJADORES'!G43</f>
        <v>0</v>
      </c>
      <c r="H43" s="99">
        <v>0</v>
      </c>
      <c r="I43" s="99">
        <v>0</v>
      </c>
      <c r="J43" s="99">
        <v>0</v>
      </c>
      <c r="K43" s="99"/>
      <c r="L43" s="99">
        <v>0</v>
      </c>
    </row>
    <row r="44" spans="5:12" x14ac:dyDescent="0.25">
      <c r="E44" s="89">
        <v>38</v>
      </c>
      <c r="F44" s="91">
        <f>+'LISTA TRABAJADORES'!F44</f>
        <v>0</v>
      </c>
      <c r="G44" s="101">
        <f>+'LISTA TRABAJADORES'!G44</f>
        <v>0</v>
      </c>
      <c r="H44" s="99">
        <v>0</v>
      </c>
      <c r="I44" s="99">
        <v>0</v>
      </c>
      <c r="J44" s="99">
        <v>0</v>
      </c>
      <c r="K44" s="99"/>
      <c r="L44" s="99">
        <v>0</v>
      </c>
    </row>
    <row r="45" spans="5:12" x14ac:dyDescent="0.25">
      <c r="E45" s="89">
        <v>39</v>
      </c>
      <c r="F45" s="91">
        <f>+'LISTA TRABAJADORES'!F45</f>
        <v>0</v>
      </c>
      <c r="G45" s="101">
        <f>+'LISTA TRABAJADORES'!G45</f>
        <v>0</v>
      </c>
      <c r="H45" s="99">
        <v>0</v>
      </c>
      <c r="I45" s="99">
        <v>0</v>
      </c>
      <c r="J45" s="99">
        <v>0</v>
      </c>
      <c r="K45" s="99"/>
      <c r="L45" s="99">
        <v>0</v>
      </c>
    </row>
    <row r="46" spans="5:12" x14ac:dyDescent="0.25">
      <c r="E46" s="89">
        <v>40</v>
      </c>
      <c r="F46" s="91">
        <f>+'LISTA TRABAJADORES'!F46</f>
        <v>0</v>
      </c>
      <c r="G46" s="101">
        <f>+'LISTA TRABAJADORES'!G46</f>
        <v>0</v>
      </c>
      <c r="H46" s="99">
        <v>0</v>
      </c>
      <c r="I46" s="99">
        <v>0</v>
      </c>
      <c r="J46" s="99">
        <v>0</v>
      </c>
      <c r="K46" s="99"/>
      <c r="L46" s="99">
        <v>0</v>
      </c>
    </row>
    <row r="47" spans="5:12" x14ac:dyDescent="0.25">
      <c r="E47" s="89">
        <v>41</v>
      </c>
      <c r="F47" s="91">
        <f>+'LISTA TRABAJADORES'!F47</f>
        <v>0</v>
      </c>
      <c r="G47" s="101">
        <f>+'LISTA TRABAJADORES'!G47</f>
        <v>0</v>
      </c>
      <c r="H47" s="99">
        <v>0</v>
      </c>
      <c r="I47" s="99">
        <v>0</v>
      </c>
      <c r="J47" s="99">
        <v>0</v>
      </c>
      <c r="K47" s="99"/>
      <c r="L47" s="99">
        <v>0</v>
      </c>
    </row>
    <row r="48" spans="5:12" x14ac:dyDescent="0.25">
      <c r="E48" s="89">
        <v>42</v>
      </c>
      <c r="F48" s="91">
        <f>+'LISTA TRABAJADORES'!F48</f>
        <v>0</v>
      </c>
      <c r="G48" s="101">
        <f>+'LISTA TRABAJADORES'!G48</f>
        <v>0</v>
      </c>
      <c r="H48" s="99">
        <v>0</v>
      </c>
      <c r="I48" s="99">
        <v>0</v>
      </c>
      <c r="J48" s="99">
        <v>0</v>
      </c>
      <c r="K48" s="99"/>
      <c r="L48" s="99">
        <v>0</v>
      </c>
    </row>
    <row r="49" spans="5:12" x14ac:dyDescent="0.25">
      <c r="E49" s="89">
        <v>43</v>
      </c>
      <c r="F49" s="91">
        <f>+'LISTA TRABAJADORES'!F49</f>
        <v>0</v>
      </c>
      <c r="G49" s="101">
        <f>+'LISTA TRABAJADORES'!G49</f>
        <v>0</v>
      </c>
      <c r="H49" s="99">
        <v>0</v>
      </c>
      <c r="I49" s="99">
        <v>0</v>
      </c>
      <c r="J49" s="99">
        <v>0</v>
      </c>
      <c r="K49" s="99"/>
      <c r="L49" s="99">
        <v>0</v>
      </c>
    </row>
    <row r="50" spans="5:12" x14ac:dyDescent="0.25">
      <c r="E50" s="89">
        <v>44</v>
      </c>
      <c r="F50" s="91">
        <f>+'LISTA TRABAJADORES'!F50</f>
        <v>0</v>
      </c>
      <c r="G50" s="101">
        <f>+'LISTA TRABAJADORES'!G50</f>
        <v>0</v>
      </c>
      <c r="H50" s="99">
        <v>0</v>
      </c>
      <c r="I50" s="99">
        <v>0</v>
      </c>
      <c r="J50" s="99">
        <v>0</v>
      </c>
      <c r="K50" s="99"/>
      <c r="L50" s="99">
        <v>0</v>
      </c>
    </row>
    <row r="51" spans="5:12" x14ac:dyDescent="0.25">
      <c r="E51" s="89">
        <v>45</v>
      </c>
      <c r="F51" s="91">
        <f>+'LISTA TRABAJADORES'!F51</f>
        <v>0</v>
      </c>
      <c r="G51" s="101">
        <f>+'LISTA TRABAJADORES'!G51</f>
        <v>0</v>
      </c>
      <c r="H51" s="99">
        <v>0</v>
      </c>
      <c r="I51" s="99">
        <v>0</v>
      </c>
      <c r="J51" s="99">
        <v>0</v>
      </c>
      <c r="K51" s="99"/>
      <c r="L51" s="99">
        <v>0</v>
      </c>
    </row>
    <row r="52" spans="5:12" x14ac:dyDescent="0.25">
      <c r="E52" s="89">
        <v>46</v>
      </c>
      <c r="F52" s="91">
        <f>+'LISTA TRABAJADORES'!F52</f>
        <v>0</v>
      </c>
      <c r="G52" s="101">
        <f>+'LISTA TRABAJADORES'!G52</f>
        <v>0</v>
      </c>
      <c r="H52" s="99">
        <v>0</v>
      </c>
      <c r="I52" s="99">
        <v>0</v>
      </c>
      <c r="J52" s="99">
        <v>0</v>
      </c>
      <c r="K52" s="99"/>
      <c r="L52" s="99">
        <v>0</v>
      </c>
    </row>
    <row r="53" spans="5:12" x14ac:dyDescent="0.25">
      <c r="E53" s="89">
        <v>47</v>
      </c>
      <c r="F53" s="91">
        <f>+'LISTA TRABAJADORES'!F53</f>
        <v>0</v>
      </c>
      <c r="G53" s="101">
        <f>+'LISTA TRABAJADORES'!G53</f>
        <v>0</v>
      </c>
      <c r="H53" s="99">
        <v>0</v>
      </c>
      <c r="I53" s="99">
        <v>0</v>
      </c>
      <c r="J53" s="99">
        <v>0</v>
      </c>
      <c r="K53" s="99"/>
      <c r="L53" s="99">
        <v>0</v>
      </c>
    </row>
    <row r="54" spans="5:12" x14ac:dyDescent="0.25">
      <c r="E54" s="89">
        <v>48</v>
      </c>
      <c r="F54" s="91">
        <f>+'LISTA TRABAJADORES'!F54</f>
        <v>0</v>
      </c>
      <c r="G54" s="101">
        <f>+'LISTA TRABAJADORES'!G54</f>
        <v>0</v>
      </c>
      <c r="H54" s="99">
        <v>0</v>
      </c>
      <c r="I54" s="99">
        <v>0</v>
      </c>
      <c r="J54" s="99">
        <v>0</v>
      </c>
      <c r="K54" s="99"/>
      <c r="L54" s="99">
        <v>0</v>
      </c>
    </row>
    <row r="55" spans="5:12" x14ac:dyDescent="0.25">
      <c r="E55" s="89">
        <v>49</v>
      </c>
      <c r="F55" s="91">
        <f>+'LISTA TRABAJADORES'!F55</f>
        <v>0</v>
      </c>
      <c r="G55" s="101">
        <f>+'LISTA TRABAJADORES'!G55</f>
        <v>0</v>
      </c>
      <c r="H55" s="99">
        <v>0</v>
      </c>
      <c r="I55" s="99">
        <v>0</v>
      </c>
      <c r="J55" s="99">
        <v>0</v>
      </c>
      <c r="K55" s="99"/>
      <c r="L55" s="99">
        <v>0</v>
      </c>
    </row>
    <row r="56" spans="5:12" x14ac:dyDescent="0.25">
      <c r="E56" s="100">
        <v>50</v>
      </c>
      <c r="F56" s="91">
        <f>+'LISTA TRABAJADORES'!F56</f>
        <v>0</v>
      </c>
      <c r="G56" s="101">
        <f>+'LISTA TRABAJADORES'!G56</f>
        <v>0</v>
      </c>
      <c r="H56" s="99">
        <v>0</v>
      </c>
      <c r="I56" s="99">
        <v>0</v>
      </c>
      <c r="J56" s="99">
        <v>0</v>
      </c>
      <c r="K56" s="99"/>
      <c r="L56" s="99">
        <v>0</v>
      </c>
    </row>
    <row r="57" spans="5:12" ht="15.75" thickBot="1" x14ac:dyDescent="0.3">
      <c r="E57" s="90">
        <v>50</v>
      </c>
      <c r="F57" s="95"/>
      <c r="G57" s="61"/>
      <c r="H57" s="61"/>
      <c r="I57" s="61"/>
      <c r="J57" s="61"/>
      <c r="K57" s="61"/>
      <c r="L57" s="61"/>
    </row>
    <row r="58" spans="5:12" ht="15.75" thickTop="1" x14ac:dyDescent="0.25"/>
    <row r="62" spans="5:12" x14ac:dyDescent="0.25">
      <c r="G62" s="122"/>
    </row>
    <row r="63" spans="5:12" x14ac:dyDescent="0.25">
      <c r="G63" s="122"/>
    </row>
    <row r="64" spans="5:12" x14ac:dyDescent="0.25">
      <c r="G64" s="122"/>
    </row>
  </sheetData>
  <mergeCells count="24">
    <mergeCell ref="B18:C18"/>
    <mergeCell ref="E5:E6"/>
    <mergeCell ref="F5:F6"/>
    <mergeCell ref="G5:G6"/>
    <mergeCell ref="L5:L6"/>
    <mergeCell ref="H5:H6"/>
    <mergeCell ref="I5:I6"/>
    <mergeCell ref="J5:J6"/>
    <mergeCell ref="K5:K6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  <mergeCell ref="B2:C3"/>
    <mergeCell ref="B4:C4"/>
    <mergeCell ref="B5:C5"/>
    <mergeCell ref="B6:C6"/>
    <mergeCell ref="B7:C7"/>
  </mergeCells>
  <hyperlinks>
    <hyperlink ref="B4:C4" location="'Datos y Resumen '!A1" display="DATOS Y RESUMEN" xr:uid="{CA371BED-87C3-4FB8-A6B1-D0D675CB0B89}"/>
    <hyperlink ref="B5:C5" location="'LISTA TRABAJADORES'!A1" display="LISTA DE TRABAJADORES" xr:uid="{C4614E18-A686-4180-86A5-8B45C10C068B}"/>
    <hyperlink ref="B6:C6" location="'ISR '!A1" display="ISR" xr:uid="{DD897D0E-6297-43A3-8671-8BEFA1E71F54}"/>
    <hyperlink ref="B7:C7" location="'OTRAS PRESTACIONES'!A1" display="OTRAS PRESTACIONES" xr:uid="{2ADF2D71-C5E3-4E69-AA13-B61DE2EC7065}"/>
    <hyperlink ref="B8:C8" location="'OTRAS RETENCIONES'!A1" display="OTRAS RETENCIONES" xr:uid="{F140BFA0-A2EA-4450-8F4D-242C210F5951}"/>
    <hyperlink ref="B9:C9" location="'DATOS PARA AJUSTE'!A1" display="DATOS PARA AJUSTE" xr:uid="{FB600400-A080-4473-9179-3C9651BA6286}"/>
    <hyperlink ref="B10:C10" location="'AJUSTE AL SUBSIDIO '!A1" display="AJUSTE AL SUBSIDIO" xr:uid="{62ACD244-02AF-424F-81EB-90D577C469D2}"/>
    <hyperlink ref="B11:C11" location="'COMPARACIÓN MENSUAL'!A1" display="COMPARACIÓN MENSUAL" xr:uid="{D66BB4DD-C2F0-410E-AB30-8F8928DDCFC3}"/>
    <hyperlink ref="B12:C12" location="'CUOTAS IMSS'!A1" display="CUOTAS IMSS" xr:uid="{D905DFD6-8BCA-4220-8415-8DB18A8A6481}"/>
    <hyperlink ref="B13:C13" location="'HORAS EXTRAS'!A1" display="HORAS EXTRAS" xr:uid="{1C9B608E-A941-446F-9232-7C791F09629A}"/>
    <hyperlink ref="B14:C14" location="AGUINALDO!A1" display="AGUINALDO" xr:uid="{8516F7C5-04A3-4B7A-8084-69567B4E99C2}"/>
    <hyperlink ref="B15:C15" location="'NOMINA FISCAL'!A1" display="NOMINA FISCAL " xr:uid="{4183B401-B5EC-47C9-AE17-8DCAA251735E}"/>
    <hyperlink ref="B16:C16" location="CONCEN!A1" display="CONCENTRADO" xr:uid="{6BC274DD-6FCF-41B8-8E51-0FD01B425C2D}"/>
    <hyperlink ref="B17:C17" location="'TARIFAS 2022'!A1" display="TARIFAS 2022" xr:uid="{99A19900-9C20-46D0-8E14-7E1D30AE4EA3}"/>
    <hyperlink ref="B18:C18" location="'DATOS EXTRAS'!A1" display="DATOS EXTRAS" xr:uid="{1D6EE8B3-6C19-4268-8CE9-647DCAEADC9A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ERROR" error="EL TIPO DE CALCULO NO ES AJUSTADA" xr:uid="{7C256074-2C0C-40DD-9187-1D99A769CABF}">
          <x14:formula1>
            <xm:f>'Datos y Resumen '!$E$60=1</xm:f>
          </x14:formula1>
          <xm:sqref>H7:L56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C755-AC8E-4285-B645-4D0EE4BC5F12}">
  <sheetPr codeName="Hoja7">
    <tabColor theme="3" tint="-0.499984740745262"/>
  </sheetPr>
  <dimension ref="B1:R63"/>
  <sheetViews>
    <sheetView zoomScaleNormal="100" workbookViewId="0">
      <selection activeCell="H7" sqref="H7"/>
    </sheetView>
  </sheetViews>
  <sheetFormatPr baseColWidth="10" defaultColWidth="11.42578125" defaultRowHeight="15" x14ac:dyDescent="0.25"/>
  <cols>
    <col min="1" max="1" width="1.7109375" style="40" customWidth="1"/>
    <col min="2" max="2" width="10.28515625" style="40" customWidth="1"/>
    <col min="3" max="3" width="9.140625" style="40" customWidth="1"/>
    <col min="4" max="4" width="3.28515625" style="40" customWidth="1"/>
    <col min="5" max="6" width="11.42578125" style="40"/>
    <col min="7" max="7" width="35.140625" style="40" customWidth="1"/>
    <col min="8" max="8" width="14.140625" style="60" customWidth="1"/>
    <col min="9" max="10" width="15.5703125" style="40" customWidth="1"/>
    <col min="11" max="11" width="23" style="40" customWidth="1"/>
    <col min="12" max="16384" width="11.42578125" style="40"/>
  </cols>
  <sheetData>
    <row r="1" spans="2:18" ht="7.5" customHeight="1" thickBot="1" x14ac:dyDescent="0.3"/>
    <row r="2" spans="2:18" ht="18" customHeight="1" x14ac:dyDescent="0.25">
      <c r="B2" s="300" t="s">
        <v>334</v>
      </c>
      <c r="C2" s="301"/>
      <c r="E2" s="250" t="str">
        <f>+'Datos y Resumen '!AC2</f>
        <v>A</v>
      </c>
    </row>
    <row r="3" spans="2:18" ht="15.75" customHeight="1" x14ac:dyDescent="0.25">
      <c r="B3" s="302"/>
      <c r="C3" s="303"/>
      <c r="E3" s="44" t="s">
        <v>233</v>
      </c>
      <c r="N3" s="362" t="s">
        <v>329</v>
      </c>
      <c r="O3" s="363"/>
      <c r="P3" s="363"/>
      <c r="Q3" s="363"/>
      <c r="R3" s="364"/>
    </row>
    <row r="4" spans="2:18" ht="15" customHeight="1" x14ac:dyDescent="0.25">
      <c r="B4" s="304" t="s">
        <v>312</v>
      </c>
      <c r="C4" s="305"/>
      <c r="N4" s="366" t="s">
        <v>292</v>
      </c>
      <c r="O4" s="369" t="s">
        <v>279</v>
      </c>
      <c r="P4" s="372" t="s">
        <v>280</v>
      </c>
      <c r="Q4" s="375" t="s">
        <v>289</v>
      </c>
      <c r="R4" s="376" t="s">
        <v>290</v>
      </c>
    </row>
    <row r="5" spans="2:18" ht="17.25" customHeight="1" x14ac:dyDescent="0.25">
      <c r="B5" s="304" t="s">
        <v>233</v>
      </c>
      <c r="C5" s="305"/>
      <c r="E5" s="326" t="s">
        <v>66</v>
      </c>
      <c r="F5" s="328" t="s">
        <v>53</v>
      </c>
      <c r="G5" s="324" t="s">
        <v>65</v>
      </c>
      <c r="H5" s="322" t="s">
        <v>260</v>
      </c>
      <c r="I5" s="322" t="s">
        <v>284</v>
      </c>
      <c r="J5" s="322" t="s">
        <v>327</v>
      </c>
      <c r="K5" s="322" t="s">
        <v>328</v>
      </c>
      <c r="L5" s="322" t="s">
        <v>285</v>
      </c>
      <c r="N5" s="367"/>
      <c r="O5" s="370"/>
      <c r="P5" s="373"/>
      <c r="Q5" s="342"/>
      <c r="R5" s="377"/>
    </row>
    <row r="6" spans="2:18" ht="23.25" customHeight="1" x14ac:dyDescent="0.25">
      <c r="B6" s="304" t="s">
        <v>62</v>
      </c>
      <c r="C6" s="305"/>
      <c r="E6" s="327"/>
      <c r="F6" s="329"/>
      <c r="G6" s="325"/>
      <c r="H6" s="323"/>
      <c r="I6" s="323"/>
      <c r="J6" s="365"/>
      <c r="K6" s="323"/>
      <c r="L6" s="323"/>
      <c r="N6" s="368"/>
      <c r="O6" s="371"/>
      <c r="P6" s="374"/>
      <c r="Q6" s="343"/>
      <c r="R6" s="378"/>
    </row>
    <row r="7" spans="2:18" x14ac:dyDescent="0.25">
      <c r="B7" s="306" t="s">
        <v>313</v>
      </c>
      <c r="C7" s="307"/>
      <c r="E7" s="89">
        <v>1</v>
      </c>
      <c r="F7" s="91">
        <f>+'LISTA TRABAJADORES'!F7</f>
        <v>54008317338</v>
      </c>
      <c r="G7" s="91" t="str">
        <f>+'LISTA TRABAJADORES'!G7</f>
        <v>JUAN PABLO CAMINOS</v>
      </c>
      <c r="H7" s="53">
        <f>IF('Datos y Resumen '!$E$60=1,'DATOS PARA AJUSTE'!H7+'ISR '!K8,0)</f>
        <v>0</v>
      </c>
      <c r="I7" s="53">
        <f>IFERROR(IF('Datos y Resumen '!$E$60=1,VLOOKUP(H7,'TARIFAS 2025'!$J$168:$L$178,3,1),0),0)</f>
        <v>0</v>
      </c>
      <c r="J7" s="53">
        <f>+IF('COMPARACIÓN MENSUAL'!K12&gt;'COMPARACIÓN MENSUAL'!G12,'COMPARACIÓN MENSUAL'!K12-'COMPARACIÓN MENSUAL'!G12,0)</f>
        <v>240.60049999999998</v>
      </c>
      <c r="K7" s="53">
        <f>+IFERROR(IF(IF(J7+'DATOS PARA AJUSTE'!J7&lt;'AJUSTE AL SUBSIDIO '!I7,'AJUSTE AL SUBSIDIO '!J7,'AJUSTE AL SUBSIDIO '!I7-'DATOS PARA AJUSTE'!J7)&lt;0,0,IF(J7+'DATOS PARA AJUSTE'!J7&lt;'AJUSTE AL SUBSIDIO '!I7,'AJUSTE AL SUBSIDIO '!J7,'AJUSTE AL SUBSIDIO '!I7-'DATOS PARA AJUSTE'!J7)),0)</f>
        <v>0</v>
      </c>
      <c r="L7" s="53">
        <f>IF('Datos y Resumen '!$E$60=1,'ISR '!T8,0)</f>
        <v>0</v>
      </c>
      <c r="N7" s="124">
        <f>+IF('COMPARACIÓN MENSUAL'!G12+'COMPARACIÓN MENSUAL'!I12&gt;'COMPARACIÓN MENSUAL'!K12,IF('COMPARACIÓN MENSUAL'!G12&gt;'COMPARACIÓN MENSUAL'!G11,'COMPARACIÓN MENSUAL'!G11,'COMPARACIÓN MENSUAL'!G12),0)</f>
        <v>0</v>
      </c>
      <c r="O7" s="124">
        <f>+IF('COMPARACIÓN MENSUAL'!G12+'COMPARACIÓN MENSUAL'!I12&gt;'COMPARACIÓN MENSUAL'!K12,'COMPARACIÓN MENSUAL'!G14,0)</f>
        <v>0</v>
      </c>
      <c r="P7" s="124">
        <f>+IF('COMPARACIÓN MENSUAL'!G12+'COMPARACIÓN MENSUAL'!I12&gt;'COMPARACIÓN MENSUAL'!K12,'COMPARACIÓN MENSUAL'!K12-'COMPARACIÓN MENSUAL'!G12,0)</f>
        <v>0</v>
      </c>
      <c r="Q7" s="53">
        <f>+N7</f>
        <v>0</v>
      </c>
      <c r="R7" s="53">
        <f>+O7</f>
        <v>0</v>
      </c>
    </row>
    <row r="8" spans="2:18" x14ac:dyDescent="0.25">
      <c r="B8" s="304" t="s">
        <v>243</v>
      </c>
      <c r="C8" s="305"/>
      <c r="E8" s="89">
        <v>2</v>
      </c>
      <c r="F8" s="91">
        <f>+'LISTA TRABAJADORES'!F8</f>
        <v>4008063127</v>
      </c>
      <c r="G8" s="91" t="str">
        <f>+'LISTA TRABAJADORES'!G8</f>
        <v>HECTOR ULISES GARCIA</v>
      </c>
      <c r="H8" s="53">
        <f>IF('Datos y Resumen '!$E$60=1,'DATOS PARA AJUSTE'!H8+'ISR '!K9,0)</f>
        <v>0</v>
      </c>
      <c r="I8" s="53">
        <f>IFERROR(IF('Datos y Resumen '!$E$60=1,VLOOKUP(H8,'TARIFAS 2025'!$J$168:$L$178,3,1),0),0)</f>
        <v>0</v>
      </c>
      <c r="J8" s="53">
        <f>+IF('COMPARACIÓN MENSUAL'!T12&gt;'COMPARACIÓN MENSUAL'!P12,'COMPARACIÓN MENSUAL'!T12-'COMPARACIÓN MENSUAL'!P12,0)</f>
        <v>240.60049999999998</v>
      </c>
      <c r="K8" s="53">
        <f>+IFERROR(IF(IF(J8+'DATOS PARA AJUSTE'!J8&lt;'AJUSTE AL SUBSIDIO '!I8,'AJUSTE AL SUBSIDIO '!J8,'AJUSTE AL SUBSIDIO '!I8-'DATOS PARA AJUSTE'!J8)&lt;0,0,IF(J8+'DATOS PARA AJUSTE'!J8&lt;'AJUSTE AL SUBSIDIO '!I8,'AJUSTE AL SUBSIDIO '!J8,'AJUSTE AL SUBSIDIO '!I8-'DATOS PARA AJUSTE'!J8)),0)</f>
        <v>0</v>
      </c>
      <c r="L8" s="53">
        <f>IF('Datos y Resumen '!$E$60=1,'ISR '!T9,0)</f>
        <v>0</v>
      </c>
      <c r="N8" s="124">
        <f>+IF('COMPARACIÓN MENSUAL'!P12+'COMPARACIÓN MENSUAL'!R12&gt;'COMPARACIÓN MENSUAL'!T12,IF('COMPARACIÓN MENSUAL'!P12&gt;'COMPARACIÓN MENSUAL'!P11,'COMPARACIÓN MENSUAL'!P11,'COMPARACIÓN MENSUAL'!P12),0)</f>
        <v>0</v>
      </c>
      <c r="O8" s="124">
        <f>+IF('COMPARACIÓN MENSUAL'!P12+'COMPARACIÓN MENSUAL'!R12&gt;'COMPARACIÓN MENSUAL'!T12,'COMPARACIÓN MENSUAL'!P14,0)</f>
        <v>0</v>
      </c>
      <c r="P8" s="124">
        <f>+IF('COMPARACIÓN MENSUAL'!P12+'COMPARACIÓN MENSUAL'!R12&gt;'COMPARACIÓN MENSUAL'!T12,'COMPARACIÓN MENSUAL'!T12-'COMPARACIÓN MENSUAL'!P12,0)</f>
        <v>0</v>
      </c>
      <c r="Q8" s="53">
        <f>+N8</f>
        <v>0</v>
      </c>
      <c r="R8" s="53">
        <f t="shared" ref="R8:R56" si="0">+O8</f>
        <v>0</v>
      </c>
    </row>
    <row r="9" spans="2:18" x14ac:dyDescent="0.25">
      <c r="B9" s="304" t="s">
        <v>282</v>
      </c>
      <c r="C9" s="305"/>
      <c r="E9" s="89">
        <v>3</v>
      </c>
      <c r="F9" s="91">
        <f>+'LISTA TRABAJADORES'!F9</f>
        <v>4997999471</v>
      </c>
      <c r="G9" s="91" t="str">
        <f>+'LISTA TRABAJADORES'!G9</f>
        <v>MARISOL VILLA</v>
      </c>
      <c r="H9" s="53">
        <f>IF('Datos y Resumen '!$E$60=1,'DATOS PARA AJUSTE'!H9+'ISR '!K10,0)</f>
        <v>0</v>
      </c>
      <c r="I9" s="53">
        <f>IFERROR(IF('Datos y Resumen '!$E$60=1,VLOOKUP(H9,'TARIFAS 2025'!$J$168:$L$178,3,1),0),0)</f>
        <v>0</v>
      </c>
      <c r="J9" s="53">
        <f>+IF('COMPARACIÓN MENSUAL'!K26&gt;'COMPARACIÓN MENSUAL'!G26,'COMPARACIÓN MENSUAL'!K26-'COMPARACIÓN MENSUAL'!G26,0)</f>
        <v>240.60049999999998</v>
      </c>
      <c r="K9" s="53">
        <f>+IFERROR(IF(IF(J9+'DATOS PARA AJUSTE'!J9&lt;'AJUSTE AL SUBSIDIO '!I9,'AJUSTE AL SUBSIDIO '!J9,'AJUSTE AL SUBSIDIO '!I9-'DATOS PARA AJUSTE'!J9)&lt;0,0,IF(J9+'DATOS PARA AJUSTE'!J9&lt;'AJUSTE AL SUBSIDIO '!I9,'AJUSTE AL SUBSIDIO '!J9,'AJUSTE AL SUBSIDIO '!I9-'DATOS PARA AJUSTE'!J9)),0)</f>
        <v>0</v>
      </c>
      <c r="L9" s="53">
        <f>IF('Datos y Resumen '!$E$60=1,'ISR '!T10,0)</f>
        <v>0</v>
      </c>
      <c r="N9" s="124">
        <f>+IF('COMPARACIÓN MENSUAL'!G26+'COMPARACIÓN MENSUAL'!I26&gt;'COMPARACIÓN MENSUAL'!K26,IF('COMPARACIÓN MENSUAL'!G26&gt;'COMPARACIÓN MENSUAL'!G25,'COMPARACIÓN MENSUAL'!G25,'COMPARACIÓN MENSUAL'!G26),0)</f>
        <v>0</v>
      </c>
      <c r="O9" s="124">
        <f>+IF('COMPARACIÓN MENSUAL'!G26+'COMPARACIÓN MENSUAL'!I26&gt;'COMPARACIÓN MENSUAL'!K26,'COMPARACIÓN MENSUAL'!G28,0)</f>
        <v>0</v>
      </c>
      <c r="P9" s="124">
        <f>+IF('COMPARACIÓN MENSUAL'!G26+'COMPARACIÓN MENSUAL'!I26&gt;'COMPARACIÓN MENSUAL'!K26,'COMPARACIÓN MENSUAL'!K26-'COMPARACIÓN MENSUAL'!G26,0)</f>
        <v>0</v>
      </c>
      <c r="Q9" s="53">
        <f t="shared" ref="Q9:Q56" si="1">+N9</f>
        <v>0</v>
      </c>
      <c r="R9" s="53">
        <f t="shared" si="0"/>
        <v>0</v>
      </c>
    </row>
    <row r="10" spans="2:18" x14ac:dyDescent="0.25">
      <c r="B10" s="306" t="s">
        <v>314</v>
      </c>
      <c r="C10" s="307"/>
      <c r="E10" s="89">
        <v>4</v>
      </c>
      <c r="F10" s="91">
        <f>+'LISTA TRABAJADORES'!F10</f>
        <v>5158985232</v>
      </c>
      <c r="G10" s="91" t="str">
        <f>+'LISTA TRABAJADORES'!G10</f>
        <v>MARCO PEREZ</v>
      </c>
      <c r="H10" s="53">
        <f>IF('Datos y Resumen '!$E$60=1,'DATOS PARA AJUSTE'!H10+'ISR '!K11,0)</f>
        <v>0</v>
      </c>
      <c r="I10" s="53">
        <f>IFERROR(IF('Datos y Resumen '!$E$60=1,VLOOKUP(H10,'TARIFAS 2025'!$J$168:$L$178,3,1),0),0)</f>
        <v>0</v>
      </c>
      <c r="J10" s="53">
        <f>+IF('COMPARACIÓN MENSUAL'!T26&gt;'COMPARACIÓN MENSUAL'!P26,'COMPARACIÓN MENSUAL'!T26-'COMPARACIÓN MENSUAL'!P26,0)</f>
        <v>240.60049999999998</v>
      </c>
      <c r="K10" s="53">
        <f>+IFERROR(IF(IF(J10+'DATOS PARA AJUSTE'!J10&lt;'AJUSTE AL SUBSIDIO '!I10,'AJUSTE AL SUBSIDIO '!J10,'AJUSTE AL SUBSIDIO '!I10-'DATOS PARA AJUSTE'!J10)&lt;0,0,IF(J10+'DATOS PARA AJUSTE'!J10&lt;'AJUSTE AL SUBSIDIO '!I10,'AJUSTE AL SUBSIDIO '!J10,'AJUSTE AL SUBSIDIO '!I10-'DATOS PARA AJUSTE'!J10)),0)</f>
        <v>0</v>
      </c>
      <c r="L10" s="53">
        <f>IF('Datos y Resumen '!$E$60=1,'ISR '!T11,0)</f>
        <v>0</v>
      </c>
      <c r="N10" s="124">
        <f>+IF('COMPARACIÓN MENSUAL'!P26+'COMPARACIÓN MENSUAL'!R26&gt;'COMPARACIÓN MENSUAL'!T26,IF('COMPARACIÓN MENSUAL'!P26&gt;'COMPARACIÓN MENSUAL'!P25,'COMPARACIÓN MENSUAL'!P25,'COMPARACIÓN MENSUAL'!P26),0)</f>
        <v>0</v>
      </c>
      <c r="O10" s="124">
        <f>+IF('COMPARACIÓN MENSUAL'!P26+'COMPARACIÓN MENSUAL'!R26&gt;'COMPARACIÓN MENSUAL'!T26,'COMPARACIÓN MENSUAL'!P28,0)</f>
        <v>0</v>
      </c>
      <c r="P10" s="124">
        <f>+IF('COMPARACIÓN MENSUAL'!P26+'COMPARACIÓN MENSUAL'!R26&gt;'COMPARACIÓN MENSUAL'!T26,'COMPARACIÓN MENSUAL'!T26-'COMPARACIÓN MENSUAL'!P26,0)</f>
        <v>0</v>
      </c>
      <c r="Q10" s="53">
        <f t="shared" si="1"/>
        <v>0</v>
      </c>
      <c r="R10" s="53">
        <f t="shared" si="0"/>
        <v>0</v>
      </c>
    </row>
    <row r="11" spans="2:18" x14ac:dyDescent="0.25">
      <c r="B11" s="306" t="s">
        <v>300</v>
      </c>
      <c r="C11" s="307"/>
      <c r="E11" s="89">
        <v>5</v>
      </c>
      <c r="F11" s="91">
        <f>+'LISTA TRABAJADORES'!F11</f>
        <v>5478565521</v>
      </c>
      <c r="G11" s="91" t="str">
        <f>+'LISTA TRABAJADORES'!G11</f>
        <v>ALEJANDRO VENEGAS</v>
      </c>
      <c r="H11" s="53">
        <f>IF('Datos y Resumen '!$E$60=1,'DATOS PARA AJUSTE'!H11+'ISR '!K12,0)</f>
        <v>0</v>
      </c>
      <c r="I11" s="53">
        <f>IFERROR(IF('Datos y Resumen '!$E$60=1,VLOOKUP(H11,'TARIFAS 2025'!$J$168:$L$178,3,1),0),0)</f>
        <v>0</v>
      </c>
      <c r="J11" s="53">
        <f>+IF('COMPARACIÓN MENSUAL'!K40&gt;'COMPARACIÓN MENSUAL'!G40,'COMPARACIÓN MENSUAL'!K40-'COMPARACIÓN MENSUAL'!G40,0)</f>
        <v>240.60049999999998</v>
      </c>
      <c r="K11" s="53">
        <f>+IFERROR(IF(IF(J11+'DATOS PARA AJUSTE'!J11&lt;'AJUSTE AL SUBSIDIO '!I11,'AJUSTE AL SUBSIDIO '!J11,'AJUSTE AL SUBSIDIO '!I11-'DATOS PARA AJUSTE'!J11)&lt;0,0,IF(J11+'DATOS PARA AJUSTE'!J11&lt;'AJUSTE AL SUBSIDIO '!I11,'AJUSTE AL SUBSIDIO '!J11,'AJUSTE AL SUBSIDIO '!I11-'DATOS PARA AJUSTE'!J11)),0)</f>
        <v>0</v>
      </c>
      <c r="L11" s="53">
        <f>IF('Datos y Resumen '!$E$60=1,'ISR '!T12,0)</f>
        <v>0</v>
      </c>
      <c r="N11" s="124">
        <f>+IF('COMPARACIÓN MENSUAL'!G40+'COMPARACIÓN MENSUAL'!I40&gt;'COMPARACIÓN MENSUAL'!K40,IF('COMPARACIÓN MENSUAL'!G40&gt;'COMPARACIÓN MENSUAL'!G39,'COMPARACIÓN MENSUAL'!G39,'COMPARACIÓN MENSUAL'!G40),0)</f>
        <v>0</v>
      </c>
      <c r="O11" s="124">
        <f>+IF('COMPARACIÓN MENSUAL'!G40+'COMPARACIÓN MENSUAL'!I40&gt;'COMPARACIÓN MENSUAL'!K40,'COMPARACIÓN MENSUAL'!G42,0)</f>
        <v>0</v>
      </c>
      <c r="P11" s="124">
        <f>+IF('COMPARACIÓN MENSUAL'!G40+'COMPARACIÓN MENSUAL'!I40&gt;'COMPARACIÓN MENSUAL'!K40,'COMPARACIÓN MENSUAL'!K40-'COMPARACIÓN MENSUAL'!G40,0)</f>
        <v>0</v>
      </c>
      <c r="Q11" s="53">
        <f t="shared" si="1"/>
        <v>0</v>
      </c>
      <c r="R11" s="53">
        <f t="shared" si="0"/>
        <v>0</v>
      </c>
    </row>
    <row r="12" spans="2:18" x14ac:dyDescent="0.25">
      <c r="B12" s="304" t="s">
        <v>315</v>
      </c>
      <c r="C12" s="305"/>
      <c r="E12" s="89">
        <v>6</v>
      </c>
      <c r="F12" s="91">
        <f>+'LISTA TRABAJADORES'!F12</f>
        <v>5258525822</v>
      </c>
      <c r="G12" s="91" t="str">
        <f>+'LISTA TRABAJADORES'!G12</f>
        <v>MARTHA ZAVALA</v>
      </c>
      <c r="H12" s="53">
        <f>IF('Datos y Resumen '!$E$60=1,'DATOS PARA AJUSTE'!H12+'ISR '!K13,0)</f>
        <v>0</v>
      </c>
      <c r="I12" s="53">
        <f>IFERROR(IF('Datos y Resumen '!$E$60=1,VLOOKUP(H12,'TARIFAS 2025'!$J$168:$L$178,3,1),0),0)</f>
        <v>0</v>
      </c>
      <c r="J12" s="53">
        <f>+IF('COMPARACIÓN MENSUAL'!T40&gt;'COMPARACIÓN MENSUAL'!P40,'COMPARACIÓN MENSUAL'!T40-'COMPARACIÓN MENSUAL'!P40,0)</f>
        <v>474.95</v>
      </c>
      <c r="K12" s="53">
        <f>+IFERROR(IF(IF(J12+'DATOS PARA AJUSTE'!J12&lt;'AJUSTE AL SUBSIDIO '!I12,'AJUSTE AL SUBSIDIO '!J12,'AJUSTE AL SUBSIDIO '!I12-'DATOS PARA AJUSTE'!J12)&lt;0,0,IF(J12+'DATOS PARA AJUSTE'!J12&lt;'AJUSTE AL SUBSIDIO '!I12,'AJUSTE AL SUBSIDIO '!J12,'AJUSTE AL SUBSIDIO '!I12-'DATOS PARA AJUSTE'!J12)),0)</f>
        <v>0</v>
      </c>
      <c r="L12" s="53">
        <f>IF('Datos y Resumen '!$E$60=1,'ISR '!T13,0)</f>
        <v>0</v>
      </c>
      <c r="N12" s="124">
        <f>+IF('COMPARACIÓN MENSUAL'!P40+'COMPARACIÓN MENSUAL'!R40&gt;'COMPARACIÓN MENSUAL'!T40,IF('COMPARACIÓN MENSUAL'!P40&gt;'COMPARACIÓN MENSUAL'!P39,'COMPARACIÓN MENSUAL'!P39,'COMPARACIÓN MENSUAL'!P40),0)</f>
        <v>0</v>
      </c>
      <c r="O12" s="124">
        <f>+IF('COMPARACIÓN MENSUAL'!P40+'COMPARACIÓN MENSUAL'!R40&gt;'COMPARACIÓN MENSUAL'!T40,'COMPARACIÓN MENSUAL'!P42,0)</f>
        <v>0</v>
      </c>
      <c r="P12" s="124">
        <f>+IF('COMPARACIÓN MENSUAL'!P40+'COMPARACIÓN MENSUAL'!R40&gt;'COMPARACIÓN MENSUAL'!T40,'COMPARACIÓN MENSUAL'!T40-'COMPARACIÓN MENSUAL'!P40,0)</f>
        <v>0</v>
      </c>
      <c r="Q12" s="53">
        <f t="shared" si="1"/>
        <v>0</v>
      </c>
      <c r="R12" s="53">
        <f t="shared" si="0"/>
        <v>0</v>
      </c>
    </row>
    <row r="13" spans="2:18" x14ac:dyDescent="0.25">
      <c r="B13" s="304" t="s">
        <v>192</v>
      </c>
      <c r="C13" s="305"/>
      <c r="E13" s="89">
        <v>7</v>
      </c>
      <c r="F13" s="91">
        <f>+'LISTA TRABAJADORES'!F13</f>
        <v>2587566225</v>
      </c>
      <c r="G13" s="91" t="str">
        <f>+'LISTA TRABAJADORES'!G13</f>
        <v>CRISTINA MACIAS</v>
      </c>
      <c r="H13" s="53">
        <f>IF('Datos y Resumen '!$E$60=1,'DATOS PARA AJUSTE'!H13+'ISR '!K14,0)</f>
        <v>0</v>
      </c>
      <c r="I13" s="53">
        <f>IFERROR(IF('Datos y Resumen '!$E$60=1,VLOOKUP(H13,'TARIFAS 2025'!$J$168:$L$178,3,1),0),0)</f>
        <v>0</v>
      </c>
      <c r="J13" s="53">
        <f>+IF('COMPARACIÓN MENSUAL'!K54&gt;'COMPARACIÓN MENSUAL'!G54,'COMPARACIÓN MENSUAL'!K54-'COMPARACIÓN MENSUAL'!G54,0)</f>
        <v>474.95</v>
      </c>
      <c r="K13" s="53">
        <f>+IFERROR(IF(IF(J13+'DATOS PARA AJUSTE'!J13&lt;'AJUSTE AL SUBSIDIO '!I13,'AJUSTE AL SUBSIDIO '!J13,'AJUSTE AL SUBSIDIO '!I13-'DATOS PARA AJUSTE'!J13)&lt;0,0,IF(J13+'DATOS PARA AJUSTE'!J13&lt;'AJUSTE AL SUBSIDIO '!I13,'AJUSTE AL SUBSIDIO '!J13,'AJUSTE AL SUBSIDIO '!I13-'DATOS PARA AJUSTE'!J13)),0)</f>
        <v>0</v>
      </c>
      <c r="L13" s="53">
        <f>IF('Datos y Resumen '!$E$60=1,'ISR '!T14,0)</f>
        <v>0</v>
      </c>
      <c r="N13" s="124">
        <f>+IF('COMPARACIÓN MENSUAL'!G54+'COMPARACIÓN MENSUAL'!I54&gt;'COMPARACIÓN MENSUAL'!K54,IF('COMPARACIÓN MENSUAL'!G54&gt;'COMPARACIÓN MENSUAL'!G53,'COMPARACIÓN MENSUAL'!G53,'COMPARACIÓN MENSUAL'!G54),0)</f>
        <v>0</v>
      </c>
      <c r="O13" s="124">
        <f>+IF('COMPARACIÓN MENSUAL'!G54+'COMPARACIÓN MENSUAL'!I54&gt;'COMPARACIÓN MENSUAL'!K54,'COMPARACIÓN MENSUAL'!G56,0)</f>
        <v>0</v>
      </c>
      <c r="P13" s="124">
        <f>+IF('COMPARACIÓN MENSUAL'!G54+'COMPARACIÓN MENSUAL'!I54&gt;'COMPARACIÓN MENSUAL'!K54,'COMPARACIÓN MENSUAL'!K54-'COMPARACIÓN MENSUAL'!G54,0)</f>
        <v>0</v>
      </c>
      <c r="Q13" s="53">
        <f t="shared" si="1"/>
        <v>0</v>
      </c>
      <c r="R13" s="53">
        <f t="shared" si="0"/>
        <v>0</v>
      </c>
    </row>
    <row r="14" spans="2:18" x14ac:dyDescent="0.25">
      <c r="B14" s="306" t="s">
        <v>236</v>
      </c>
      <c r="C14" s="307"/>
      <c r="E14" s="89">
        <v>8</v>
      </c>
      <c r="F14" s="91">
        <f>+'LISTA TRABAJADORES'!F14</f>
        <v>6585422585</v>
      </c>
      <c r="G14" s="91" t="str">
        <f>+'LISTA TRABAJADORES'!G14</f>
        <v>ANTONIO OCAMPOS</v>
      </c>
      <c r="H14" s="53">
        <f>IF('Datos y Resumen '!$E$60=1,'DATOS PARA AJUSTE'!H14+'ISR '!K15,0)</f>
        <v>0</v>
      </c>
      <c r="I14" s="53">
        <f>IFERROR(IF('Datos y Resumen '!$E$60=1,VLOOKUP(H14,'TARIFAS 2025'!$J$168:$L$178,3,1),0),0)</f>
        <v>0</v>
      </c>
      <c r="J14" s="53">
        <f>+IF('COMPARACIÓN MENSUAL'!T54&gt;'COMPARACIÓN MENSUAL'!P54,'COMPARACIÓN MENSUAL'!T54-'COMPARACIÓN MENSUAL'!P54,0)</f>
        <v>474.95</v>
      </c>
      <c r="K14" s="53">
        <f>+IFERROR(IF(IF(J14+'DATOS PARA AJUSTE'!J14&lt;'AJUSTE AL SUBSIDIO '!I14,'AJUSTE AL SUBSIDIO '!J14,'AJUSTE AL SUBSIDIO '!I14-'DATOS PARA AJUSTE'!J14)&lt;0,0,IF(J14+'DATOS PARA AJUSTE'!J14&lt;'AJUSTE AL SUBSIDIO '!I14,'AJUSTE AL SUBSIDIO '!J14,'AJUSTE AL SUBSIDIO '!I14-'DATOS PARA AJUSTE'!J14)),0)</f>
        <v>0</v>
      </c>
      <c r="L14" s="53">
        <f>IF('Datos y Resumen '!$E$60=1,'ISR '!T15,0)</f>
        <v>0</v>
      </c>
      <c r="N14" s="124">
        <f>+IF('COMPARACIÓN MENSUAL'!P54+'COMPARACIÓN MENSUAL'!R54&gt;'COMPARACIÓN MENSUAL'!T54,IF('COMPARACIÓN MENSUAL'!P54&gt;'COMPARACIÓN MENSUAL'!P53,'COMPARACIÓN MENSUAL'!P53,'COMPARACIÓN MENSUAL'!P54),0)</f>
        <v>0</v>
      </c>
      <c r="O14" s="124">
        <f>+IF('COMPARACIÓN MENSUAL'!P54+'COMPARACIÓN MENSUAL'!R54&gt;'COMPARACIÓN MENSUAL'!T54,'COMPARACIÓN MENSUAL'!P56,0)</f>
        <v>0</v>
      </c>
      <c r="P14" s="124">
        <f>+IF('COMPARACIÓN MENSUAL'!P54+'COMPARACIÓN MENSUAL'!R54&gt;'COMPARACIÓN MENSUAL'!T54,'COMPARACIÓN MENSUAL'!T54-'COMPARACIÓN MENSUAL'!P54,0)</f>
        <v>0</v>
      </c>
      <c r="Q14" s="53">
        <f t="shared" si="1"/>
        <v>0</v>
      </c>
      <c r="R14" s="53">
        <f t="shared" si="0"/>
        <v>0</v>
      </c>
    </row>
    <row r="15" spans="2:18" x14ac:dyDescent="0.25">
      <c r="B15" s="304" t="s">
        <v>316</v>
      </c>
      <c r="C15" s="305"/>
      <c r="E15" s="89">
        <v>9</v>
      </c>
      <c r="F15" s="91">
        <f>+'LISTA TRABAJADORES'!F15</f>
        <v>0</v>
      </c>
      <c r="G15" s="91">
        <f>+'LISTA TRABAJADORES'!G15</f>
        <v>0</v>
      </c>
      <c r="H15" s="53">
        <f>IF('Datos y Resumen '!$E$60=1,'DATOS PARA AJUSTE'!H15+'ISR '!K16,0)</f>
        <v>0</v>
      </c>
      <c r="I15" s="53">
        <f>IFERROR(IF('Datos y Resumen '!$E$60=1,VLOOKUP(H15,'TARIFAS 2025'!$J$168:$L$178,3,1),0),0)</f>
        <v>0</v>
      </c>
      <c r="J15" s="53">
        <f>+IF('COMPARACIÓN MENSUAL'!K68&gt;'COMPARACIÓN MENSUAL'!G68,'COMPARACIÓN MENSUAL'!K68-'COMPARACIÓN MENSUAL'!G68,0)</f>
        <v>0</v>
      </c>
      <c r="K15" s="53">
        <f>+IFERROR(IF(IF(J15+'DATOS PARA AJUSTE'!J15&lt;'AJUSTE AL SUBSIDIO '!I15,'AJUSTE AL SUBSIDIO '!J15,'AJUSTE AL SUBSIDIO '!I15-'DATOS PARA AJUSTE'!J15)&lt;0,0,IF(J15+'DATOS PARA AJUSTE'!J15&lt;'AJUSTE AL SUBSIDIO '!I15,'AJUSTE AL SUBSIDIO '!J15,'AJUSTE AL SUBSIDIO '!I15-'DATOS PARA AJUSTE'!J15)),0)</f>
        <v>0</v>
      </c>
      <c r="L15" s="53">
        <f>IF('Datos y Resumen '!$E$60=1,'ISR '!T16,0)</f>
        <v>0</v>
      </c>
      <c r="N15" s="124">
        <f>+IF('COMPARACIÓN MENSUAL'!G68+'COMPARACIÓN MENSUAL'!I68&gt;'COMPARACIÓN MENSUAL'!K68,IF('COMPARACIÓN MENSUAL'!G68&gt;'COMPARACIÓN MENSUAL'!G67,'COMPARACIÓN MENSUAL'!G67,'COMPARACIÓN MENSUAL'!G68),0)</f>
        <v>0</v>
      </c>
      <c r="O15" s="124">
        <f>+IF('COMPARACIÓN MENSUAL'!G68+'COMPARACIÓN MENSUAL'!I68&gt;'COMPARACIÓN MENSUAL'!K68,'COMPARACIÓN MENSUAL'!G70,0)</f>
        <v>0</v>
      </c>
      <c r="P15" s="124">
        <f>+IF('COMPARACIÓN MENSUAL'!G68+'COMPARACIÓN MENSUAL'!I68&gt;'COMPARACIÓN MENSUAL'!K68,'COMPARACIÓN MENSUAL'!K68-'COMPARACIÓN MENSUAL'!G68,0)</f>
        <v>0</v>
      </c>
      <c r="Q15" s="53">
        <f t="shared" si="1"/>
        <v>0</v>
      </c>
      <c r="R15" s="53">
        <f t="shared" si="0"/>
        <v>0</v>
      </c>
    </row>
    <row r="16" spans="2:18" x14ac:dyDescent="0.25">
      <c r="B16" s="306" t="s">
        <v>244</v>
      </c>
      <c r="C16" s="307"/>
      <c r="E16" s="89">
        <v>10</v>
      </c>
      <c r="F16" s="91">
        <f>+'LISTA TRABAJADORES'!F16</f>
        <v>0</v>
      </c>
      <c r="G16" s="91">
        <f>+'LISTA TRABAJADORES'!G16</f>
        <v>0</v>
      </c>
      <c r="H16" s="53">
        <f>IF('Datos y Resumen '!$E$60=1,'DATOS PARA AJUSTE'!H16+'ISR '!K17,0)</f>
        <v>0</v>
      </c>
      <c r="I16" s="53">
        <f>IFERROR(IF('Datos y Resumen '!$E$60=1,VLOOKUP(H16,'TARIFAS 2025'!$J$168:$L$178,3,1),0),0)</f>
        <v>0</v>
      </c>
      <c r="J16" s="53">
        <f>+IF('COMPARACIÓN MENSUAL'!T68&gt;'COMPARACIÓN MENSUAL'!P68,'COMPARACIÓN MENSUAL'!T68-'COMPARACIÓN MENSUAL'!P68,0)</f>
        <v>0</v>
      </c>
      <c r="K16" s="53">
        <f>+IFERROR(IF(IF(J16+'DATOS PARA AJUSTE'!J16&lt;'AJUSTE AL SUBSIDIO '!I16,'AJUSTE AL SUBSIDIO '!J16,'AJUSTE AL SUBSIDIO '!I16-'DATOS PARA AJUSTE'!J16)&lt;0,0,IF(J16+'DATOS PARA AJUSTE'!J16&lt;'AJUSTE AL SUBSIDIO '!I16,'AJUSTE AL SUBSIDIO '!J16,'AJUSTE AL SUBSIDIO '!I16-'DATOS PARA AJUSTE'!J16)),0)</f>
        <v>0</v>
      </c>
      <c r="L16" s="53">
        <f>IF('Datos y Resumen '!$E$60=1,'ISR '!T17,0)</f>
        <v>0</v>
      </c>
      <c r="N16" s="124">
        <f>+IF('COMPARACIÓN MENSUAL'!P68+'COMPARACIÓN MENSUAL'!R68&gt;'COMPARACIÓN MENSUAL'!T68,IF('COMPARACIÓN MENSUAL'!P68&gt;'COMPARACIÓN MENSUAL'!P67,'COMPARACIÓN MENSUAL'!P67,'COMPARACIÓN MENSUAL'!P68),0)</f>
        <v>0</v>
      </c>
      <c r="O16" s="124">
        <f>+IF('COMPARACIÓN MENSUAL'!P68+'COMPARACIÓN MENSUAL'!R68&gt;'COMPARACIÓN MENSUAL'!T68,'COMPARACIÓN MENSUAL'!P70,0)</f>
        <v>0</v>
      </c>
      <c r="P16" s="124">
        <f>+IF('COMPARACIÓN MENSUAL'!P68+'COMPARACIÓN MENSUAL'!R68&gt;'COMPARACIÓN MENSUAL'!T68,'COMPARACIÓN MENSUAL'!T68-'COMPARACIÓN MENSUAL'!P68,0)</f>
        <v>0</v>
      </c>
      <c r="Q16" s="53">
        <f t="shared" si="1"/>
        <v>0</v>
      </c>
      <c r="R16" s="53">
        <f t="shared" si="0"/>
        <v>0</v>
      </c>
    </row>
    <row r="17" spans="2:18" x14ac:dyDescent="0.25">
      <c r="B17" s="320" t="s">
        <v>335</v>
      </c>
      <c r="C17" s="321"/>
      <c r="E17" s="89">
        <v>11</v>
      </c>
      <c r="F17" s="91">
        <f>+'LISTA TRABAJADORES'!F17</f>
        <v>0</v>
      </c>
      <c r="G17" s="91">
        <f>+'LISTA TRABAJADORES'!G17</f>
        <v>0</v>
      </c>
      <c r="H17" s="53">
        <f>IF('Datos y Resumen '!$E$60=1,'DATOS PARA AJUSTE'!H17+'ISR '!K18,0)</f>
        <v>0</v>
      </c>
      <c r="I17" s="53">
        <f>IFERROR(IF('Datos y Resumen '!$E$60=1,VLOOKUP(H17,'TARIFAS 2025'!$J$168:$L$178,3,1),0),0)</f>
        <v>0</v>
      </c>
      <c r="J17" s="53">
        <f>+IF('COMPARACIÓN MENSUAL'!K82&gt;'COMPARACIÓN MENSUAL'!G82,'COMPARACIÓN MENSUAL'!K82-'COMPARACIÓN MENSUAL'!G82,0)</f>
        <v>0</v>
      </c>
      <c r="K17" s="53">
        <f>+IFERROR(IF(IF(J17+'DATOS PARA AJUSTE'!J17&lt;'AJUSTE AL SUBSIDIO '!I17,'AJUSTE AL SUBSIDIO '!J17,'AJUSTE AL SUBSIDIO '!I17-'DATOS PARA AJUSTE'!J17)&lt;0,0,IF(J17+'DATOS PARA AJUSTE'!J17&lt;'AJUSTE AL SUBSIDIO '!I17,'AJUSTE AL SUBSIDIO '!J17,'AJUSTE AL SUBSIDIO '!I17-'DATOS PARA AJUSTE'!J17)),0)</f>
        <v>0</v>
      </c>
      <c r="L17" s="53">
        <f>IF('Datos y Resumen '!$E$60=1,'ISR '!T18,0)</f>
        <v>0</v>
      </c>
      <c r="N17" s="124">
        <f>+IF('COMPARACIÓN MENSUAL'!G82+'COMPARACIÓN MENSUAL'!I82&gt;'COMPARACIÓN MENSUAL'!K82,IF('COMPARACIÓN MENSUAL'!G82&gt;'COMPARACIÓN MENSUAL'!G81,'COMPARACIÓN MENSUAL'!G81,'COMPARACIÓN MENSUAL'!G82),0)</f>
        <v>0</v>
      </c>
      <c r="O17" s="124">
        <f>+IF('COMPARACIÓN MENSUAL'!G82+'COMPARACIÓN MENSUAL'!I82&gt;'COMPARACIÓN MENSUAL'!K82,'COMPARACIÓN MENSUAL'!G84,0)</f>
        <v>0</v>
      </c>
      <c r="P17" s="124">
        <f>+IF('COMPARACIÓN MENSUAL'!G82+'COMPARACIÓN MENSUAL'!I82&gt;'COMPARACIÓN MENSUAL'!K82,'COMPARACIÓN MENSUAL'!K82-'COMPARACIÓN MENSUAL'!G82,0)</f>
        <v>0</v>
      </c>
      <c r="Q17" s="53">
        <f t="shared" si="1"/>
        <v>0</v>
      </c>
      <c r="R17" s="53">
        <f t="shared" si="0"/>
        <v>0</v>
      </c>
    </row>
    <row r="18" spans="2:18" ht="15.75" thickBot="1" x14ac:dyDescent="0.3">
      <c r="B18" s="318" t="s">
        <v>330</v>
      </c>
      <c r="C18" s="319"/>
      <c r="E18" s="89">
        <v>12</v>
      </c>
      <c r="F18" s="91">
        <f>+'LISTA TRABAJADORES'!F18</f>
        <v>0</v>
      </c>
      <c r="G18" s="91">
        <f>+'LISTA TRABAJADORES'!G18</f>
        <v>0</v>
      </c>
      <c r="H18" s="53">
        <f>IF('Datos y Resumen '!$E$60=1,'DATOS PARA AJUSTE'!H18+'ISR '!K19,0)</f>
        <v>0</v>
      </c>
      <c r="I18" s="53">
        <f>IFERROR(IF('Datos y Resumen '!$E$60=1,VLOOKUP(H18,'TARIFAS 2025'!$J$168:$L$178,3,1),0),0)</f>
        <v>0</v>
      </c>
      <c r="J18" s="53">
        <f>+IF('COMPARACIÓN MENSUAL'!T82&gt;'COMPARACIÓN MENSUAL'!P82,'COMPARACIÓN MENSUAL'!T82-'COMPARACIÓN MENSUAL'!P82,0)</f>
        <v>0</v>
      </c>
      <c r="K18" s="53">
        <f>+IFERROR(IF(IF(J18+'DATOS PARA AJUSTE'!J18&lt;'AJUSTE AL SUBSIDIO '!I18,'AJUSTE AL SUBSIDIO '!J18,'AJUSTE AL SUBSIDIO '!I18-'DATOS PARA AJUSTE'!J18)&lt;0,0,IF(J18+'DATOS PARA AJUSTE'!J18&lt;'AJUSTE AL SUBSIDIO '!I18,'AJUSTE AL SUBSIDIO '!J18,'AJUSTE AL SUBSIDIO '!I18-'DATOS PARA AJUSTE'!J18)),0)</f>
        <v>0</v>
      </c>
      <c r="L18" s="53">
        <f>IF('Datos y Resumen '!$E$60=1,'ISR '!T19,0)</f>
        <v>0</v>
      </c>
      <c r="N18" s="124">
        <f>+IF('COMPARACIÓN MENSUAL'!P82+'COMPARACIÓN MENSUAL'!R82&gt;'COMPARACIÓN MENSUAL'!T82,IF('COMPARACIÓN MENSUAL'!P82&gt;'COMPARACIÓN MENSUAL'!P81,'COMPARACIÓN MENSUAL'!P81,'COMPARACIÓN MENSUAL'!P82),0)</f>
        <v>0</v>
      </c>
      <c r="O18" s="124">
        <f>+IF('COMPARACIÓN MENSUAL'!P82+'COMPARACIÓN MENSUAL'!R82&gt;'COMPARACIÓN MENSUAL'!T82,'COMPARACIÓN MENSUAL'!P84,0)</f>
        <v>0</v>
      </c>
      <c r="P18" s="124">
        <f>+IF('COMPARACIÓN MENSUAL'!P82+'COMPARACIÓN MENSUAL'!R82&gt;'COMPARACIÓN MENSUAL'!T82,'COMPARACIÓN MENSUAL'!T82-'COMPARACIÓN MENSUAL'!P82,0)</f>
        <v>0</v>
      </c>
      <c r="Q18" s="53">
        <f t="shared" si="1"/>
        <v>0</v>
      </c>
      <c r="R18" s="53">
        <f t="shared" si="0"/>
        <v>0</v>
      </c>
    </row>
    <row r="19" spans="2:18" x14ac:dyDescent="0.25">
      <c r="E19" s="89">
        <v>13</v>
      </c>
      <c r="F19" s="91">
        <f>+'LISTA TRABAJADORES'!F19</f>
        <v>0</v>
      </c>
      <c r="G19" s="91">
        <f>+'LISTA TRABAJADORES'!G19</f>
        <v>0</v>
      </c>
      <c r="H19" s="53">
        <f>IF('Datos y Resumen '!$E$60=1,'DATOS PARA AJUSTE'!H19+'ISR '!K20,0)</f>
        <v>0</v>
      </c>
      <c r="I19" s="53">
        <f>IFERROR(IF('Datos y Resumen '!$E$60=1,VLOOKUP(H19,'TARIFAS 2025'!$J$168:$L$178,3,1),0),0)</f>
        <v>0</v>
      </c>
      <c r="J19" s="53">
        <f>+IF('COMPARACIÓN MENSUAL'!K96&gt;'COMPARACIÓN MENSUAL'!G96,'COMPARACIÓN MENSUAL'!K96-'COMPARACIÓN MENSUAL'!G96,0)</f>
        <v>0</v>
      </c>
      <c r="K19" s="53">
        <f>+IFERROR(IF(IF(J19+'DATOS PARA AJUSTE'!J19&lt;'AJUSTE AL SUBSIDIO '!I19,'AJUSTE AL SUBSIDIO '!J19,'AJUSTE AL SUBSIDIO '!I19-'DATOS PARA AJUSTE'!J19)&lt;0,0,IF(J19+'DATOS PARA AJUSTE'!J19&lt;'AJUSTE AL SUBSIDIO '!I19,'AJUSTE AL SUBSIDIO '!J19,'AJUSTE AL SUBSIDIO '!I19-'DATOS PARA AJUSTE'!J19)),0)</f>
        <v>0</v>
      </c>
      <c r="L19" s="53">
        <f>IF('Datos y Resumen '!$E$60=1,'ISR '!T20,0)</f>
        <v>0</v>
      </c>
      <c r="N19" s="124">
        <f>+IF('COMPARACIÓN MENSUAL'!G96+'COMPARACIÓN MENSUAL'!I96&gt;'COMPARACIÓN MENSUAL'!K96,IF('COMPARACIÓN MENSUAL'!G96&gt;'COMPARACIÓN MENSUAL'!G95,'COMPARACIÓN MENSUAL'!G95,'COMPARACIÓN MENSUAL'!G96),0)</f>
        <v>0</v>
      </c>
      <c r="O19" s="124">
        <f>+IF('COMPARACIÓN MENSUAL'!G96+'COMPARACIÓN MENSUAL'!I96&gt;'COMPARACIÓN MENSUAL'!K96,'COMPARACIÓN MENSUAL'!G98,0)</f>
        <v>0</v>
      </c>
      <c r="P19" s="124">
        <f>+IF('COMPARACIÓN MENSUAL'!G96+'COMPARACIÓN MENSUAL'!I96&gt;'COMPARACIÓN MENSUAL'!K96,'COMPARACIÓN MENSUAL'!K96-'COMPARACIÓN MENSUAL'!G96,0)</f>
        <v>0</v>
      </c>
      <c r="Q19" s="53">
        <f t="shared" si="1"/>
        <v>0</v>
      </c>
      <c r="R19" s="53">
        <f t="shared" si="0"/>
        <v>0</v>
      </c>
    </row>
    <row r="20" spans="2:18" x14ac:dyDescent="0.25">
      <c r="E20" s="89">
        <v>14</v>
      </c>
      <c r="F20" s="91">
        <f>+'LISTA TRABAJADORES'!F20</f>
        <v>0</v>
      </c>
      <c r="G20" s="91">
        <f>+'LISTA TRABAJADORES'!G20</f>
        <v>0</v>
      </c>
      <c r="H20" s="53">
        <f>IF('Datos y Resumen '!$E$60=1,'DATOS PARA AJUSTE'!H20+'ISR '!K21,0)</f>
        <v>0</v>
      </c>
      <c r="I20" s="53">
        <f>IFERROR(IF('Datos y Resumen '!$E$60=1,VLOOKUP(H20,'TARIFAS 2025'!$J$168:$L$178,3,1),0),0)</f>
        <v>0</v>
      </c>
      <c r="J20" s="53">
        <f>+IF('COMPARACIÓN MENSUAL'!T96&gt;'COMPARACIÓN MENSUAL'!P96,'COMPARACIÓN MENSUAL'!T96-'COMPARACIÓN MENSUAL'!P96,0)</f>
        <v>0</v>
      </c>
      <c r="K20" s="53">
        <f>+IFERROR(IF(IF(J20+'DATOS PARA AJUSTE'!J20&lt;'AJUSTE AL SUBSIDIO '!I20,'AJUSTE AL SUBSIDIO '!J20,'AJUSTE AL SUBSIDIO '!I20-'DATOS PARA AJUSTE'!J20)&lt;0,0,IF(J20+'DATOS PARA AJUSTE'!J20&lt;'AJUSTE AL SUBSIDIO '!I20,'AJUSTE AL SUBSIDIO '!J20,'AJUSTE AL SUBSIDIO '!I20-'DATOS PARA AJUSTE'!J20)),0)</f>
        <v>0</v>
      </c>
      <c r="L20" s="53">
        <f>IF('Datos y Resumen '!$E$60=1,'ISR '!T21,0)</f>
        <v>0</v>
      </c>
      <c r="N20" s="124">
        <f>+IF('COMPARACIÓN MENSUAL'!P96+'COMPARACIÓN MENSUAL'!R96&gt;'COMPARACIÓN MENSUAL'!T96,IF('COMPARACIÓN MENSUAL'!P96&gt;'COMPARACIÓN MENSUAL'!P95,'COMPARACIÓN MENSUAL'!P95,'COMPARACIÓN MENSUAL'!P96),0)</f>
        <v>0</v>
      </c>
      <c r="O20" s="124">
        <f>+IF('COMPARACIÓN MENSUAL'!P96+'COMPARACIÓN MENSUAL'!R96&gt;'COMPARACIÓN MENSUAL'!T96,'COMPARACIÓN MENSUAL'!P98,0)</f>
        <v>0</v>
      </c>
      <c r="P20" s="124">
        <f>+IF('COMPARACIÓN MENSUAL'!P96+'COMPARACIÓN MENSUAL'!R96&gt;'COMPARACIÓN MENSUAL'!T96,'COMPARACIÓN MENSUAL'!T96-'COMPARACIÓN MENSUAL'!P96,0)</f>
        <v>0</v>
      </c>
      <c r="Q20" s="53">
        <f t="shared" si="1"/>
        <v>0</v>
      </c>
      <c r="R20" s="53">
        <f t="shared" si="0"/>
        <v>0</v>
      </c>
    </row>
    <row r="21" spans="2:18" x14ac:dyDescent="0.25">
      <c r="E21" s="89">
        <v>15</v>
      </c>
      <c r="F21" s="91">
        <f>+'LISTA TRABAJADORES'!F21</f>
        <v>0</v>
      </c>
      <c r="G21" s="91">
        <f>+'LISTA TRABAJADORES'!G21</f>
        <v>0</v>
      </c>
      <c r="H21" s="53">
        <f>IF('Datos y Resumen '!$E$60=1,'DATOS PARA AJUSTE'!H21+'ISR '!K22,0)</f>
        <v>0</v>
      </c>
      <c r="I21" s="53">
        <f>IFERROR(IF('Datos y Resumen '!$E$60=1,VLOOKUP(H21,'TARIFAS 2025'!$J$168:$L$178,3,1),0),0)</f>
        <v>0</v>
      </c>
      <c r="J21" s="53">
        <f>+IF('COMPARACIÓN MENSUAL'!K110&gt;'COMPARACIÓN MENSUAL'!G110,'COMPARACIÓN MENSUAL'!K110-'COMPARACIÓN MENSUAL'!G110,0)</f>
        <v>0</v>
      </c>
      <c r="K21" s="53">
        <f>+IFERROR(IF(IF(J21+'DATOS PARA AJUSTE'!J21&lt;'AJUSTE AL SUBSIDIO '!I21,'AJUSTE AL SUBSIDIO '!J21,'AJUSTE AL SUBSIDIO '!I21-'DATOS PARA AJUSTE'!J21)&lt;0,0,IF(J21+'DATOS PARA AJUSTE'!J21&lt;'AJUSTE AL SUBSIDIO '!I21,'AJUSTE AL SUBSIDIO '!J21,'AJUSTE AL SUBSIDIO '!I21-'DATOS PARA AJUSTE'!J21)),0)</f>
        <v>0</v>
      </c>
      <c r="L21" s="53">
        <f>IF('Datos y Resumen '!$E$60=1,'ISR '!T22,0)</f>
        <v>0</v>
      </c>
      <c r="N21" s="124">
        <f>+IF('COMPARACIÓN MENSUAL'!G110+'COMPARACIÓN MENSUAL'!I110&gt;'COMPARACIÓN MENSUAL'!K110,IF('COMPARACIÓN MENSUAL'!G110&gt;'COMPARACIÓN MENSUAL'!G109,'COMPARACIÓN MENSUAL'!G109,'COMPARACIÓN MENSUAL'!G110),0)</f>
        <v>0</v>
      </c>
      <c r="O21" s="124">
        <f>+IF('COMPARACIÓN MENSUAL'!G110+'COMPARACIÓN MENSUAL'!I110&gt;'COMPARACIÓN MENSUAL'!K110,'COMPARACIÓN MENSUAL'!G112,0)</f>
        <v>0</v>
      </c>
      <c r="P21" s="124">
        <f>+IF('COMPARACIÓN MENSUAL'!G110+'COMPARACIÓN MENSUAL'!I110&gt;'COMPARACIÓN MENSUAL'!K110,'COMPARACIÓN MENSUAL'!K110-'COMPARACIÓN MENSUAL'!G110,0)</f>
        <v>0</v>
      </c>
      <c r="Q21" s="53">
        <f t="shared" si="1"/>
        <v>0</v>
      </c>
      <c r="R21" s="53">
        <f t="shared" si="0"/>
        <v>0</v>
      </c>
    </row>
    <row r="22" spans="2:18" x14ac:dyDescent="0.25">
      <c r="E22" s="89">
        <v>16</v>
      </c>
      <c r="F22" s="91">
        <f>+'LISTA TRABAJADORES'!F22</f>
        <v>0</v>
      </c>
      <c r="G22" s="91">
        <f>+'LISTA TRABAJADORES'!G22</f>
        <v>0</v>
      </c>
      <c r="H22" s="53">
        <f>IF('Datos y Resumen '!$E$60=1,'DATOS PARA AJUSTE'!H22+'ISR '!K23,0)</f>
        <v>0</v>
      </c>
      <c r="I22" s="53">
        <f>IFERROR(IF('Datos y Resumen '!$E$60=1,VLOOKUP(H22,'TARIFAS 2025'!$J$168:$L$178,3,1),0),0)</f>
        <v>0</v>
      </c>
      <c r="J22" s="53">
        <f>+IF('COMPARACIÓN MENSUAL'!T110&gt;'COMPARACIÓN MENSUAL'!P110,'COMPARACIÓN MENSUAL'!T110-'COMPARACIÓN MENSUAL'!P110,0)</f>
        <v>0</v>
      </c>
      <c r="K22" s="53">
        <f>+IFERROR(IF(IF(J22+'DATOS PARA AJUSTE'!J22&lt;'AJUSTE AL SUBSIDIO '!I22,'AJUSTE AL SUBSIDIO '!J22,'AJUSTE AL SUBSIDIO '!I22-'DATOS PARA AJUSTE'!J22)&lt;0,0,IF(J22+'DATOS PARA AJUSTE'!J22&lt;'AJUSTE AL SUBSIDIO '!I22,'AJUSTE AL SUBSIDIO '!J22,'AJUSTE AL SUBSIDIO '!I22-'DATOS PARA AJUSTE'!J22)),0)</f>
        <v>0</v>
      </c>
      <c r="L22" s="53">
        <f>IF('Datos y Resumen '!$E$60=1,'ISR '!T23,0)</f>
        <v>0</v>
      </c>
      <c r="N22" s="124">
        <f>+IF('COMPARACIÓN MENSUAL'!P110+'COMPARACIÓN MENSUAL'!R110&gt;'COMPARACIÓN MENSUAL'!T110,IF('COMPARACIÓN MENSUAL'!P110&gt;'COMPARACIÓN MENSUAL'!P109,'COMPARACIÓN MENSUAL'!P109,'COMPARACIÓN MENSUAL'!P110),0)</f>
        <v>0</v>
      </c>
      <c r="O22" s="124">
        <f>+IF('COMPARACIÓN MENSUAL'!P110+'COMPARACIÓN MENSUAL'!R110&gt;'COMPARACIÓN MENSUAL'!T110,'COMPARACIÓN MENSUAL'!P112,0)</f>
        <v>0</v>
      </c>
      <c r="P22" s="124">
        <f>+IF('COMPARACIÓN MENSUAL'!P110+'COMPARACIÓN MENSUAL'!R110&gt;'COMPARACIÓN MENSUAL'!T110,'COMPARACIÓN MENSUAL'!T110-'COMPARACIÓN MENSUAL'!P110,0)</f>
        <v>0</v>
      </c>
      <c r="Q22" s="53">
        <f t="shared" si="1"/>
        <v>0</v>
      </c>
      <c r="R22" s="53">
        <f t="shared" si="0"/>
        <v>0</v>
      </c>
    </row>
    <row r="23" spans="2:18" x14ac:dyDescent="0.25">
      <c r="E23" s="89">
        <v>17</v>
      </c>
      <c r="F23" s="91">
        <f>+'LISTA TRABAJADORES'!F23</f>
        <v>0</v>
      </c>
      <c r="G23" s="91">
        <f>+'LISTA TRABAJADORES'!G23</f>
        <v>0</v>
      </c>
      <c r="H23" s="53">
        <f>IF('Datos y Resumen '!$E$60=1,'DATOS PARA AJUSTE'!H23+'ISR '!K24,0)</f>
        <v>0</v>
      </c>
      <c r="I23" s="53">
        <f>IFERROR(IF('Datos y Resumen '!$E$60=1,VLOOKUP(H23,'TARIFAS 2025'!$J$168:$L$178,3,1),0),0)</f>
        <v>0</v>
      </c>
      <c r="J23" s="53">
        <f>+IF('COMPARACIÓN MENSUAL'!K124&gt;'COMPARACIÓN MENSUAL'!G124,'COMPARACIÓN MENSUAL'!K124-'COMPARACIÓN MENSUAL'!G124,0)</f>
        <v>0</v>
      </c>
      <c r="K23" s="53">
        <f>+IFERROR(IF(IF(J23+'DATOS PARA AJUSTE'!J23&lt;'AJUSTE AL SUBSIDIO '!I23,'AJUSTE AL SUBSIDIO '!J23,'AJUSTE AL SUBSIDIO '!I23-'DATOS PARA AJUSTE'!J23)&lt;0,0,IF(J23+'DATOS PARA AJUSTE'!J23&lt;'AJUSTE AL SUBSIDIO '!I23,'AJUSTE AL SUBSIDIO '!J23,'AJUSTE AL SUBSIDIO '!I23-'DATOS PARA AJUSTE'!J23)),0)</f>
        <v>0</v>
      </c>
      <c r="L23" s="53">
        <f>IF('Datos y Resumen '!$E$60=1,'ISR '!T24,0)</f>
        <v>0</v>
      </c>
      <c r="N23" s="124">
        <f>+IF('COMPARACIÓN MENSUAL'!G124+'COMPARACIÓN MENSUAL'!I124&gt;'COMPARACIÓN MENSUAL'!K124,IF('COMPARACIÓN MENSUAL'!G124&gt;'COMPARACIÓN MENSUAL'!G123,'COMPARACIÓN MENSUAL'!G123,'COMPARACIÓN MENSUAL'!G124),0)</f>
        <v>0</v>
      </c>
      <c r="O23" s="124">
        <f>+IF('COMPARACIÓN MENSUAL'!G124+'COMPARACIÓN MENSUAL'!I124&gt;'COMPARACIÓN MENSUAL'!K124,'COMPARACIÓN MENSUAL'!G126,0)</f>
        <v>0</v>
      </c>
      <c r="P23" s="124">
        <f>+IF('COMPARACIÓN MENSUAL'!G124+'COMPARACIÓN MENSUAL'!I124&gt;'COMPARACIÓN MENSUAL'!K124,'COMPARACIÓN MENSUAL'!K124-'COMPARACIÓN MENSUAL'!G124,0)</f>
        <v>0</v>
      </c>
      <c r="Q23" s="53">
        <f t="shared" si="1"/>
        <v>0</v>
      </c>
      <c r="R23" s="53">
        <f t="shared" si="0"/>
        <v>0</v>
      </c>
    </row>
    <row r="24" spans="2:18" x14ac:dyDescent="0.25">
      <c r="E24" s="89">
        <v>18</v>
      </c>
      <c r="F24" s="91">
        <f>+'LISTA TRABAJADORES'!F24</f>
        <v>0</v>
      </c>
      <c r="G24" s="91">
        <f>+'LISTA TRABAJADORES'!G24</f>
        <v>0</v>
      </c>
      <c r="H24" s="53">
        <f>IF('Datos y Resumen '!$E$60=1,'DATOS PARA AJUSTE'!H24+'ISR '!K25,0)</f>
        <v>0</v>
      </c>
      <c r="I24" s="53">
        <f>IFERROR(IF('Datos y Resumen '!$E$60=1,VLOOKUP(H24,'TARIFAS 2025'!$J$168:$L$178,3,1),0),0)</f>
        <v>0</v>
      </c>
      <c r="J24" s="53">
        <f>+IF('COMPARACIÓN MENSUAL'!T124&gt;'COMPARACIÓN MENSUAL'!P124,'COMPARACIÓN MENSUAL'!T124-'COMPARACIÓN MENSUAL'!P124,0)</f>
        <v>0</v>
      </c>
      <c r="K24" s="53">
        <f>+IFERROR(IF(IF(J24+'DATOS PARA AJUSTE'!J24&lt;'AJUSTE AL SUBSIDIO '!I24,'AJUSTE AL SUBSIDIO '!J24,'AJUSTE AL SUBSIDIO '!I24-'DATOS PARA AJUSTE'!J24)&lt;0,0,IF(J24+'DATOS PARA AJUSTE'!J24&lt;'AJUSTE AL SUBSIDIO '!I24,'AJUSTE AL SUBSIDIO '!J24,'AJUSTE AL SUBSIDIO '!I24-'DATOS PARA AJUSTE'!J24)),0)</f>
        <v>0</v>
      </c>
      <c r="L24" s="53">
        <f>IF('Datos y Resumen '!$E$60=1,'ISR '!T25,0)</f>
        <v>0</v>
      </c>
      <c r="N24" s="124">
        <f>+IF('COMPARACIÓN MENSUAL'!P124+'COMPARACIÓN MENSUAL'!R124&gt;'COMPARACIÓN MENSUAL'!T124,IF('COMPARACIÓN MENSUAL'!P124&gt;'COMPARACIÓN MENSUAL'!P123,'COMPARACIÓN MENSUAL'!P123,'COMPARACIÓN MENSUAL'!P124),0)</f>
        <v>0</v>
      </c>
      <c r="O24" s="124">
        <f>+IF('COMPARACIÓN MENSUAL'!P124+'COMPARACIÓN MENSUAL'!R124&gt;'COMPARACIÓN MENSUAL'!T124,'COMPARACIÓN MENSUAL'!P126,0)</f>
        <v>0</v>
      </c>
      <c r="P24" s="124">
        <f>+IF('COMPARACIÓN MENSUAL'!P124+'COMPARACIÓN MENSUAL'!R124&gt;'COMPARACIÓN MENSUAL'!T124,'COMPARACIÓN MENSUAL'!T124-'COMPARACIÓN MENSUAL'!P124,0)</f>
        <v>0</v>
      </c>
      <c r="Q24" s="53">
        <f t="shared" si="1"/>
        <v>0</v>
      </c>
      <c r="R24" s="53">
        <f t="shared" si="0"/>
        <v>0</v>
      </c>
    </row>
    <row r="25" spans="2:18" x14ac:dyDescent="0.25">
      <c r="E25" s="89">
        <v>19</v>
      </c>
      <c r="F25" s="91">
        <f>+'LISTA TRABAJADORES'!F25</f>
        <v>0</v>
      </c>
      <c r="G25" s="91">
        <f>+'LISTA TRABAJADORES'!G25</f>
        <v>0</v>
      </c>
      <c r="H25" s="53">
        <f>IF('Datos y Resumen '!$E$60=1,'DATOS PARA AJUSTE'!H25+'ISR '!K26,0)</f>
        <v>0</v>
      </c>
      <c r="I25" s="53">
        <f>IFERROR(IF('Datos y Resumen '!$E$60=1,VLOOKUP(H25,'TARIFAS 2025'!$J$168:$L$178,3,1),0),0)</f>
        <v>0</v>
      </c>
      <c r="J25" s="53">
        <f>+IF('COMPARACIÓN MENSUAL'!K138&gt;'COMPARACIÓN MENSUAL'!G138,'COMPARACIÓN MENSUAL'!K138-'COMPARACIÓN MENSUAL'!G138,0)</f>
        <v>0</v>
      </c>
      <c r="K25" s="53">
        <f>+IFERROR(IF(IF(J25+'DATOS PARA AJUSTE'!J25&lt;'AJUSTE AL SUBSIDIO '!I25,'AJUSTE AL SUBSIDIO '!J25,'AJUSTE AL SUBSIDIO '!I25-'DATOS PARA AJUSTE'!J25)&lt;0,0,IF(J25+'DATOS PARA AJUSTE'!J25&lt;'AJUSTE AL SUBSIDIO '!I25,'AJUSTE AL SUBSIDIO '!J25,'AJUSTE AL SUBSIDIO '!I25-'DATOS PARA AJUSTE'!J25)),0)</f>
        <v>0</v>
      </c>
      <c r="L25" s="53">
        <f>IF('Datos y Resumen '!$E$60=1,'ISR '!T26,0)</f>
        <v>0</v>
      </c>
      <c r="N25" s="124">
        <f>+IF('COMPARACIÓN MENSUAL'!G138+'COMPARACIÓN MENSUAL'!I138&gt;'COMPARACIÓN MENSUAL'!K138,IF('COMPARACIÓN MENSUAL'!G138&gt;'COMPARACIÓN MENSUAL'!G137,'COMPARACIÓN MENSUAL'!G137,'COMPARACIÓN MENSUAL'!G138),0)</f>
        <v>0</v>
      </c>
      <c r="O25" s="124">
        <f>+IF('COMPARACIÓN MENSUAL'!G138+'COMPARACIÓN MENSUAL'!I138&gt;'COMPARACIÓN MENSUAL'!K138,'COMPARACIÓN MENSUAL'!G140,0)</f>
        <v>0</v>
      </c>
      <c r="P25" s="124">
        <f>+IF('COMPARACIÓN MENSUAL'!G138+'COMPARACIÓN MENSUAL'!I138&gt;'COMPARACIÓN MENSUAL'!K138,'COMPARACIÓN MENSUAL'!K138-'COMPARACIÓN MENSUAL'!G138,0)</f>
        <v>0</v>
      </c>
      <c r="Q25" s="53">
        <f t="shared" si="1"/>
        <v>0</v>
      </c>
      <c r="R25" s="53">
        <f t="shared" si="0"/>
        <v>0</v>
      </c>
    </row>
    <row r="26" spans="2:18" x14ac:dyDescent="0.25">
      <c r="E26" s="89">
        <v>20</v>
      </c>
      <c r="F26" s="91">
        <f>+'LISTA TRABAJADORES'!F26</f>
        <v>0</v>
      </c>
      <c r="G26" s="91">
        <f>+'LISTA TRABAJADORES'!G26</f>
        <v>0</v>
      </c>
      <c r="H26" s="53">
        <f>IF('Datos y Resumen '!$E$60=1,'DATOS PARA AJUSTE'!H26+'ISR '!K27,0)</f>
        <v>0</v>
      </c>
      <c r="I26" s="53">
        <f>IFERROR(IF('Datos y Resumen '!$E$60=1,VLOOKUP(H26,'TARIFAS 2025'!$J$168:$L$178,3,1),0),0)</f>
        <v>0</v>
      </c>
      <c r="J26" s="53">
        <f>+IF('COMPARACIÓN MENSUAL'!T138&gt;'COMPARACIÓN MENSUAL'!P138,'COMPARACIÓN MENSUAL'!T138-'COMPARACIÓN MENSUAL'!P138,0)</f>
        <v>0</v>
      </c>
      <c r="K26" s="53">
        <f>+IFERROR(IF(IF(J26+'DATOS PARA AJUSTE'!J26&lt;'AJUSTE AL SUBSIDIO '!I26,'AJUSTE AL SUBSIDIO '!J26,'AJUSTE AL SUBSIDIO '!I26-'DATOS PARA AJUSTE'!J26)&lt;0,0,IF(J26+'DATOS PARA AJUSTE'!J26&lt;'AJUSTE AL SUBSIDIO '!I26,'AJUSTE AL SUBSIDIO '!J26,'AJUSTE AL SUBSIDIO '!I26-'DATOS PARA AJUSTE'!J26)),0)</f>
        <v>0</v>
      </c>
      <c r="L26" s="53">
        <f>IF('Datos y Resumen '!$E$60=1,'ISR '!T27,0)</f>
        <v>0</v>
      </c>
      <c r="N26" s="124">
        <f>+IF('COMPARACIÓN MENSUAL'!P138+'COMPARACIÓN MENSUAL'!R138&gt;'COMPARACIÓN MENSUAL'!T138,IF('COMPARACIÓN MENSUAL'!P138&gt;'COMPARACIÓN MENSUAL'!P137,'COMPARACIÓN MENSUAL'!P137,'COMPARACIÓN MENSUAL'!P138),0)</f>
        <v>0</v>
      </c>
      <c r="O26" s="124">
        <f>+IF('COMPARACIÓN MENSUAL'!P138+'COMPARACIÓN MENSUAL'!R138&gt;'COMPARACIÓN MENSUAL'!T138,'COMPARACIÓN MENSUAL'!P140,0)</f>
        <v>0</v>
      </c>
      <c r="P26" s="124">
        <f>+IF('COMPARACIÓN MENSUAL'!P138+'COMPARACIÓN MENSUAL'!R138&gt;'COMPARACIÓN MENSUAL'!T138,'COMPARACIÓN MENSUAL'!T138-'COMPARACIÓN MENSUAL'!P138,0)</f>
        <v>0</v>
      </c>
      <c r="Q26" s="53">
        <f t="shared" si="1"/>
        <v>0</v>
      </c>
      <c r="R26" s="53">
        <f t="shared" si="0"/>
        <v>0</v>
      </c>
    </row>
    <row r="27" spans="2:18" x14ac:dyDescent="0.25">
      <c r="E27" s="89">
        <v>21</v>
      </c>
      <c r="F27" s="91">
        <f>+'LISTA TRABAJADORES'!F27</f>
        <v>0</v>
      </c>
      <c r="G27" s="91">
        <f>+'LISTA TRABAJADORES'!G27</f>
        <v>0</v>
      </c>
      <c r="H27" s="53">
        <f>IF('Datos y Resumen '!$E$60=1,'DATOS PARA AJUSTE'!H27+'ISR '!K28,0)</f>
        <v>0</v>
      </c>
      <c r="I27" s="53">
        <f>IFERROR(IF('Datos y Resumen '!$E$60=1,VLOOKUP(H27,'TARIFAS 2025'!$J$168:$L$178,3,1),0),0)</f>
        <v>0</v>
      </c>
      <c r="J27" s="53">
        <f>+IF('COMPARACIÓN MENSUAL'!K152&gt;'COMPARACIÓN MENSUAL'!G152,'COMPARACIÓN MENSUAL'!K152-'COMPARACIÓN MENSUAL'!G152,0)</f>
        <v>0</v>
      </c>
      <c r="K27" s="53">
        <f>+IFERROR(IF(IF(J27+'DATOS PARA AJUSTE'!J27&lt;'AJUSTE AL SUBSIDIO '!I27,'AJUSTE AL SUBSIDIO '!J27,'AJUSTE AL SUBSIDIO '!I27-'DATOS PARA AJUSTE'!J27)&lt;0,0,IF(J27+'DATOS PARA AJUSTE'!J27&lt;'AJUSTE AL SUBSIDIO '!I27,'AJUSTE AL SUBSIDIO '!J27,'AJUSTE AL SUBSIDIO '!I27-'DATOS PARA AJUSTE'!J27)),0)</f>
        <v>0</v>
      </c>
      <c r="L27" s="53">
        <f>IF('Datos y Resumen '!$E$60=1,'ISR '!T28,0)</f>
        <v>0</v>
      </c>
      <c r="N27" s="124">
        <f>+IF('COMPARACIÓN MENSUAL'!G152+'COMPARACIÓN MENSUAL'!I152&gt;'COMPARACIÓN MENSUAL'!K152,IF('COMPARACIÓN MENSUAL'!G152&gt;'COMPARACIÓN MENSUAL'!G151,'COMPARACIÓN MENSUAL'!G151,'COMPARACIÓN MENSUAL'!G152),0)</f>
        <v>0</v>
      </c>
      <c r="O27" s="124">
        <f>+IF('COMPARACIÓN MENSUAL'!G152+'COMPARACIÓN MENSUAL'!I152&gt;'COMPARACIÓN MENSUAL'!K152,'COMPARACIÓN MENSUAL'!G154,0)</f>
        <v>0</v>
      </c>
      <c r="P27" s="124">
        <f>+IF('COMPARACIÓN MENSUAL'!G152+'COMPARACIÓN MENSUAL'!I152&gt;'COMPARACIÓN MENSUAL'!K152,'COMPARACIÓN MENSUAL'!K152-'COMPARACIÓN MENSUAL'!G152,0)</f>
        <v>0</v>
      </c>
      <c r="Q27" s="53">
        <f t="shared" si="1"/>
        <v>0</v>
      </c>
      <c r="R27" s="53">
        <f t="shared" si="0"/>
        <v>0</v>
      </c>
    </row>
    <row r="28" spans="2:18" x14ac:dyDescent="0.25">
      <c r="E28" s="89">
        <v>22</v>
      </c>
      <c r="F28" s="91">
        <f>+'LISTA TRABAJADORES'!F28</f>
        <v>0</v>
      </c>
      <c r="G28" s="91">
        <f>+'LISTA TRABAJADORES'!G28</f>
        <v>0</v>
      </c>
      <c r="H28" s="53">
        <f>IF('Datos y Resumen '!$E$60=1,'DATOS PARA AJUSTE'!H28+'ISR '!K29,0)</f>
        <v>0</v>
      </c>
      <c r="I28" s="53">
        <f>IFERROR(IF('Datos y Resumen '!$E$60=1,VLOOKUP(H28,'TARIFAS 2025'!$J$168:$L$178,3,1),0),0)</f>
        <v>0</v>
      </c>
      <c r="J28" s="53">
        <f>+IF('COMPARACIÓN MENSUAL'!T152&gt;'COMPARACIÓN MENSUAL'!P152,'COMPARACIÓN MENSUAL'!T152-'COMPARACIÓN MENSUAL'!P152,0)</f>
        <v>0</v>
      </c>
      <c r="K28" s="53">
        <f>+IFERROR(IF(IF(J28+'DATOS PARA AJUSTE'!J28&lt;'AJUSTE AL SUBSIDIO '!I28,'AJUSTE AL SUBSIDIO '!J28,'AJUSTE AL SUBSIDIO '!I28-'DATOS PARA AJUSTE'!J28)&lt;0,0,IF(J28+'DATOS PARA AJUSTE'!J28&lt;'AJUSTE AL SUBSIDIO '!I28,'AJUSTE AL SUBSIDIO '!J28,'AJUSTE AL SUBSIDIO '!I28-'DATOS PARA AJUSTE'!J28)),0)</f>
        <v>0</v>
      </c>
      <c r="L28" s="53">
        <f>IF('Datos y Resumen '!$E$60=1,'ISR '!T29,0)</f>
        <v>0</v>
      </c>
      <c r="N28" s="124">
        <f>+IF('COMPARACIÓN MENSUAL'!P152+'COMPARACIÓN MENSUAL'!R152&gt;'COMPARACIÓN MENSUAL'!T152,IF('COMPARACIÓN MENSUAL'!P152&gt;'COMPARACIÓN MENSUAL'!P151,'COMPARACIÓN MENSUAL'!P151,'COMPARACIÓN MENSUAL'!P152),0)</f>
        <v>0</v>
      </c>
      <c r="O28" s="124">
        <f>+IF('COMPARACIÓN MENSUAL'!P152+'COMPARACIÓN MENSUAL'!Q152&gt;'COMPARACIÓN MENSUAL'!T152,'COMPARACIÓN MENSUAL'!P154,0)</f>
        <v>0</v>
      </c>
      <c r="P28" s="124">
        <f>+IF('COMPARACIÓN MENSUAL'!P152+'COMPARACIÓN MENSUAL'!R152&gt;'COMPARACIÓN MENSUAL'!T152,'COMPARACIÓN MENSUAL'!T152-'COMPARACIÓN MENSUAL'!P152,0)</f>
        <v>0</v>
      </c>
      <c r="Q28" s="53">
        <f t="shared" si="1"/>
        <v>0</v>
      </c>
      <c r="R28" s="53">
        <f t="shared" si="0"/>
        <v>0</v>
      </c>
    </row>
    <row r="29" spans="2:18" x14ac:dyDescent="0.25">
      <c r="E29" s="89">
        <v>23</v>
      </c>
      <c r="F29" s="91">
        <f>+'LISTA TRABAJADORES'!F29</f>
        <v>0</v>
      </c>
      <c r="G29" s="91">
        <f>+'LISTA TRABAJADORES'!G29</f>
        <v>0</v>
      </c>
      <c r="H29" s="53">
        <f>IF('Datos y Resumen '!$E$60=1,'DATOS PARA AJUSTE'!H29+'ISR '!K30,0)</f>
        <v>0</v>
      </c>
      <c r="I29" s="53">
        <f>IFERROR(IF('Datos y Resumen '!$E$60=1,VLOOKUP(H29,'TARIFAS 2025'!$J$168:$L$178,3,1),0),0)</f>
        <v>0</v>
      </c>
      <c r="J29" s="53">
        <f>+IF('COMPARACIÓN MENSUAL'!K166&gt;'COMPARACIÓN MENSUAL'!G166,'COMPARACIÓN MENSUAL'!K166-'COMPARACIÓN MENSUAL'!G166,0)</f>
        <v>0</v>
      </c>
      <c r="K29" s="53">
        <f>+IFERROR(IF(IF(J29+'DATOS PARA AJUSTE'!J29&lt;'AJUSTE AL SUBSIDIO '!I29,'AJUSTE AL SUBSIDIO '!J29,'AJUSTE AL SUBSIDIO '!I29-'DATOS PARA AJUSTE'!J29)&lt;0,0,IF(J29+'DATOS PARA AJUSTE'!J29&lt;'AJUSTE AL SUBSIDIO '!I29,'AJUSTE AL SUBSIDIO '!J29,'AJUSTE AL SUBSIDIO '!I29-'DATOS PARA AJUSTE'!J29)),0)</f>
        <v>0</v>
      </c>
      <c r="L29" s="53">
        <f>IF('Datos y Resumen '!$E$60=1,'ISR '!T30,0)</f>
        <v>0</v>
      </c>
      <c r="N29" s="124">
        <f>+IF('COMPARACIÓN MENSUAL'!G166+'COMPARACIÓN MENSUAL'!I166&gt;'COMPARACIÓN MENSUAL'!K166,IF('COMPARACIÓN MENSUAL'!G166&gt;'COMPARACIÓN MENSUAL'!G165,'COMPARACIÓN MENSUAL'!G165,'COMPARACIÓN MENSUAL'!G166),0)</f>
        <v>0</v>
      </c>
      <c r="O29" s="124">
        <f>+IF('COMPARACIÓN MENSUAL'!G166+'COMPARACIÓN MENSUAL'!I166&gt;'COMPARACIÓN MENSUAL'!K166,'COMPARACIÓN MENSUAL'!G168,0)</f>
        <v>0</v>
      </c>
      <c r="P29" s="124">
        <f>+IF('COMPARACIÓN MENSUAL'!G166+'COMPARACIÓN MENSUAL'!I166&gt;'COMPARACIÓN MENSUAL'!K166,'COMPARACIÓN MENSUAL'!K166-'COMPARACIÓN MENSUAL'!G166,0)</f>
        <v>0</v>
      </c>
      <c r="Q29" s="53">
        <f t="shared" si="1"/>
        <v>0</v>
      </c>
      <c r="R29" s="53">
        <f t="shared" si="0"/>
        <v>0</v>
      </c>
    </row>
    <row r="30" spans="2:18" x14ac:dyDescent="0.25">
      <c r="E30" s="89">
        <v>24</v>
      </c>
      <c r="F30" s="91">
        <f>+'LISTA TRABAJADORES'!F30</f>
        <v>0</v>
      </c>
      <c r="G30" s="91">
        <f>+'LISTA TRABAJADORES'!G30</f>
        <v>0</v>
      </c>
      <c r="H30" s="53">
        <f>IF('Datos y Resumen '!$E$60=1,'DATOS PARA AJUSTE'!H30+'ISR '!K31,0)</f>
        <v>0</v>
      </c>
      <c r="I30" s="53">
        <f>IFERROR(IF('Datos y Resumen '!$E$60=1,VLOOKUP(H30,'TARIFAS 2025'!$J$168:$L$178,3,1),0),0)</f>
        <v>0</v>
      </c>
      <c r="J30" s="53">
        <f>+IF('COMPARACIÓN MENSUAL'!T166&gt;'COMPARACIÓN MENSUAL'!P166,'COMPARACIÓN MENSUAL'!T166-'COMPARACIÓN MENSUAL'!P166,0)</f>
        <v>0</v>
      </c>
      <c r="K30" s="53">
        <f>+IFERROR(IF(IF(J30+'DATOS PARA AJUSTE'!J30&lt;'AJUSTE AL SUBSIDIO '!I30,'AJUSTE AL SUBSIDIO '!J30,'AJUSTE AL SUBSIDIO '!I30-'DATOS PARA AJUSTE'!J30)&lt;0,0,IF(J30+'DATOS PARA AJUSTE'!J30&lt;'AJUSTE AL SUBSIDIO '!I30,'AJUSTE AL SUBSIDIO '!J30,'AJUSTE AL SUBSIDIO '!I30-'DATOS PARA AJUSTE'!J30)),0)</f>
        <v>0</v>
      </c>
      <c r="L30" s="53">
        <f>IF('Datos y Resumen '!$E$60=1,'ISR '!T31,0)</f>
        <v>0</v>
      </c>
      <c r="N30" s="124">
        <f>+IF('COMPARACIÓN MENSUAL'!P166+'COMPARACIÓN MENSUAL'!R166&gt;'COMPARACIÓN MENSUAL'!T166,IF('COMPARACIÓN MENSUAL'!P166&gt;'COMPARACIÓN MENSUAL'!P165,'COMPARACIÓN MENSUAL'!P165,'COMPARACIÓN MENSUAL'!P166),0)</f>
        <v>0</v>
      </c>
      <c r="O30" s="124">
        <f>+IF('COMPARACIÓN MENSUAL'!P166+'COMPARACIÓN MENSUAL'!R166&gt;'COMPARACIÓN MENSUAL'!T166,'COMPARACIÓN MENSUAL'!P168,0)</f>
        <v>0</v>
      </c>
      <c r="P30" s="124">
        <f>+IF('COMPARACIÓN MENSUAL'!P166+'COMPARACIÓN MENSUAL'!R166&gt;'COMPARACIÓN MENSUAL'!T166,'COMPARACIÓN MENSUAL'!T166-'COMPARACIÓN MENSUAL'!P166,0)</f>
        <v>0</v>
      </c>
      <c r="Q30" s="53">
        <f t="shared" si="1"/>
        <v>0</v>
      </c>
      <c r="R30" s="53">
        <f t="shared" si="0"/>
        <v>0</v>
      </c>
    </row>
    <row r="31" spans="2:18" x14ac:dyDescent="0.25">
      <c r="E31" s="89">
        <v>25</v>
      </c>
      <c r="F31" s="91">
        <f>+'LISTA TRABAJADORES'!F31</f>
        <v>0</v>
      </c>
      <c r="G31" s="91">
        <f>+'LISTA TRABAJADORES'!G31</f>
        <v>0</v>
      </c>
      <c r="H31" s="53">
        <f>IF('Datos y Resumen '!$E$60=1,'DATOS PARA AJUSTE'!H31+'ISR '!K32,0)</f>
        <v>0</v>
      </c>
      <c r="I31" s="53">
        <f>IFERROR(IF('Datos y Resumen '!$E$60=1,VLOOKUP(H31,'TARIFAS 2025'!$J$168:$L$178,3,1),0),0)</f>
        <v>0</v>
      </c>
      <c r="J31" s="53">
        <f>+IF('COMPARACIÓN MENSUAL'!K180&gt;'COMPARACIÓN MENSUAL'!G180,'COMPARACIÓN MENSUAL'!K180-'COMPARACIÓN MENSUAL'!G180,0)</f>
        <v>0</v>
      </c>
      <c r="K31" s="53">
        <f>+IFERROR(IF(IF(J31+'DATOS PARA AJUSTE'!J31&lt;'AJUSTE AL SUBSIDIO '!I31,'AJUSTE AL SUBSIDIO '!J31,'AJUSTE AL SUBSIDIO '!I31-'DATOS PARA AJUSTE'!J31)&lt;0,0,IF(J31+'DATOS PARA AJUSTE'!J31&lt;'AJUSTE AL SUBSIDIO '!I31,'AJUSTE AL SUBSIDIO '!J31,'AJUSTE AL SUBSIDIO '!I31-'DATOS PARA AJUSTE'!J31)),0)</f>
        <v>0</v>
      </c>
      <c r="L31" s="53">
        <f>IF('Datos y Resumen '!$E$60=1,'ISR '!T32,0)</f>
        <v>0</v>
      </c>
      <c r="N31" s="124">
        <f>+IF('COMPARACIÓN MENSUAL'!G180+'COMPARACIÓN MENSUAL'!I180&gt;'COMPARACIÓN MENSUAL'!K180,IF('COMPARACIÓN MENSUAL'!G180&gt;'COMPARACIÓN MENSUAL'!G179,'COMPARACIÓN MENSUAL'!G179,'COMPARACIÓN MENSUAL'!G180),0)</f>
        <v>0</v>
      </c>
      <c r="O31" s="124">
        <f>+IF('COMPARACIÓN MENSUAL'!G180+'COMPARACIÓN MENSUAL'!I180&gt;'COMPARACIÓN MENSUAL'!K180,'COMPARACIÓN MENSUAL'!G182,0)</f>
        <v>0</v>
      </c>
      <c r="P31" s="124">
        <f>+IF('COMPARACIÓN MENSUAL'!G180+'COMPARACIÓN MENSUAL'!I180&gt;'COMPARACIÓN MENSUAL'!K180,'COMPARACIÓN MENSUAL'!K180-'COMPARACIÓN MENSUAL'!G180,0)</f>
        <v>0</v>
      </c>
      <c r="Q31" s="53">
        <f t="shared" si="1"/>
        <v>0</v>
      </c>
      <c r="R31" s="53">
        <f t="shared" si="0"/>
        <v>0</v>
      </c>
    </row>
    <row r="32" spans="2:18" x14ac:dyDescent="0.25">
      <c r="E32" s="89">
        <v>26</v>
      </c>
      <c r="F32" s="91">
        <f>+'LISTA TRABAJADORES'!F32</f>
        <v>0</v>
      </c>
      <c r="G32" s="91">
        <f>+'LISTA TRABAJADORES'!G32</f>
        <v>0</v>
      </c>
      <c r="H32" s="53">
        <f>IF('Datos y Resumen '!$E$60=1,'DATOS PARA AJUSTE'!H32+'ISR '!K33,0)</f>
        <v>0</v>
      </c>
      <c r="I32" s="53">
        <f>IFERROR(IF('Datos y Resumen '!$E$60=1,VLOOKUP(H32,'TARIFAS 2025'!$J$168:$L$178,3,1),0),0)</f>
        <v>0</v>
      </c>
      <c r="J32" s="53">
        <f>+IF('COMPARACIÓN MENSUAL'!T180&gt;'COMPARACIÓN MENSUAL'!P180,'COMPARACIÓN MENSUAL'!T180-'COMPARACIÓN MENSUAL'!P180,0)</f>
        <v>0</v>
      </c>
      <c r="K32" s="53">
        <f>+IFERROR(IF(IF(J32+'DATOS PARA AJUSTE'!J32&lt;'AJUSTE AL SUBSIDIO '!I32,'AJUSTE AL SUBSIDIO '!J32,'AJUSTE AL SUBSIDIO '!I32-'DATOS PARA AJUSTE'!J32)&lt;0,0,IF(J32+'DATOS PARA AJUSTE'!J32&lt;'AJUSTE AL SUBSIDIO '!I32,'AJUSTE AL SUBSIDIO '!J32,'AJUSTE AL SUBSIDIO '!I32-'DATOS PARA AJUSTE'!J32)),0)</f>
        <v>0</v>
      </c>
      <c r="L32" s="53">
        <f>IF('Datos y Resumen '!$E$60=1,'ISR '!T33,0)</f>
        <v>0</v>
      </c>
      <c r="N32" s="124">
        <f>+IF('COMPARACIÓN MENSUAL'!P180+'COMPARACIÓN MENSUAL'!R180&gt;'COMPARACIÓN MENSUAL'!T180,IF('COMPARACIÓN MENSUAL'!P180&gt;'COMPARACIÓN MENSUAL'!P179,'COMPARACIÓN MENSUAL'!P179,'COMPARACIÓN MENSUAL'!P180),0)</f>
        <v>0</v>
      </c>
      <c r="O32" s="124">
        <f>+IF('COMPARACIÓN MENSUAL'!P180+'COMPARACIÓN MENSUAL'!R180&gt;'COMPARACIÓN MENSUAL'!T180,'COMPARACIÓN MENSUAL'!P182,0)</f>
        <v>0</v>
      </c>
      <c r="P32" s="124">
        <f>+IF('COMPARACIÓN MENSUAL'!P180+'COMPARACIÓN MENSUAL'!R180&gt;'COMPARACIÓN MENSUAL'!T180,'COMPARACIÓN MENSUAL'!T180-'COMPARACIÓN MENSUAL'!P180,0)</f>
        <v>0</v>
      </c>
      <c r="Q32" s="53">
        <f t="shared" si="1"/>
        <v>0</v>
      </c>
      <c r="R32" s="53">
        <f t="shared" si="0"/>
        <v>0</v>
      </c>
    </row>
    <row r="33" spans="5:18" x14ac:dyDescent="0.25">
      <c r="E33" s="89">
        <v>27</v>
      </c>
      <c r="F33" s="91">
        <f>+'LISTA TRABAJADORES'!F33</f>
        <v>0</v>
      </c>
      <c r="G33" s="91">
        <f>+'LISTA TRABAJADORES'!G33</f>
        <v>0</v>
      </c>
      <c r="H33" s="53">
        <f>IF('Datos y Resumen '!$E$60=1,'DATOS PARA AJUSTE'!H33+'ISR '!K34,0)</f>
        <v>0</v>
      </c>
      <c r="I33" s="53">
        <f>IFERROR(IF('Datos y Resumen '!$E$60=1,VLOOKUP(H33,'TARIFAS 2025'!$J$168:$L$178,3,1),0),0)</f>
        <v>0</v>
      </c>
      <c r="J33" s="53">
        <f>+IF('COMPARACIÓN MENSUAL'!K194&gt;'COMPARACIÓN MENSUAL'!G194,'COMPARACIÓN MENSUAL'!K194-'COMPARACIÓN MENSUAL'!G194,0)</f>
        <v>0</v>
      </c>
      <c r="K33" s="53">
        <f>+IFERROR(IF(IF(J33+'DATOS PARA AJUSTE'!J33&lt;'AJUSTE AL SUBSIDIO '!I33,'AJUSTE AL SUBSIDIO '!J33,'AJUSTE AL SUBSIDIO '!I33-'DATOS PARA AJUSTE'!J33)&lt;0,0,IF(J33+'DATOS PARA AJUSTE'!J33&lt;'AJUSTE AL SUBSIDIO '!I33,'AJUSTE AL SUBSIDIO '!J33,'AJUSTE AL SUBSIDIO '!I33-'DATOS PARA AJUSTE'!J33)),0)</f>
        <v>0</v>
      </c>
      <c r="L33" s="53">
        <f>IF('Datos y Resumen '!$E$60=1,'ISR '!T34,0)</f>
        <v>0</v>
      </c>
      <c r="N33" s="124">
        <f>+IF('COMPARACIÓN MENSUAL'!G194+'COMPARACIÓN MENSUAL'!I194&gt;'COMPARACIÓN MENSUAL'!K194,IF('COMPARACIÓN MENSUAL'!G194&gt;'COMPARACIÓN MENSUAL'!G193,'COMPARACIÓN MENSUAL'!G193,'COMPARACIÓN MENSUAL'!G194),0)</f>
        <v>0</v>
      </c>
      <c r="O33" s="124">
        <f>+IF('COMPARACIÓN MENSUAL'!G194+'COMPARACIÓN MENSUAL'!I194&gt;'COMPARACIÓN MENSUAL'!K194,'COMPARACIÓN MENSUAL'!G196,0)</f>
        <v>0</v>
      </c>
      <c r="P33" s="124">
        <f>+IF('COMPARACIÓN MENSUAL'!G194+'COMPARACIÓN MENSUAL'!I194&gt;'COMPARACIÓN MENSUAL'!K194,'COMPARACIÓN MENSUAL'!K194-'COMPARACIÓN MENSUAL'!G194,0)</f>
        <v>0</v>
      </c>
      <c r="Q33" s="53">
        <f t="shared" si="1"/>
        <v>0</v>
      </c>
      <c r="R33" s="53">
        <f t="shared" si="0"/>
        <v>0</v>
      </c>
    </row>
    <row r="34" spans="5:18" x14ac:dyDescent="0.25">
      <c r="E34" s="89">
        <v>28</v>
      </c>
      <c r="F34" s="91">
        <f>+'LISTA TRABAJADORES'!F34</f>
        <v>0</v>
      </c>
      <c r="G34" s="91">
        <f>+'LISTA TRABAJADORES'!G34</f>
        <v>0</v>
      </c>
      <c r="H34" s="53">
        <f>IF('Datos y Resumen '!$E$60=1,'DATOS PARA AJUSTE'!H34+'ISR '!K35,0)</f>
        <v>0</v>
      </c>
      <c r="I34" s="53">
        <f>IFERROR(IF('Datos y Resumen '!$E$60=1,VLOOKUP(H34,'TARIFAS 2025'!$J$168:$L$178,3,1),0),0)</f>
        <v>0</v>
      </c>
      <c r="J34" s="53">
        <f>+IF('COMPARACIÓN MENSUAL'!T194&gt;'COMPARACIÓN MENSUAL'!P194,'COMPARACIÓN MENSUAL'!T194-'COMPARACIÓN MENSUAL'!P194,0)</f>
        <v>0</v>
      </c>
      <c r="K34" s="53">
        <f>+IFERROR(IF(IF(J34+'DATOS PARA AJUSTE'!J34&lt;'AJUSTE AL SUBSIDIO '!I34,'AJUSTE AL SUBSIDIO '!J34,'AJUSTE AL SUBSIDIO '!I34-'DATOS PARA AJUSTE'!J34)&lt;0,0,IF(J34+'DATOS PARA AJUSTE'!J34&lt;'AJUSTE AL SUBSIDIO '!I34,'AJUSTE AL SUBSIDIO '!J34,'AJUSTE AL SUBSIDIO '!I34-'DATOS PARA AJUSTE'!J34)),0)</f>
        <v>0</v>
      </c>
      <c r="L34" s="53">
        <f>IF('Datos y Resumen '!$E$60=1,'ISR '!T35,0)</f>
        <v>0</v>
      </c>
      <c r="N34" s="124">
        <f>+IF('COMPARACIÓN MENSUAL'!P194+'COMPARACIÓN MENSUAL'!R194&gt;'COMPARACIÓN MENSUAL'!T194,IF('COMPARACIÓN MENSUAL'!P194&gt;'COMPARACIÓN MENSUAL'!P193,'COMPARACIÓN MENSUAL'!P193,'COMPARACIÓN MENSUAL'!P194),0)</f>
        <v>0</v>
      </c>
      <c r="O34" s="124">
        <f>+IF('COMPARACIÓN MENSUAL'!P194+'COMPARACIÓN MENSUAL'!R194&gt;'COMPARACIÓN MENSUAL'!T194,'COMPARACIÓN MENSUAL'!P196,0)</f>
        <v>0</v>
      </c>
      <c r="P34" s="124">
        <f>+IF('COMPARACIÓN MENSUAL'!P194+'COMPARACIÓN MENSUAL'!R194&gt;'COMPARACIÓN MENSUAL'!T194,'COMPARACIÓN MENSUAL'!T194-'COMPARACIÓN MENSUAL'!P194,0)</f>
        <v>0</v>
      </c>
      <c r="Q34" s="53">
        <f t="shared" si="1"/>
        <v>0</v>
      </c>
      <c r="R34" s="53">
        <f t="shared" si="0"/>
        <v>0</v>
      </c>
    </row>
    <row r="35" spans="5:18" x14ac:dyDescent="0.25">
      <c r="E35" s="89">
        <v>29</v>
      </c>
      <c r="F35" s="91">
        <f>+'LISTA TRABAJADORES'!F35</f>
        <v>0</v>
      </c>
      <c r="G35" s="91">
        <f>+'LISTA TRABAJADORES'!G35</f>
        <v>0</v>
      </c>
      <c r="H35" s="53">
        <f>IF('Datos y Resumen '!$E$60=1,'DATOS PARA AJUSTE'!H35+'ISR '!K36,0)</f>
        <v>0</v>
      </c>
      <c r="I35" s="53">
        <f>IFERROR(IF('Datos y Resumen '!$E$60=1,VLOOKUP(H35,'TARIFAS 2025'!$J$168:$L$178,3,1),0),0)</f>
        <v>0</v>
      </c>
      <c r="J35" s="53">
        <f>+IF('COMPARACIÓN MENSUAL'!K208&gt;'COMPARACIÓN MENSUAL'!G208,'COMPARACIÓN MENSUAL'!K208-'COMPARACIÓN MENSUAL'!G208,0)</f>
        <v>0</v>
      </c>
      <c r="K35" s="53">
        <f>+IFERROR(IF(IF(J35+'DATOS PARA AJUSTE'!J35&lt;'AJUSTE AL SUBSIDIO '!I35,'AJUSTE AL SUBSIDIO '!J35,'AJUSTE AL SUBSIDIO '!I35-'DATOS PARA AJUSTE'!J35)&lt;0,0,IF(J35+'DATOS PARA AJUSTE'!J35&lt;'AJUSTE AL SUBSIDIO '!I35,'AJUSTE AL SUBSIDIO '!J35,'AJUSTE AL SUBSIDIO '!I35-'DATOS PARA AJUSTE'!J35)),0)</f>
        <v>0</v>
      </c>
      <c r="L35" s="53">
        <f>IF('Datos y Resumen '!$E$60=1,'ISR '!T36,0)</f>
        <v>0</v>
      </c>
      <c r="N35" s="124">
        <f>+IF('COMPARACIÓN MENSUAL'!G208+'COMPARACIÓN MENSUAL'!I208&gt;'COMPARACIÓN MENSUAL'!K208,IF('COMPARACIÓN MENSUAL'!G208&gt;'COMPARACIÓN MENSUAL'!G207,'COMPARACIÓN MENSUAL'!G207,'COMPARACIÓN MENSUAL'!G208),0)</f>
        <v>0</v>
      </c>
      <c r="O35" s="124">
        <f>+IF('COMPARACIÓN MENSUAL'!G208+'COMPARACIÓN MENSUAL'!I208&gt;'COMPARACIÓN MENSUAL'!K208,'COMPARACIÓN MENSUAL'!G210,0)</f>
        <v>0</v>
      </c>
      <c r="P35" s="124">
        <f>+IF('COMPARACIÓN MENSUAL'!G208+'COMPARACIÓN MENSUAL'!I208&gt;'COMPARACIÓN MENSUAL'!K208,'COMPARACIÓN MENSUAL'!K208-'COMPARACIÓN MENSUAL'!G208,0)</f>
        <v>0</v>
      </c>
      <c r="Q35" s="53">
        <f t="shared" si="1"/>
        <v>0</v>
      </c>
      <c r="R35" s="53">
        <f t="shared" si="0"/>
        <v>0</v>
      </c>
    </row>
    <row r="36" spans="5:18" x14ac:dyDescent="0.25">
      <c r="E36" s="89">
        <v>30</v>
      </c>
      <c r="F36" s="91">
        <f>+'LISTA TRABAJADORES'!F36</f>
        <v>0</v>
      </c>
      <c r="G36" s="91">
        <f>+'LISTA TRABAJADORES'!G36</f>
        <v>0</v>
      </c>
      <c r="H36" s="53">
        <f>IF('Datos y Resumen '!$E$60=1,'DATOS PARA AJUSTE'!H36+'ISR '!K37,0)</f>
        <v>0</v>
      </c>
      <c r="I36" s="53">
        <f>IFERROR(IF('Datos y Resumen '!$E$60=1,VLOOKUP(H36,'TARIFAS 2025'!$J$168:$L$178,3,1),0),0)</f>
        <v>0</v>
      </c>
      <c r="J36" s="53">
        <f>+IF('COMPARACIÓN MENSUAL'!T208&gt;'COMPARACIÓN MENSUAL'!P208,'COMPARACIÓN MENSUAL'!T208-'COMPARACIÓN MENSUAL'!P208,0)</f>
        <v>0</v>
      </c>
      <c r="K36" s="53">
        <f>+IFERROR(IF(IF(J36+'DATOS PARA AJUSTE'!J36&lt;'AJUSTE AL SUBSIDIO '!I36,'AJUSTE AL SUBSIDIO '!J36,'AJUSTE AL SUBSIDIO '!I36-'DATOS PARA AJUSTE'!J36)&lt;0,0,IF(J36+'DATOS PARA AJUSTE'!J36&lt;'AJUSTE AL SUBSIDIO '!I36,'AJUSTE AL SUBSIDIO '!J36,'AJUSTE AL SUBSIDIO '!I36-'DATOS PARA AJUSTE'!J36)),0)</f>
        <v>0</v>
      </c>
      <c r="L36" s="53">
        <f>IF('Datos y Resumen '!$E$60=1,'ISR '!T37,0)</f>
        <v>0</v>
      </c>
      <c r="N36" s="124">
        <f>+IF('COMPARACIÓN MENSUAL'!P208+'COMPARACIÓN MENSUAL'!R208&gt;'COMPARACIÓN MENSUAL'!T208,IF('COMPARACIÓN MENSUAL'!P208&gt;'COMPARACIÓN MENSUAL'!P207,'COMPARACIÓN MENSUAL'!P207,'COMPARACIÓN MENSUAL'!P208),0)</f>
        <v>0</v>
      </c>
      <c r="O36" s="124">
        <f>+IF('COMPARACIÓN MENSUAL'!P208+'COMPARACIÓN MENSUAL'!R208&gt;'COMPARACIÓN MENSUAL'!T208,'COMPARACIÓN MENSUAL'!P210,0)</f>
        <v>0</v>
      </c>
      <c r="P36" s="124">
        <f>+IF('COMPARACIÓN MENSUAL'!P208+'COMPARACIÓN MENSUAL'!R208&gt;'COMPARACIÓN MENSUAL'!T208,'COMPARACIÓN MENSUAL'!T208-'COMPARACIÓN MENSUAL'!P208,0)</f>
        <v>0</v>
      </c>
      <c r="Q36" s="53">
        <f t="shared" si="1"/>
        <v>0</v>
      </c>
      <c r="R36" s="53">
        <f t="shared" si="0"/>
        <v>0</v>
      </c>
    </row>
    <row r="37" spans="5:18" x14ac:dyDescent="0.25">
      <c r="E37" s="89">
        <v>31</v>
      </c>
      <c r="F37" s="91">
        <f>+'LISTA TRABAJADORES'!F37</f>
        <v>0</v>
      </c>
      <c r="G37" s="91">
        <f>+'LISTA TRABAJADORES'!G37</f>
        <v>0</v>
      </c>
      <c r="H37" s="53">
        <f>IF('Datos y Resumen '!$E$60=1,'DATOS PARA AJUSTE'!H37+'ISR '!K38,0)</f>
        <v>0</v>
      </c>
      <c r="I37" s="53">
        <f>IFERROR(IF('Datos y Resumen '!$E$60=1,VLOOKUP(H37,'TARIFAS 2025'!$J$168:$L$178,3,1),0),0)</f>
        <v>0</v>
      </c>
      <c r="J37" s="53">
        <f>+IF('COMPARACIÓN MENSUAL'!K222&gt;'COMPARACIÓN MENSUAL'!G222,'COMPARACIÓN MENSUAL'!K222-'COMPARACIÓN MENSUAL'!G222,0)</f>
        <v>0</v>
      </c>
      <c r="K37" s="53">
        <f>+IFERROR(IF(IF(J37+'DATOS PARA AJUSTE'!J37&lt;'AJUSTE AL SUBSIDIO '!I37,'AJUSTE AL SUBSIDIO '!J37,'AJUSTE AL SUBSIDIO '!I37-'DATOS PARA AJUSTE'!J37)&lt;0,0,IF(J37+'DATOS PARA AJUSTE'!J37&lt;'AJUSTE AL SUBSIDIO '!I37,'AJUSTE AL SUBSIDIO '!J37,'AJUSTE AL SUBSIDIO '!I37-'DATOS PARA AJUSTE'!J37)),0)</f>
        <v>0</v>
      </c>
      <c r="L37" s="53">
        <f>IF('Datos y Resumen '!$E$60=1,'ISR '!T38,0)</f>
        <v>0</v>
      </c>
      <c r="N37" s="124">
        <f>+IF('COMPARACIÓN MENSUAL'!G222+'COMPARACIÓN MENSUAL'!I222&gt;'COMPARACIÓN MENSUAL'!K222,IF('COMPARACIÓN MENSUAL'!G222&gt;'COMPARACIÓN MENSUAL'!G221,'COMPARACIÓN MENSUAL'!G221,'COMPARACIÓN MENSUAL'!G222),0)</f>
        <v>0</v>
      </c>
      <c r="O37" s="124">
        <f>+IF('COMPARACIÓN MENSUAL'!G222+'COMPARACIÓN MENSUAL'!I222&gt;'COMPARACIÓN MENSUAL'!K222,'COMPARACIÓN MENSUAL'!G224,0)</f>
        <v>0</v>
      </c>
      <c r="P37" s="124">
        <f>+IF('COMPARACIÓN MENSUAL'!G222+'COMPARACIÓN MENSUAL'!I222&gt;'COMPARACIÓN MENSUAL'!K222,'COMPARACIÓN MENSUAL'!K222-'COMPARACIÓN MENSUAL'!G222,0)</f>
        <v>0</v>
      </c>
      <c r="Q37" s="53">
        <f t="shared" si="1"/>
        <v>0</v>
      </c>
      <c r="R37" s="53">
        <f t="shared" si="0"/>
        <v>0</v>
      </c>
    </row>
    <row r="38" spans="5:18" x14ac:dyDescent="0.25">
      <c r="E38" s="89">
        <v>32</v>
      </c>
      <c r="F38" s="91">
        <f>+'LISTA TRABAJADORES'!F38</f>
        <v>0</v>
      </c>
      <c r="G38" s="91">
        <f>+'LISTA TRABAJADORES'!G38</f>
        <v>0</v>
      </c>
      <c r="H38" s="53">
        <f>IF('Datos y Resumen '!$E$60=1,'DATOS PARA AJUSTE'!H38+'ISR '!K39,0)</f>
        <v>0</v>
      </c>
      <c r="I38" s="53">
        <f>IFERROR(IF('Datos y Resumen '!$E$60=1,VLOOKUP(H38,'TARIFAS 2025'!$J$168:$L$178,3,1),0),0)</f>
        <v>0</v>
      </c>
      <c r="J38" s="53">
        <f>+IF('COMPARACIÓN MENSUAL'!T222&gt;'COMPARACIÓN MENSUAL'!P222,'COMPARACIÓN MENSUAL'!T222-'COMPARACIÓN MENSUAL'!P222,0)</f>
        <v>0</v>
      </c>
      <c r="K38" s="53">
        <f>+IFERROR(IF(IF(J38+'DATOS PARA AJUSTE'!J38&lt;'AJUSTE AL SUBSIDIO '!I38,'AJUSTE AL SUBSIDIO '!J38,'AJUSTE AL SUBSIDIO '!I38-'DATOS PARA AJUSTE'!J38)&lt;0,0,IF(J38+'DATOS PARA AJUSTE'!J38&lt;'AJUSTE AL SUBSIDIO '!I38,'AJUSTE AL SUBSIDIO '!J38,'AJUSTE AL SUBSIDIO '!I38-'DATOS PARA AJUSTE'!J38)),0)</f>
        <v>0</v>
      </c>
      <c r="L38" s="53">
        <f>IF('Datos y Resumen '!$E$60=1,'ISR '!T39,0)</f>
        <v>0</v>
      </c>
      <c r="N38" s="124">
        <f>+IF('COMPARACIÓN MENSUAL'!P222+'COMPARACIÓN MENSUAL'!R222&gt;'COMPARACIÓN MENSUAL'!T222,IF('COMPARACIÓN MENSUAL'!P222&gt;'COMPARACIÓN MENSUAL'!P221,'COMPARACIÓN MENSUAL'!P221,'COMPARACIÓN MENSUAL'!P222),0)</f>
        <v>0</v>
      </c>
      <c r="O38" s="124">
        <f>+IF('COMPARACIÓN MENSUAL'!P222+'COMPARACIÓN MENSUAL'!R222&gt;'COMPARACIÓN MENSUAL'!T222,'COMPARACIÓN MENSUAL'!P224,0)</f>
        <v>0</v>
      </c>
      <c r="P38" s="124">
        <f>+IF('COMPARACIÓN MENSUAL'!P222+'COMPARACIÓN MENSUAL'!R222&gt;'COMPARACIÓN MENSUAL'!T222,'COMPARACIÓN MENSUAL'!T222-'COMPARACIÓN MENSUAL'!P222,0)</f>
        <v>0</v>
      </c>
      <c r="Q38" s="53">
        <f t="shared" si="1"/>
        <v>0</v>
      </c>
      <c r="R38" s="53">
        <f t="shared" si="0"/>
        <v>0</v>
      </c>
    </row>
    <row r="39" spans="5:18" x14ac:dyDescent="0.25">
      <c r="E39" s="89">
        <v>33</v>
      </c>
      <c r="F39" s="91">
        <f>+'LISTA TRABAJADORES'!F39</f>
        <v>0</v>
      </c>
      <c r="G39" s="91">
        <f>+'LISTA TRABAJADORES'!G39</f>
        <v>0</v>
      </c>
      <c r="H39" s="53">
        <f>IF('Datos y Resumen '!$E$60=1,'DATOS PARA AJUSTE'!H39+'ISR '!K40,0)</f>
        <v>0</v>
      </c>
      <c r="I39" s="53">
        <f>IFERROR(IF('Datos y Resumen '!$E$60=1,VLOOKUP(H39,'TARIFAS 2025'!$J$168:$L$178,3,1),0),0)</f>
        <v>0</v>
      </c>
      <c r="J39" s="53">
        <f>+IF('COMPARACIÓN MENSUAL'!K236&gt;'COMPARACIÓN MENSUAL'!G236,'COMPARACIÓN MENSUAL'!K236-'COMPARACIÓN MENSUAL'!G236,0)</f>
        <v>0</v>
      </c>
      <c r="K39" s="53">
        <f>+IFERROR(IF(IF(J39+'DATOS PARA AJUSTE'!J39&lt;'AJUSTE AL SUBSIDIO '!I39,'AJUSTE AL SUBSIDIO '!J39,'AJUSTE AL SUBSIDIO '!I39-'DATOS PARA AJUSTE'!J39)&lt;0,0,IF(J39+'DATOS PARA AJUSTE'!J39&lt;'AJUSTE AL SUBSIDIO '!I39,'AJUSTE AL SUBSIDIO '!J39,'AJUSTE AL SUBSIDIO '!I39-'DATOS PARA AJUSTE'!J39)),0)</f>
        <v>0</v>
      </c>
      <c r="L39" s="53">
        <f>IF('Datos y Resumen '!$E$60=1,'ISR '!T40,0)</f>
        <v>0</v>
      </c>
      <c r="N39" s="124">
        <f>+IF('COMPARACIÓN MENSUAL'!G236+'COMPARACIÓN MENSUAL'!I236&gt;'COMPARACIÓN MENSUAL'!K236,IF('COMPARACIÓN MENSUAL'!G236&gt;'COMPARACIÓN MENSUAL'!G235,'COMPARACIÓN MENSUAL'!G235,'COMPARACIÓN MENSUAL'!G236),0)</f>
        <v>0</v>
      </c>
      <c r="O39" s="124">
        <f>+IF('COMPARACIÓN MENSUAL'!G236+'COMPARACIÓN MENSUAL'!I236&gt;'COMPARACIÓN MENSUAL'!K236,'COMPARACIÓN MENSUAL'!G238,0)</f>
        <v>0</v>
      </c>
      <c r="P39" s="124">
        <f>+IF('COMPARACIÓN MENSUAL'!G236+'COMPARACIÓN MENSUAL'!I236&gt;'COMPARACIÓN MENSUAL'!K236,'COMPARACIÓN MENSUAL'!K236-'COMPARACIÓN MENSUAL'!G236,0)</f>
        <v>0</v>
      </c>
      <c r="Q39" s="53">
        <f t="shared" si="1"/>
        <v>0</v>
      </c>
      <c r="R39" s="53">
        <f t="shared" si="0"/>
        <v>0</v>
      </c>
    </row>
    <row r="40" spans="5:18" x14ac:dyDescent="0.25">
      <c r="E40" s="89">
        <v>34</v>
      </c>
      <c r="F40" s="91">
        <f>+'LISTA TRABAJADORES'!F40</f>
        <v>0</v>
      </c>
      <c r="G40" s="91">
        <f>+'LISTA TRABAJADORES'!G40</f>
        <v>0</v>
      </c>
      <c r="H40" s="53">
        <f>IF('Datos y Resumen '!$E$60=1,'DATOS PARA AJUSTE'!H40+'ISR '!K41,0)</f>
        <v>0</v>
      </c>
      <c r="I40" s="53">
        <f>IFERROR(IF('Datos y Resumen '!$E$60=1,VLOOKUP(H40,'TARIFAS 2025'!$J$168:$L$178,3,1),0),0)</f>
        <v>0</v>
      </c>
      <c r="J40" s="53">
        <f>+IF('COMPARACIÓN MENSUAL'!T236&gt;'COMPARACIÓN MENSUAL'!P236,'COMPARACIÓN MENSUAL'!T236-'COMPARACIÓN MENSUAL'!P236,0)</f>
        <v>0</v>
      </c>
      <c r="K40" s="53">
        <f>+IFERROR(IF(IF(J40+'DATOS PARA AJUSTE'!J40&lt;'AJUSTE AL SUBSIDIO '!I40,'AJUSTE AL SUBSIDIO '!J40,'AJUSTE AL SUBSIDIO '!I40-'DATOS PARA AJUSTE'!J40)&lt;0,0,IF(J40+'DATOS PARA AJUSTE'!J40&lt;'AJUSTE AL SUBSIDIO '!I40,'AJUSTE AL SUBSIDIO '!J40,'AJUSTE AL SUBSIDIO '!I40-'DATOS PARA AJUSTE'!J40)),0)</f>
        <v>0</v>
      </c>
      <c r="L40" s="53">
        <f>IF('Datos y Resumen '!$E$60=1,'ISR '!T41,0)</f>
        <v>0</v>
      </c>
      <c r="N40" s="124">
        <f>+IF('COMPARACIÓN MENSUAL'!P236+'COMPARACIÓN MENSUAL'!R236&gt;'COMPARACIÓN MENSUAL'!T236,IF('COMPARACIÓN MENSUAL'!P236&gt;'COMPARACIÓN MENSUAL'!P236,'COMPARACIÓN MENSUAL'!P235,'COMPARACIÓN MENSUAL'!P236),0)</f>
        <v>0</v>
      </c>
      <c r="O40" s="124">
        <f>+IF('COMPARACIÓN MENSUAL'!P236+'COMPARACIÓN MENSUAL'!R236&gt;'COMPARACIÓN MENSUAL'!T236,'COMPARACIÓN MENSUAL'!P238,0)</f>
        <v>0</v>
      </c>
      <c r="P40" s="124">
        <f>+IF('COMPARACIÓN MENSUAL'!P236+'COMPARACIÓN MENSUAL'!R236&gt;'COMPARACIÓN MENSUAL'!T236,'COMPARACIÓN MENSUAL'!T236-'COMPARACIÓN MENSUAL'!P236,0)</f>
        <v>0</v>
      </c>
      <c r="Q40" s="53">
        <f t="shared" si="1"/>
        <v>0</v>
      </c>
      <c r="R40" s="53">
        <f t="shared" si="0"/>
        <v>0</v>
      </c>
    </row>
    <row r="41" spans="5:18" x14ac:dyDescent="0.25">
      <c r="E41" s="89">
        <v>35</v>
      </c>
      <c r="F41" s="91">
        <f>+'LISTA TRABAJADORES'!F41</f>
        <v>0</v>
      </c>
      <c r="G41" s="91">
        <f>+'LISTA TRABAJADORES'!G41</f>
        <v>0</v>
      </c>
      <c r="H41" s="53">
        <f>IF('Datos y Resumen '!$E$60=1,'DATOS PARA AJUSTE'!H41+'ISR '!K42,0)</f>
        <v>0</v>
      </c>
      <c r="I41" s="53">
        <f>IFERROR(IF('Datos y Resumen '!$E$60=1,VLOOKUP(H41,'TARIFAS 2025'!$J$168:$L$178,3,1),0),0)</f>
        <v>0</v>
      </c>
      <c r="J41" s="53">
        <f>+IF('COMPARACIÓN MENSUAL'!K250&gt;'COMPARACIÓN MENSUAL'!G250,'COMPARACIÓN MENSUAL'!K250-'COMPARACIÓN MENSUAL'!G250,0)</f>
        <v>0</v>
      </c>
      <c r="K41" s="53">
        <f>+IFERROR(IF(IF(J41+'DATOS PARA AJUSTE'!J41&lt;'AJUSTE AL SUBSIDIO '!I41,'AJUSTE AL SUBSIDIO '!J41,'AJUSTE AL SUBSIDIO '!I41-'DATOS PARA AJUSTE'!J41)&lt;0,0,IF(J41+'DATOS PARA AJUSTE'!J41&lt;'AJUSTE AL SUBSIDIO '!I41,'AJUSTE AL SUBSIDIO '!J41,'AJUSTE AL SUBSIDIO '!I41-'DATOS PARA AJUSTE'!J41)),0)</f>
        <v>0</v>
      </c>
      <c r="L41" s="53">
        <f>IF('Datos y Resumen '!$E$60=1,'ISR '!T42,0)</f>
        <v>0</v>
      </c>
      <c r="N41" s="124">
        <f>+IF('COMPARACIÓN MENSUAL'!G250+'COMPARACIÓN MENSUAL'!I250&gt;'COMPARACIÓN MENSUAL'!K250,IF('COMPARACIÓN MENSUAL'!G250&gt;'COMPARACIÓN MENSUAL'!G249,'COMPARACIÓN MENSUAL'!G249,'COMPARACIÓN MENSUAL'!G250),0)</f>
        <v>0</v>
      </c>
      <c r="O41" s="124">
        <f>+IF('COMPARACIÓN MENSUAL'!G250+'COMPARACIÓN MENSUAL'!I250&gt;'COMPARACIÓN MENSUAL'!K250,'COMPARACIÓN MENSUAL'!G252,0)</f>
        <v>0</v>
      </c>
      <c r="P41" s="124">
        <f>+IF('COMPARACIÓN MENSUAL'!G250+'COMPARACIÓN MENSUAL'!I250&gt;'COMPARACIÓN MENSUAL'!K250,'COMPARACIÓN MENSUAL'!K250-'COMPARACIÓN MENSUAL'!G250,0)</f>
        <v>0</v>
      </c>
      <c r="Q41" s="53">
        <f t="shared" si="1"/>
        <v>0</v>
      </c>
      <c r="R41" s="53">
        <f t="shared" si="0"/>
        <v>0</v>
      </c>
    </row>
    <row r="42" spans="5:18" x14ac:dyDescent="0.25">
      <c r="E42" s="89">
        <v>36</v>
      </c>
      <c r="F42" s="91">
        <f>+'LISTA TRABAJADORES'!F42</f>
        <v>0</v>
      </c>
      <c r="G42" s="91">
        <f>+'LISTA TRABAJADORES'!G42</f>
        <v>0</v>
      </c>
      <c r="H42" s="53">
        <f>IF('Datos y Resumen '!$E$60=1,'DATOS PARA AJUSTE'!H42+'ISR '!K43,0)</f>
        <v>0</v>
      </c>
      <c r="I42" s="53">
        <f>IFERROR(IF('Datos y Resumen '!$E$60=1,VLOOKUP(H42,'TARIFAS 2025'!$J$168:$L$178,3,1),0),0)</f>
        <v>0</v>
      </c>
      <c r="J42" s="53">
        <f>+IF('COMPARACIÓN MENSUAL'!T250&gt;'COMPARACIÓN MENSUAL'!P250,'COMPARACIÓN MENSUAL'!T250-'COMPARACIÓN MENSUAL'!P250,0)</f>
        <v>0</v>
      </c>
      <c r="K42" s="53">
        <f>+IFERROR(IF(IF(J42+'DATOS PARA AJUSTE'!J42&lt;'AJUSTE AL SUBSIDIO '!I42,'AJUSTE AL SUBSIDIO '!J42,'AJUSTE AL SUBSIDIO '!I42-'DATOS PARA AJUSTE'!J42)&lt;0,0,IF(J42+'DATOS PARA AJUSTE'!J42&lt;'AJUSTE AL SUBSIDIO '!I42,'AJUSTE AL SUBSIDIO '!J42,'AJUSTE AL SUBSIDIO '!I42-'DATOS PARA AJUSTE'!J42)),0)</f>
        <v>0</v>
      </c>
      <c r="L42" s="53">
        <f>IF('Datos y Resumen '!$E$60=1,'ISR '!T43,0)</f>
        <v>0</v>
      </c>
      <c r="N42" s="124">
        <f>+IF('COMPARACIÓN MENSUAL'!P250+'COMPARACIÓN MENSUAL'!R250&gt;'COMPARACIÓN MENSUAL'!T250,IF('COMPARACIÓN MENSUAL'!P250&gt;'COMPARACIÓN MENSUAL'!P249,'COMPARACIÓN MENSUAL'!P249,'COMPARACIÓN MENSUAL'!P250),0)</f>
        <v>0</v>
      </c>
      <c r="O42" s="124">
        <f>+IF('COMPARACIÓN MENSUAL'!P250+'COMPARACIÓN MENSUAL'!R250&gt;'COMPARACIÓN MENSUAL'!T250,'COMPARACIÓN MENSUAL'!P252,0)</f>
        <v>0</v>
      </c>
      <c r="P42" s="124">
        <f>+IF('COMPARACIÓN MENSUAL'!P250+'COMPARACIÓN MENSUAL'!R250&gt;'COMPARACIÓN MENSUAL'!T250,'COMPARACIÓN MENSUAL'!T250-'COMPARACIÓN MENSUAL'!P250,0)</f>
        <v>0</v>
      </c>
      <c r="Q42" s="53">
        <f t="shared" si="1"/>
        <v>0</v>
      </c>
      <c r="R42" s="53">
        <f t="shared" si="0"/>
        <v>0</v>
      </c>
    </row>
    <row r="43" spans="5:18" x14ac:dyDescent="0.25">
      <c r="E43" s="89">
        <v>37</v>
      </c>
      <c r="F43" s="91">
        <f>+'LISTA TRABAJADORES'!F43</f>
        <v>0</v>
      </c>
      <c r="G43" s="91">
        <f>+'LISTA TRABAJADORES'!G43</f>
        <v>0</v>
      </c>
      <c r="H43" s="53">
        <f>IF('Datos y Resumen '!$E$60=1,'DATOS PARA AJUSTE'!H43+'ISR '!K44,0)</f>
        <v>0</v>
      </c>
      <c r="I43" s="53">
        <f>IFERROR(IF('Datos y Resumen '!$E$60=1,VLOOKUP(H43,'TARIFAS 2025'!$J$168:$L$178,3,1),0),0)</f>
        <v>0</v>
      </c>
      <c r="J43" s="53">
        <f>+IF('COMPARACIÓN MENSUAL'!K264&gt;'COMPARACIÓN MENSUAL'!G264,'COMPARACIÓN MENSUAL'!K264-'COMPARACIÓN MENSUAL'!G264,0)</f>
        <v>0</v>
      </c>
      <c r="K43" s="53">
        <f>+IFERROR(IF(IF(J43+'DATOS PARA AJUSTE'!J43&lt;'AJUSTE AL SUBSIDIO '!I43,'AJUSTE AL SUBSIDIO '!J43,'AJUSTE AL SUBSIDIO '!I43-'DATOS PARA AJUSTE'!J43)&lt;0,0,IF(J43+'DATOS PARA AJUSTE'!J43&lt;'AJUSTE AL SUBSIDIO '!I43,'AJUSTE AL SUBSIDIO '!J43,'AJUSTE AL SUBSIDIO '!I43-'DATOS PARA AJUSTE'!J43)),0)</f>
        <v>0</v>
      </c>
      <c r="L43" s="53">
        <f>IF('Datos y Resumen '!$E$60=1,'ISR '!T44,0)</f>
        <v>0</v>
      </c>
      <c r="N43" s="124">
        <f>+IF('COMPARACIÓN MENSUAL'!G264+'COMPARACIÓN MENSUAL'!I264&gt;'COMPARACIÓN MENSUAL'!K264,IF('COMPARACIÓN MENSUAL'!G264&gt;'COMPARACIÓN MENSUAL'!G263,'COMPARACIÓN MENSUAL'!G263,'COMPARACIÓN MENSUAL'!G264),0)</f>
        <v>0</v>
      </c>
      <c r="O43" s="124">
        <f>+IF('COMPARACIÓN MENSUAL'!G264+'COMPARACIÓN MENSUAL'!I264&gt;'COMPARACIÓN MENSUAL'!K264,'COMPARACIÓN MENSUAL'!G266,0)</f>
        <v>0</v>
      </c>
      <c r="P43" s="124">
        <f>+IF('COMPARACIÓN MENSUAL'!G264+'COMPARACIÓN MENSUAL'!I264&gt;'COMPARACIÓN MENSUAL'!K264,'COMPARACIÓN MENSUAL'!K264-'COMPARACIÓN MENSUAL'!G264,0)</f>
        <v>0</v>
      </c>
      <c r="Q43" s="53">
        <f t="shared" si="1"/>
        <v>0</v>
      </c>
      <c r="R43" s="53">
        <f t="shared" si="0"/>
        <v>0</v>
      </c>
    </row>
    <row r="44" spans="5:18" x14ac:dyDescent="0.25">
      <c r="E44" s="89">
        <v>38</v>
      </c>
      <c r="F44" s="91">
        <f>+'LISTA TRABAJADORES'!F44</f>
        <v>0</v>
      </c>
      <c r="G44" s="91">
        <f>+'LISTA TRABAJADORES'!G44</f>
        <v>0</v>
      </c>
      <c r="H44" s="53">
        <f>IF('Datos y Resumen '!$E$60=1,'DATOS PARA AJUSTE'!H44+'ISR '!K45,0)</f>
        <v>0</v>
      </c>
      <c r="I44" s="53">
        <f>IFERROR(IF('Datos y Resumen '!$E$60=1,VLOOKUP(H44,'TARIFAS 2025'!$J$168:$L$178,3,1),0),0)</f>
        <v>0</v>
      </c>
      <c r="J44" s="53">
        <f>+IF('COMPARACIÓN MENSUAL'!T264&gt;'COMPARACIÓN MENSUAL'!P264,'COMPARACIÓN MENSUAL'!T264-'COMPARACIÓN MENSUAL'!P264,0)</f>
        <v>0</v>
      </c>
      <c r="K44" s="53">
        <f>+IFERROR(IF(IF(J44+'DATOS PARA AJUSTE'!J44&lt;'AJUSTE AL SUBSIDIO '!I44,'AJUSTE AL SUBSIDIO '!J44,'AJUSTE AL SUBSIDIO '!I44-'DATOS PARA AJUSTE'!J44)&lt;0,0,IF(J44+'DATOS PARA AJUSTE'!J44&lt;'AJUSTE AL SUBSIDIO '!I44,'AJUSTE AL SUBSIDIO '!J44,'AJUSTE AL SUBSIDIO '!I44-'DATOS PARA AJUSTE'!J44)),0)</f>
        <v>0</v>
      </c>
      <c r="L44" s="53">
        <f>IF('Datos y Resumen '!$E$60=1,'ISR '!T45,0)</f>
        <v>0</v>
      </c>
      <c r="N44" s="124">
        <f>+IF('COMPARACIÓN MENSUAL'!P264+'COMPARACIÓN MENSUAL'!R264&gt;'COMPARACIÓN MENSUAL'!T264,IF('COMPARACIÓN MENSUAL'!P264&gt;'COMPARACIÓN MENSUAL'!P263,'COMPARACIÓN MENSUAL'!P263,'COMPARACIÓN MENSUAL'!P264),0)</f>
        <v>0</v>
      </c>
      <c r="O44" s="124">
        <f>+IF('COMPARACIÓN MENSUAL'!P264+'COMPARACIÓN MENSUAL'!R264&gt;'COMPARACIÓN MENSUAL'!T264,'COMPARACIÓN MENSUAL'!P266,0)</f>
        <v>0</v>
      </c>
      <c r="P44" s="124">
        <f>+IF('COMPARACIÓN MENSUAL'!P264+'COMPARACIÓN MENSUAL'!R264&gt;'COMPARACIÓN MENSUAL'!T264,'COMPARACIÓN MENSUAL'!T264-'COMPARACIÓN MENSUAL'!P264,0)</f>
        <v>0</v>
      </c>
      <c r="Q44" s="53">
        <f t="shared" si="1"/>
        <v>0</v>
      </c>
      <c r="R44" s="53">
        <f t="shared" si="0"/>
        <v>0</v>
      </c>
    </row>
    <row r="45" spans="5:18" x14ac:dyDescent="0.25">
      <c r="E45" s="89">
        <v>39</v>
      </c>
      <c r="F45" s="91">
        <f>+'LISTA TRABAJADORES'!F45</f>
        <v>0</v>
      </c>
      <c r="G45" s="91">
        <f>+'LISTA TRABAJADORES'!G45</f>
        <v>0</v>
      </c>
      <c r="H45" s="53">
        <f>IF('Datos y Resumen '!$E$60=1,'DATOS PARA AJUSTE'!H45+'ISR '!K46,0)</f>
        <v>0</v>
      </c>
      <c r="I45" s="53">
        <f>IFERROR(IF('Datos y Resumen '!$E$60=1,VLOOKUP(H45,'TARIFAS 2025'!$J$168:$L$178,3,1),0),0)</f>
        <v>0</v>
      </c>
      <c r="J45" s="53">
        <f>+IF('COMPARACIÓN MENSUAL'!K278&gt;'COMPARACIÓN MENSUAL'!G278,'COMPARACIÓN MENSUAL'!K278-'COMPARACIÓN MENSUAL'!G278,0)</f>
        <v>0</v>
      </c>
      <c r="K45" s="53">
        <f>+IFERROR(IF(IF(J45+'DATOS PARA AJUSTE'!J45&lt;'AJUSTE AL SUBSIDIO '!I45,'AJUSTE AL SUBSIDIO '!J45,'AJUSTE AL SUBSIDIO '!I45-'DATOS PARA AJUSTE'!J45)&lt;0,0,IF(J45+'DATOS PARA AJUSTE'!J45&lt;'AJUSTE AL SUBSIDIO '!I45,'AJUSTE AL SUBSIDIO '!J45,'AJUSTE AL SUBSIDIO '!I45-'DATOS PARA AJUSTE'!J45)),0)</f>
        <v>0</v>
      </c>
      <c r="L45" s="53">
        <f>IF('Datos y Resumen '!$E$60=1,'ISR '!T46,0)</f>
        <v>0</v>
      </c>
      <c r="N45" s="124">
        <f>+IF('COMPARACIÓN MENSUAL'!G278+'COMPARACIÓN MENSUAL'!I278&gt;'COMPARACIÓN MENSUAL'!K278,IF('COMPARACIÓN MENSUAL'!G278&gt;'COMPARACIÓN MENSUAL'!G277,'COMPARACIÓN MENSUAL'!G277,'COMPARACIÓN MENSUAL'!G278),0)</f>
        <v>0</v>
      </c>
      <c r="O45" s="124">
        <f>+IF('COMPARACIÓN MENSUAL'!G278+'COMPARACIÓN MENSUAL'!I278&gt;'COMPARACIÓN MENSUAL'!K278,'COMPARACIÓN MENSUAL'!G280,0)</f>
        <v>0</v>
      </c>
      <c r="P45" s="124">
        <f>+IF('COMPARACIÓN MENSUAL'!G278+'COMPARACIÓN MENSUAL'!I278&gt;'COMPARACIÓN MENSUAL'!K278,'COMPARACIÓN MENSUAL'!K278-'COMPARACIÓN MENSUAL'!G278,0)</f>
        <v>0</v>
      </c>
      <c r="Q45" s="53">
        <f t="shared" si="1"/>
        <v>0</v>
      </c>
      <c r="R45" s="53">
        <f t="shared" si="0"/>
        <v>0</v>
      </c>
    </row>
    <row r="46" spans="5:18" x14ac:dyDescent="0.25">
      <c r="E46" s="89">
        <v>40</v>
      </c>
      <c r="F46" s="91">
        <f>+'LISTA TRABAJADORES'!F46</f>
        <v>0</v>
      </c>
      <c r="G46" s="91">
        <f>+'LISTA TRABAJADORES'!G46</f>
        <v>0</v>
      </c>
      <c r="H46" s="53">
        <f>IF('Datos y Resumen '!$E$60=1,'DATOS PARA AJUSTE'!H46+'ISR '!K47,0)</f>
        <v>0</v>
      </c>
      <c r="I46" s="53">
        <f>IFERROR(IF('Datos y Resumen '!$E$60=1,VLOOKUP(H46,'TARIFAS 2025'!$J$168:$L$178,3,1),0),0)</f>
        <v>0</v>
      </c>
      <c r="J46" s="53">
        <f>+IF('COMPARACIÓN MENSUAL'!T278&gt;'COMPARACIÓN MENSUAL'!P278,'COMPARACIÓN MENSUAL'!T278-'COMPARACIÓN MENSUAL'!P278,0)</f>
        <v>0</v>
      </c>
      <c r="K46" s="53">
        <f>+IFERROR(IF(IF(J46+'DATOS PARA AJUSTE'!J46&lt;'AJUSTE AL SUBSIDIO '!I46,'AJUSTE AL SUBSIDIO '!J46,'AJUSTE AL SUBSIDIO '!I46-'DATOS PARA AJUSTE'!J46)&lt;0,0,IF(J46+'DATOS PARA AJUSTE'!J46&lt;'AJUSTE AL SUBSIDIO '!I46,'AJUSTE AL SUBSIDIO '!J46,'AJUSTE AL SUBSIDIO '!I46-'DATOS PARA AJUSTE'!J46)),0)</f>
        <v>0</v>
      </c>
      <c r="L46" s="53">
        <f>IF('Datos y Resumen '!$E$60=1,'ISR '!T47,0)</f>
        <v>0</v>
      </c>
      <c r="N46" s="124">
        <f>+IF('COMPARACIÓN MENSUAL'!P278+'COMPARACIÓN MENSUAL'!R278&gt;'COMPARACIÓN MENSUAL'!T278,IF('COMPARACIÓN MENSUAL'!P278&gt;'COMPARACIÓN MENSUAL'!P277,'COMPARACIÓN MENSUAL'!P277,'COMPARACIÓN MENSUAL'!P278),0)</f>
        <v>0</v>
      </c>
      <c r="O46" s="124">
        <f>+IF('COMPARACIÓN MENSUAL'!P278+'COMPARACIÓN MENSUAL'!R278&gt;'COMPARACIÓN MENSUAL'!T278,'COMPARACIÓN MENSUAL'!P280,0)</f>
        <v>0</v>
      </c>
      <c r="P46" s="124">
        <f>+IF('COMPARACIÓN MENSUAL'!P278+'COMPARACIÓN MENSUAL'!R278&gt;'COMPARACIÓN MENSUAL'!T278,'COMPARACIÓN MENSUAL'!T278-'COMPARACIÓN MENSUAL'!P278,0)</f>
        <v>0</v>
      </c>
      <c r="Q46" s="53">
        <f t="shared" si="1"/>
        <v>0</v>
      </c>
      <c r="R46" s="53">
        <f t="shared" si="0"/>
        <v>0</v>
      </c>
    </row>
    <row r="47" spans="5:18" x14ac:dyDescent="0.25">
      <c r="E47" s="89">
        <v>41</v>
      </c>
      <c r="F47" s="91">
        <f>+'LISTA TRABAJADORES'!F47</f>
        <v>0</v>
      </c>
      <c r="G47" s="91">
        <f>+'LISTA TRABAJADORES'!G47</f>
        <v>0</v>
      </c>
      <c r="H47" s="53">
        <f>IF('Datos y Resumen '!$E$60=1,'DATOS PARA AJUSTE'!H47+'ISR '!K48,0)</f>
        <v>0</v>
      </c>
      <c r="I47" s="53">
        <f>IFERROR(IF('Datos y Resumen '!$E$60=1,VLOOKUP(H47,'TARIFAS 2025'!$J$168:$L$178,3,1),0),0)</f>
        <v>0</v>
      </c>
      <c r="J47" s="53">
        <f>+IF('COMPARACIÓN MENSUAL'!K292&gt;'COMPARACIÓN MENSUAL'!G292,'COMPARACIÓN MENSUAL'!K292-'COMPARACIÓN MENSUAL'!G292,0)</f>
        <v>0</v>
      </c>
      <c r="K47" s="53">
        <f>+IFERROR(IF(IF(J47+'DATOS PARA AJUSTE'!J47&lt;'AJUSTE AL SUBSIDIO '!I47,'AJUSTE AL SUBSIDIO '!J47,'AJUSTE AL SUBSIDIO '!I47-'DATOS PARA AJUSTE'!J47)&lt;0,0,IF(J47+'DATOS PARA AJUSTE'!J47&lt;'AJUSTE AL SUBSIDIO '!I47,'AJUSTE AL SUBSIDIO '!J47,'AJUSTE AL SUBSIDIO '!I47-'DATOS PARA AJUSTE'!J47)),0)</f>
        <v>0</v>
      </c>
      <c r="L47" s="53">
        <f>IF('Datos y Resumen '!$E$60=1,'ISR '!T48,0)</f>
        <v>0</v>
      </c>
      <c r="N47" s="124">
        <f>+IF('COMPARACIÓN MENSUAL'!G292+'COMPARACIÓN MENSUAL'!I292&gt;'COMPARACIÓN MENSUAL'!K292,IF('COMPARACIÓN MENSUAL'!G292&gt;'COMPARACIÓN MENSUAL'!G291,'COMPARACIÓN MENSUAL'!G291,'COMPARACIÓN MENSUAL'!G292),0)</f>
        <v>0</v>
      </c>
      <c r="O47" s="124">
        <f>+IF('COMPARACIÓN MENSUAL'!G292+'COMPARACIÓN MENSUAL'!I292&gt;'COMPARACIÓN MENSUAL'!K292,'COMPARACIÓN MENSUAL'!G294,0)</f>
        <v>0</v>
      </c>
      <c r="P47" s="124">
        <f>+IF('COMPARACIÓN MENSUAL'!G292+'COMPARACIÓN MENSUAL'!I292&gt;'COMPARACIÓN MENSUAL'!K292,'COMPARACIÓN MENSUAL'!K292-'COMPARACIÓN MENSUAL'!G292,0)</f>
        <v>0</v>
      </c>
      <c r="Q47" s="53">
        <f t="shared" si="1"/>
        <v>0</v>
      </c>
      <c r="R47" s="53">
        <f t="shared" si="0"/>
        <v>0</v>
      </c>
    </row>
    <row r="48" spans="5:18" x14ac:dyDescent="0.25">
      <c r="E48" s="89">
        <v>42</v>
      </c>
      <c r="F48" s="91">
        <f>+'LISTA TRABAJADORES'!F48</f>
        <v>0</v>
      </c>
      <c r="G48" s="91">
        <f>+'LISTA TRABAJADORES'!G48</f>
        <v>0</v>
      </c>
      <c r="H48" s="53">
        <f>IF('Datos y Resumen '!$E$60=1,'DATOS PARA AJUSTE'!H48+'ISR '!K49,0)</f>
        <v>0</v>
      </c>
      <c r="I48" s="53">
        <f>IFERROR(IF('Datos y Resumen '!$E$60=1,VLOOKUP(H48,'TARIFAS 2025'!$J$168:$L$178,3,1),0),0)</f>
        <v>0</v>
      </c>
      <c r="J48" s="53">
        <f>+IF('COMPARACIÓN MENSUAL'!T292&gt;'COMPARACIÓN MENSUAL'!P292,'COMPARACIÓN MENSUAL'!T292-'COMPARACIÓN MENSUAL'!P292,0)</f>
        <v>0</v>
      </c>
      <c r="K48" s="53">
        <f>+IFERROR(IF(IF(J48+'DATOS PARA AJUSTE'!J48&lt;'AJUSTE AL SUBSIDIO '!I48,'AJUSTE AL SUBSIDIO '!J48,'AJUSTE AL SUBSIDIO '!I48-'DATOS PARA AJUSTE'!J48)&lt;0,0,IF(J48+'DATOS PARA AJUSTE'!J48&lt;'AJUSTE AL SUBSIDIO '!I48,'AJUSTE AL SUBSIDIO '!J48,'AJUSTE AL SUBSIDIO '!I48-'DATOS PARA AJUSTE'!J48)),0)</f>
        <v>0</v>
      </c>
      <c r="L48" s="53">
        <f>IF('Datos y Resumen '!$E$60=1,'ISR '!T49,0)</f>
        <v>0</v>
      </c>
      <c r="N48" s="124">
        <f>+IF('COMPARACIÓN MENSUAL'!P292+'COMPARACIÓN MENSUAL'!R292&gt;'COMPARACIÓN MENSUAL'!T292,IF('COMPARACIÓN MENSUAL'!P292&gt;'COMPARACIÓN MENSUAL'!P291,'COMPARACIÓN MENSUAL'!P291,'COMPARACIÓN MENSUAL'!P292),0)</f>
        <v>0</v>
      </c>
      <c r="O48" s="124">
        <f>+IF('COMPARACIÓN MENSUAL'!P292+'COMPARACIÓN MENSUAL'!R292&gt;'COMPARACIÓN MENSUAL'!T292,'COMPARACIÓN MENSUAL'!P294,0)</f>
        <v>0</v>
      </c>
      <c r="P48" s="124">
        <f>+IF('COMPARACIÓN MENSUAL'!P292+'COMPARACIÓN MENSUAL'!R292&gt;'COMPARACIÓN MENSUAL'!T292,'COMPARACIÓN MENSUAL'!T292-'COMPARACIÓN MENSUAL'!P292,0)</f>
        <v>0</v>
      </c>
      <c r="Q48" s="53">
        <f t="shared" si="1"/>
        <v>0</v>
      </c>
      <c r="R48" s="53">
        <f t="shared" si="0"/>
        <v>0</v>
      </c>
    </row>
    <row r="49" spans="5:18" x14ac:dyDescent="0.25">
      <c r="E49" s="89">
        <v>43</v>
      </c>
      <c r="F49" s="91">
        <f>+'LISTA TRABAJADORES'!F49</f>
        <v>0</v>
      </c>
      <c r="G49" s="91">
        <f>+'LISTA TRABAJADORES'!G49</f>
        <v>0</v>
      </c>
      <c r="H49" s="53">
        <f>IF('Datos y Resumen '!$E$60=1,'DATOS PARA AJUSTE'!H49+'ISR '!K50,0)</f>
        <v>0</v>
      </c>
      <c r="I49" s="53">
        <f>IFERROR(IF('Datos y Resumen '!$E$60=1,VLOOKUP(H49,'TARIFAS 2025'!$J$168:$L$178,3,1),0),0)</f>
        <v>0</v>
      </c>
      <c r="J49" s="53">
        <f>+IF('COMPARACIÓN MENSUAL'!K306&gt;'COMPARACIÓN MENSUAL'!G306,'COMPARACIÓN MENSUAL'!K306-'COMPARACIÓN MENSUAL'!G306,0)</f>
        <v>0</v>
      </c>
      <c r="K49" s="53">
        <f>+IFERROR(IF(IF(J49+'DATOS PARA AJUSTE'!J49&lt;'AJUSTE AL SUBSIDIO '!I49,'AJUSTE AL SUBSIDIO '!J49,'AJUSTE AL SUBSIDIO '!I49-'DATOS PARA AJUSTE'!J49)&lt;0,0,IF(J49+'DATOS PARA AJUSTE'!J49&lt;'AJUSTE AL SUBSIDIO '!I49,'AJUSTE AL SUBSIDIO '!J49,'AJUSTE AL SUBSIDIO '!I49-'DATOS PARA AJUSTE'!J49)),0)</f>
        <v>0</v>
      </c>
      <c r="L49" s="53">
        <f>IF('Datos y Resumen '!$E$60=1,'ISR '!T50,0)</f>
        <v>0</v>
      </c>
      <c r="N49" s="124">
        <f>+IF('COMPARACIÓN MENSUAL'!G306+'COMPARACIÓN MENSUAL'!I306&gt;'COMPARACIÓN MENSUAL'!K306,IF('COMPARACIÓN MENSUAL'!G306&gt;'COMPARACIÓN MENSUAL'!G305,'COMPARACIÓN MENSUAL'!G305,'COMPARACIÓN MENSUAL'!G306),0)</f>
        <v>0</v>
      </c>
      <c r="O49" s="124">
        <f>+IF('COMPARACIÓN MENSUAL'!G306+'COMPARACIÓN MENSUAL'!I306&gt;'COMPARACIÓN MENSUAL'!K306,'COMPARACIÓN MENSUAL'!G308,0)</f>
        <v>0</v>
      </c>
      <c r="P49" s="124">
        <f>+IF('COMPARACIÓN MENSUAL'!G306+'COMPARACIÓN MENSUAL'!I306&gt;'COMPARACIÓN MENSUAL'!K306,'COMPARACIÓN MENSUAL'!K306-'COMPARACIÓN MENSUAL'!G306,0)</f>
        <v>0</v>
      </c>
      <c r="Q49" s="53">
        <f t="shared" si="1"/>
        <v>0</v>
      </c>
      <c r="R49" s="53">
        <f t="shared" si="0"/>
        <v>0</v>
      </c>
    </row>
    <row r="50" spans="5:18" x14ac:dyDescent="0.25">
      <c r="E50" s="89">
        <v>44</v>
      </c>
      <c r="F50" s="91">
        <f>+'LISTA TRABAJADORES'!F50</f>
        <v>0</v>
      </c>
      <c r="G50" s="91">
        <f>+'LISTA TRABAJADORES'!G50</f>
        <v>0</v>
      </c>
      <c r="H50" s="53">
        <f>IF('Datos y Resumen '!$E$60=1,'DATOS PARA AJUSTE'!H50+'ISR '!K51,0)</f>
        <v>0</v>
      </c>
      <c r="I50" s="53">
        <f>IFERROR(IF('Datos y Resumen '!$E$60=1,VLOOKUP(H50,'TARIFAS 2025'!$J$168:$L$178,3,1),0),0)</f>
        <v>0</v>
      </c>
      <c r="J50" s="53">
        <f>+IF('COMPARACIÓN MENSUAL'!T306&gt;'COMPARACIÓN MENSUAL'!P306,'COMPARACIÓN MENSUAL'!T306-'COMPARACIÓN MENSUAL'!P306,0)</f>
        <v>0</v>
      </c>
      <c r="K50" s="53">
        <f>+IFERROR(IF(IF(J50+'DATOS PARA AJUSTE'!J50&lt;'AJUSTE AL SUBSIDIO '!I50,'AJUSTE AL SUBSIDIO '!J50,'AJUSTE AL SUBSIDIO '!I50-'DATOS PARA AJUSTE'!J50)&lt;0,0,IF(J50+'DATOS PARA AJUSTE'!J50&lt;'AJUSTE AL SUBSIDIO '!I50,'AJUSTE AL SUBSIDIO '!J50,'AJUSTE AL SUBSIDIO '!I50-'DATOS PARA AJUSTE'!J50)),0)</f>
        <v>0</v>
      </c>
      <c r="L50" s="53">
        <f>IF('Datos y Resumen '!$E$60=1,'ISR '!T51,0)</f>
        <v>0</v>
      </c>
      <c r="N50" s="124">
        <f>+IF('COMPARACIÓN MENSUAL'!P306+'COMPARACIÓN MENSUAL'!R306&gt;'COMPARACIÓN MENSUAL'!T306,IF('COMPARACIÓN MENSUAL'!P306&gt;'COMPARACIÓN MENSUAL'!P305,'COMPARACIÓN MENSUAL'!P305,'COMPARACIÓN MENSUAL'!P306),0)</f>
        <v>0</v>
      </c>
      <c r="O50" s="124">
        <f>+IF('COMPARACIÓN MENSUAL'!P306+'COMPARACIÓN MENSUAL'!R306&gt;'COMPARACIÓN MENSUAL'!T306,'COMPARACIÓN MENSUAL'!P308,0)</f>
        <v>0</v>
      </c>
      <c r="P50" s="124">
        <f>+IF('COMPARACIÓN MENSUAL'!P306+'COMPARACIÓN MENSUAL'!R306&gt;'COMPARACIÓN MENSUAL'!T306,'COMPARACIÓN MENSUAL'!T306-'COMPARACIÓN MENSUAL'!P306,0)</f>
        <v>0</v>
      </c>
      <c r="Q50" s="53">
        <f t="shared" si="1"/>
        <v>0</v>
      </c>
      <c r="R50" s="53">
        <f t="shared" si="0"/>
        <v>0</v>
      </c>
    </row>
    <row r="51" spans="5:18" x14ac:dyDescent="0.25">
      <c r="E51" s="89">
        <v>45</v>
      </c>
      <c r="F51" s="91">
        <f>+'LISTA TRABAJADORES'!F51</f>
        <v>0</v>
      </c>
      <c r="G51" s="91">
        <f>+'LISTA TRABAJADORES'!G51</f>
        <v>0</v>
      </c>
      <c r="H51" s="53">
        <f>IF('Datos y Resumen '!$E$60=1,'DATOS PARA AJUSTE'!H51+'ISR '!K52,0)</f>
        <v>0</v>
      </c>
      <c r="I51" s="53">
        <f>IFERROR(IF('Datos y Resumen '!$E$60=1,VLOOKUP(H51,'TARIFAS 2025'!$J$168:$L$178,3,1),0),0)</f>
        <v>0</v>
      </c>
      <c r="J51" s="53">
        <f>+IF('COMPARACIÓN MENSUAL'!K320&gt;'COMPARACIÓN MENSUAL'!G320,'COMPARACIÓN MENSUAL'!K320-'COMPARACIÓN MENSUAL'!G320,0)</f>
        <v>0</v>
      </c>
      <c r="K51" s="53">
        <f>+IFERROR(IF(IF(J51+'DATOS PARA AJUSTE'!J51&lt;'AJUSTE AL SUBSIDIO '!I51,'AJUSTE AL SUBSIDIO '!J51,'AJUSTE AL SUBSIDIO '!I51-'DATOS PARA AJUSTE'!J51)&lt;0,0,IF(J51+'DATOS PARA AJUSTE'!J51&lt;'AJUSTE AL SUBSIDIO '!I51,'AJUSTE AL SUBSIDIO '!J51,'AJUSTE AL SUBSIDIO '!I51-'DATOS PARA AJUSTE'!J51)),0)</f>
        <v>0</v>
      </c>
      <c r="L51" s="53">
        <f>IF('Datos y Resumen '!$E$60=1,'ISR '!T52,0)</f>
        <v>0</v>
      </c>
      <c r="N51" s="124">
        <f>+IF('COMPARACIÓN MENSUAL'!G320+'COMPARACIÓN MENSUAL'!I320&gt;'COMPARACIÓN MENSUAL'!K320,IF('COMPARACIÓN MENSUAL'!G320&gt;'COMPARACIÓN MENSUAL'!G319,'COMPARACIÓN MENSUAL'!G319,'COMPARACIÓN MENSUAL'!G320),0)</f>
        <v>0</v>
      </c>
      <c r="O51" s="124">
        <f>+IF('COMPARACIÓN MENSUAL'!G320+'COMPARACIÓN MENSUAL'!I320&gt;'COMPARACIÓN MENSUAL'!K320,'COMPARACIÓN MENSUAL'!G322,0)</f>
        <v>0</v>
      </c>
      <c r="P51" s="124">
        <f>+IF('COMPARACIÓN MENSUAL'!G320+'COMPARACIÓN MENSUAL'!I320&gt;'COMPARACIÓN MENSUAL'!K320,'COMPARACIÓN MENSUAL'!K320-'COMPARACIÓN MENSUAL'!G320,0)</f>
        <v>0</v>
      </c>
      <c r="Q51" s="53">
        <f t="shared" si="1"/>
        <v>0</v>
      </c>
      <c r="R51" s="53">
        <f t="shared" si="0"/>
        <v>0</v>
      </c>
    </row>
    <row r="52" spans="5:18" x14ac:dyDescent="0.25">
      <c r="E52" s="89">
        <v>46</v>
      </c>
      <c r="F52" s="91">
        <f>+'LISTA TRABAJADORES'!F52</f>
        <v>0</v>
      </c>
      <c r="G52" s="91">
        <f>+'LISTA TRABAJADORES'!G52</f>
        <v>0</v>
      </c>
      <c r="H52" s="53">
        <f>IF('Datos y Resumen '!$E$60=1,'DATOS PARA AJUSTE'!H52+'ISR '!K53,0)</f>
        <v>0</v>
      </c>
      <c r="I52" s="53">
        <f>IFERROR(IF('Datos y Resumen '!$E$60=1,VLOOKUP(H52,'TARIFAS 2025'!$J$168:$L$178,3,1),0),0)</f>
        <v>0</v>
      </c>
      <c r="J52" s="53">
        <f>+IF('COMPARACIÓN MENSUAL'!T320&gt;'COMPARACIÓN MENSUAL'!P320,'COMPARACIÓN MENSUAL'!T320-'COMPARACIÓN MENSUAL'!P320,0)</f>
        <v>0</v>
      </c>
      <c r="K52" s="53">
        <f>+IFERROR(IF(IF(J52+'DATOS PARA AJUSTE'!J52&lt;'AJUSTE AL SUBSIDIO '!I52,'AJUSTE AL SUBSIDIO '!J52,'AJUSTE AL SUBSIDIO '!I52-'DATOS PARA AJUSTE'!J52)&lt;0,0,IF(J52+'DATOS PARA AJUSTE'!J52&lt;'AJUSTE AL SUBSIDIO '!I52,'AJUSTE AL SUBSIDIO '!J52,'AJUSTE AL SUBSIDIO '!I52-'DATOS PARA AJUSTE'!J52)),0)</f>
        <v>0</v>
      </c>
      <c r="L52" s="53">
        <f>IF('Datos y Resumen '!$E$60=1,'ISR '!T53,0)</f>
        <v>0</v>
      </c>
      <c r="N52" s="124">
        <f>+IF('COMPARACIÓN MENSUAL'!P320+'COMPARACIÓN MENSUAL'!R320&gt;'COMPARACIÓN MENSUAL'!T320,IF('COMPARACIÓN MENSUAL'!P320,'COMPARACIÓN MENSUAL'!P319,'COMPARACIÓN MENSUAL'!P320),0)</f>
        <v>0</v>
      </c>
      <c r="O52" s="124">
        <f>+IF('COMPARACIÓN MENSUAL'!P320+'COMPARACIÓN MENSUAL'!R320&gt;'COMPARACIÓN MENSUAL'!T320,'COMPARACIÓN MENSUAL'!P322,0)</f>
        <v>0</v>
      </c>
      <c r="P52" s="124">
        <f>+IF('COMPARACIÓN MENSUAL'!P320+'COMPARACIÓN MENSUAL'!R320&gt;'COMPARACIÓN MENSUAL'!T320,'COMPARACIÓN MENSUAL'!T320-'COMPARACIÓN MENSUAL'!P320,0)</f>
        <v>0</v>
      </c>
      <c r="Q52" s="53">
        <f t="shared" si="1"/>
        <v>0</v>
      </c>
      <c r="R52" s="53">
        <f t="shared" si="0"/>
        <v>0</v>
      </c>
    </row>
    <row r="53" spans="5:18" x14ac:dyDescent="0.25">
      <c r="E53" s="89">
        <v>47</v>
      </c>
      <c r="F53" s="91">
        <f>+'LISTA TRABAJADORES'!F53</f>
        <v>0</v>
      </c>
      <c r="G53" s="91">
        <f>+'LISTA TRABAJADORES'!G53</f>
        <v>0</v>
      </c>
      <c r="H53" s="53">
        <f>IF('Datos y Resumen '!$E$60=1,'DATOS PARA AJUSTE'!H53+'ISR '!K54,0)</f>
        <v>0</v>
      </c>
      <c r="I53" s="53">
        <f>IFERROR(IF('Datos y Resumen '!$E$60=1,VLOOKUP(H53,'TARIFAS 2025'!$J$168:$L$178,3,1),0),0)</f>
        <v>0</v>
      </c>
      <c r="J53" s="53">
        <f>+IF('COMPARACIÓN MENSUAL'!K334&gt;'COMPARACIÓN MENSUAL'!G334,'COMPARACIÓN MENSUAL'!K334-'COMPARACIÓN MENSUAL'!G334,0)</f>
        <v>0</v>
      </c>
      <c r="K53" s="53">
        <f>+IFERROR(IF(IF(J53+'DATOS PARA AJUSTE'!J53&lt;'AJUSTE AL SUBSIDIO '!I53,'AJUSTE AL SUBSIDIO '!J53,'AJUSTE AL SUBSIDIO '!I53-'DATOS PARA AJUSTE'!J53)&lt;0,0,IF(J53+'DATOS PARA AJUSTE'!J53&lt;'AJUSTE AL SUBSIDIO '!I53,'AJUSTE AL SUBSIDIO '!J53,'AJUSTE AL SUBSIDIO '!I53-'DATOS PARA AJUSTE'!J53)),0)</f>
        <v>0</v>
      </c>
      <c r="L53" s="53">
        <f>IF('Datos y Resumen '!$E$60=1,'ISR '!T54,0)</f>
        <v>0</v>
      </c>
      <c r="N53" s="124">
        <f>+IF('COMPARACIÓN MENSUAL'!G334+'COMPARACIÓN MENSUAL'!I334&gt;'COMPARACIÓN MENSUAL'!K334,IF('COMPARACIÓN MENSUAL'!G334&gt;'COMPARACIÓN MENSUAL'!G333,'COMPARACIÓN MENSUAL'!G333,'COMPARACIÓN MENSUAL'!G334),0)</f>
        <v>0</v>
      </c>
      <c r="O53" s="124">
        <f>+IF('COMPARACIÓN MENSUAL'!G334+'COMPARACIÓN MENSUAL'!I334&gt;'COMPARACIÓN MENSUAL'!K334,'COMPARACIÓN MENSUAL'!G336,0)</f>
        <v>0</v>
      </c>
      <c r="P53" s="124">
        <f>+IF('COMPARACIÓN MENSUAL'!G334+'COMPARACIÓN MENSUAL'!I334&gt;'COMPARACIÓN MENSUAL'!K334,'COMPARACIÓN MENSUAL'!K334-'COMPARACIÓN MENSUAL'!G334,0)</f>
        <v>0</v>
      </c>
      <c r="Q53" s="53">
        <f t="shared" si="1"/>
        <v>0</v>
      </c>
      <c r="R53" s="53">
        <f t="shared" si="0"/>
        <v>0</v>
      </c>
    </row>
    <row r="54" spans="5:18" x14ac:dyDescent="0.25">
      <c r="E54" s="89">
        <v>48</v>
      </c>
      <c r="F54" s="91">
        <f>+'LISTA TRABAJADORES'!F54</f>
        <v>0</v>
      </c>
      <c r="G54" s="91">
        <f>+'LISTA TRABAJADORES'!G54</f>
        <v>0</v>
      </c>
      <c r="H54" s="53">
        <f>IF('Datos y Resumen '!$E$60=1,'DATOS PARA AJUSTE'!H54+'ISR '!K55,0)</f>
        <v>0</v>
      </c>
      <c r="I54" s="53">
        <f>IFERROR(IF('Datos y Resumen '!$E$60=1,VLOOKUP(H54,'TARIFAS 2025'!$J$168:$L$178,3,1),0),0)</f>
        <v>0</v>
      </c>
      <c r="J54" s="53">
        <f>+IF('COMPARACIÓN MENSUAL'!T334&gt;'COMPARACIÓN MENSUAL'!P334,'COMPARACIÓN MENSUAL'!T334-'COMPARACIÓN MENSUAL'!P334,0)</f>
        <v>0</v>
      </c>
      <c r="K54" s="53">
        <f>+IFERROR(IF(IF(J54+'DATOS PARA AJUSTE'!J54&lt;'AJUSTE AL SUBSIDIO '!I54,'AJUSTE AL SUBSIDIO '!J54,'AJUSTE AL SUBSIDIO '!I54-'DATOS PARA AJUSTE'!J54)&lt;0,0,IF(J54+'DATOS PARA AJUSTE'!J54&lt;'AJUSTE AL SUBSIDIO '!I54,'AJUSTE AL SUBSIDIO '!J54,'AJUSTE AL SUBSIDIO '!I54-'DATOS PARA AJUSTE'!J54)),0)</f>
        <v>0</v>
      </c>
      <c r="L54" s="53">
        <f>IF('Datos y Resumen '!$E$60=1,'ISR '!T55,0)</f>
        <v>0</v>
      </c>
      <c r="N54" s="124">
        <f>+IF('COMPARACIÓN MENSUAL'!P334+'COMPARACIÓN MENSUAL'!R334&gt;'COMPARACIÓN MENSUAL'!T334,IF('COMPARACIÓN MENSUAL'!P334&gt;'COMPARACIÓN MENSUAL'!P333,'COMPARACIÓN MENSUAL'!P333,'COMPARACIÓN MENSUAL'!P334),0)</f>
        <v>0</v>
      </c>
      <c r="O54" s="124">
        <f>+IF('COMPARACIÓN MENSUAL'!P334+'COMPARACIÓN MENSUAL'!R334&gt;'COMPARACIÓN MENSUAL'!T334,'COMPARACIÓN MENSUAL'!P336,0)</f>
        <v>0</v>
      </c>
      <c r="P54" s="124">
        <f>+IF('COMPARACIÓN MENSUAL'!P334+'COMPARACIÓN MENSUAL'!R334&gt;'COMPARACIÓN MENSUAL'!T334,'COMPARACIÓN MENSUAL'!T334-'COMPARACIÓN MENSUAL'!P334,0)</f>
        <v>0</v>
      </c>
      <c r="Q54" s="53">
        <f t="shared" si="1"/>
        <v>0</v>
      </c>
      <c r="R54" s="53">
        <f t="shared" si="0"/>
        <v>0</v>
      </c>
    </row>
    <row r="55" spans="5:18" x14ac:dyDescent="0.25">
      <c r="E55" s="89">
        <v>49</v>
      </c>
      <c r="F55" s="91">
        <f>+'LISTA TRABAJADORES'!F55</f>
        <v>0</v>
      </c>
      <c r="G55" s="91">
        <f>+'LISTA TRABAJADORES'!G55</f>
        <v>0</v>
      </c>
      <c r="H55" s="53">
        <f>IF('Datos y Resumen '!$E$60=1,'DATOS PARA AJUSTE'!H55+'ISR '!K56,0)</f>
        <v>0</v>
      </c>
      <c r="I55" s="53">
        <f>IFERROR(IF('Datos y Resumen '!$E$60=1,VLOOKUP(H55,'TARIFAS 2025'!$J$168:$L$178,3,1),0),0)</f>
        <v>0</v>
      </c>
      <c r="J55" s="53">
        <f>+IF('COMPARACIÓN MENSUAL'!K348&gt;'COMPARACIÓN MENSUAL'!G348,'COMPARACIÓN MENSUAL'!K348-'COMPARACIÓN MENSUAL'!G348,0)</f>
        <v>0</v>
      </c>
      <c r="K55" s="53">
        <f>+IFERROR(IF(IF(J55+'DATOS PARA AJUSTE'!J55&lt;'AJUSTE AL SUBSIDIO '!I55,'AJUSTE AL SUBSIDIO '!J55,'AJUSTE AL SUBSIDIO '!I55-'DATOS PARA AJUSTE'!J55)&lt;0,0,IF(J55+'DATOS PARA AJUSTE'!J55&lt;'AJUSTE AL SUBSIDIO '!I55,'AJUSTE AL SUBSIDIO '!J55,'AJUSTE AL SUBSIDIO '!I55-'DATOS PARA AJUSTE'!J55)),0)</f>
        <v>0</v>
      </c>
      <c r="L55" s="53">
        <f>IF('Datos y Resumen '!$E$60=1,'ISR '!T56,0)</f>
        <v>0</v>
      </c>
      <c r="N55" s="124">
        <f>+IF('COMPARACIÓN MENSUAL'!G348+'COMPARACIÓN MENSUAL'!I348&gt;'COMPARACIÓN MENSUAL'!K348,IF('COMPARACIÓN MENSUAL'!G348&gt;'COMPARACIÓN MENSUAL'!G347,'COMPARACIÓN MENSUAL'!G347,'COMPARACIÓN MENSUAL'!G348),0)</f>
        <v>0</v>
      </c>
      <c r="O55" s="124">
        <f>+IF('COMPARACIÓN MENSUAL'!G348+'COMPARACIÓN MENSUAL'!I348&gt;'COMPARACIÓN MENSUAL'!K348,'COMPARACIÓN MENSUAL'!G350,0)</f>
        <v>0</v>
      </c>
      <c r="P55" s="124">
        <f>+IF('COMPARACIÓN MENSUAL'!G348+'COMPARACIÓN MENSUAL'!I348&gt;'COMPARACIÓN MENSUAL'!K348,'COMPARACIÓN MENSUAL'!K348-'COMPARACIÓN MENSUAL'!G348,0)</f>
        <v>0</v>
      </c>
      <c r="Q55" s="53">
        <f t="shared" si="1"/>
        <v>0</v>
      </c>
      <c r="R55" s="53">
        <f t="shared" si="0"/>
        <v>0</v>
      </c>
    </row>
    <row r="56" spans="5:18" x14ac:dyDescent="0.25">
      <c r="E56" s="100">
        <v>50</v>
      </c>
      <c r="F56" s="91">
        <f>+'LISTA TRABAJADORES'!F56</f>
        <v>0</v>
      </c>
      <c r="G56" s="91">
        <f>+'LISTA TRABAJADORES'!G56</f>
        <v>0</v>
      </c>
      <c r="H56" s="53">
        <f>IF('Datos y Resumen '!$E$60=1,'DATOS PARA AJUSTE'!H56+'ISR '!K57,0)</f>
        <v>0</v>
      </c>
      <c r="I56" s="53">
        <f>IFERROR(IF('Datos y Resumen '!$E$60=1,VLOOKUP(H56,'TARIFAS 2025'!$J$168:$L$178,3,1),0),0)</f>
        <v>0</v>
      </c>
      <c r="J56" s="53">
        <f>+IF('COMPARACIÓN MENSUAL'!T348&gt;'COMPARACIÓN MENSUAL'!P348,'COMPARACIÓN MENSUAL'!T348-'COMPARACIÓN MENSUAL'!P348,0)</f>
        <v>0</v>
      </c>
      <c r="K56" s="53">
        <f>+IFERROR(IF(IF(J56+'DATOS PARA AJUSTE'!J56&lt;'AJUSTE AL SUBSIDIO '!I56,'AJUSTE AL SUBSIDIO '!J56,'AJUSTE AL SUBSIDIO '!I56-'DATOS PARA AJUSTE'!J56)&lt;0,0,IF(J56+'DATOS PARA AJUSTE'!J56&lt;'AJUSTE AL SUBSIDIO '!I56,'AJUSTE AL SUBSIDIO '!J56,'AJUSTE AL SUBSIDIO '!I56-'DATOS PARA AJUSTE'!J56)),0)</f>
        <v>0</v>
      </c>
      <c r="L56" s="53">
        <f>IF('Datos y Resumen '!$E$60=1,'ISR '!T57,0)</f>
        <v>0</v>
      </c>
      <c r="N56" s="124">
        <f>+IF('COMPARACIÓN MENSUAL'!P348+'COMPARACIÓN MENSUAL'!R348&gt;'COMPARACIÓN MENSUAL'!T348,IF('COMPARACIÓN MENSUAL'!P348&gt;'COMPARACIÓN MENSUAL'!P347,'COMPARACIÓN MENSUAL'!P347,'COMPARACIÓN MENSUAL'!P348),0)</f>
        <v>0</v>
      </c>
      <c r="O56" s="124">
        <f>+IF('COMPARACIÓN MENSUAL'!P348+'COMPARACIÓN MENSUAL'!R348&gt;'COMPARACIÓN MENSUAL'!T348,'COMPARACIÓN MENSUAL'!P350,0)</f>
        <v>0</v>
      </c>
      <c r="P56" s="124">
        <f>+IF('COMPARACIÓN MENSUAL'!P348+'COMPARACIÓN MENSUAL'!R348&gt;'COMPARACIÓN MENSUAL'!T348,'COMPARACIÓN MENSUAL'!T348-'COMPARACIÓN MENSUAL'!P348,0)</f>
        <v>0</v>
      </c>
      <c r="Q56" s="53">
        <f t="shared" si="1"/>
        <v>0</v>
      </c>
      <c r="R56" s="53">
        <f t="shared" si="0"/>
        <v>0</v>
      </c>
    </row>
    <row r="57" spans="5:18" ht="15.75" thickBot="1" x14ac:dyDescent="0.3">
      <c r="E57" s="90">
        <v>50</v>
      </c>
      <c r="F57" s="90">
        <v>50</v>
      </c>
      <c r="G57" s="90">
        <v>50</v>
      </c>
      <c r="H57" s="90">
        <v>50</v>
      </c>
      <c r="I57" s="90">
        <v>50</v>
      </c>
      <c r="J57" s="90">
        <v>50</v>
      </c>
      <c r="K57" s="90">
        <v>50</v>
      </c>
      <c r="L57" s="90">
        <v>50</v>
      </c>
      <c r="M57" s="90">
        <v>50</v>
      </c>
      <c r="N57" s="90"/>
      <c r="O57" s="90"/>
      <c r="P57" s="90"/>
      <c r="Q57" s="90"/>
      <c r="R57" s="90"/>
    </row>
    <row r="58" spans="5:18" ht="15.75" thickTop="1" x14ac:dyDescent="0.25"/>
    <row r="61" spans="5:18" x14ac:dyDescent="0.25">
      <c r="G61" s="122"/>
    </row>
    <row r="62" spans="5:18" x14ac:dyDescent="0.25">
      <c r="G62" s="122"/>
    </row>
    <row r="63" spans="5:18" x14ac:dyDescent="0.25">
      <c r="G63" s="122"/>
    </row>
  </sheetData>
  <mergeCells count="30">
    <mergeCell ref="B18:C18"/>
    <mergeCell ref="B17:C17"/>
    <mergeCell ref="I5:I6"/>
    <mergeCell ref="K5:K6"/>
    <mergeCell ref="L5:L6"/>
    <mergeCell ref="H5:H6"/>
    <mergeCell ref="B16:C16"/>
    <mergeCell ref="E5:E6"/>
    <mergeCell ref="F5:F6"/>
    <mergeCell ref="G5:G6"/>
    <mergeCell ref="B8:C8"/>
    <mergeCell ref="B9:C9"/>
    <mergeCell ref="B10:C10"/>
    <mergeCell ref="B11:C11"/>
    <mergeCell ref="B12:C12"/>
    <mergeCell ref="B13:C13"/>
    <mergeCell ref="B14:C14"/>
    <mergeCell ref="N3:R3"/>
    <mergeCell ref="J5:J6"/>
    <mergeCell ref="B15:C15"/>
    <mergeCell ref="B2:C3"/>
    <mergeCell ref="B4:C4"/>
    <mergeCell ref="B5:C5"/>
    <mergeCell ref="B6:C6"/>
    <mergeCell ref="B7:C7"/>
    <mergeCell ref="N4:N6"/>
    <mergeCell ref="O4:O6"/>
    <mergeCell ref="P4:P6"/>
    <mergeCell ref="Q4:Q6"/>
    <mergeCell ref="R4:R6"/>
  </mergeCells>
  <hyperlinks>
    <hyperlink ref="B4:C4" location="'Datos y Resumen '!A1" display="DATOS Y RESUMEN" xr:uid="{27642F15-EB84-42EA-A593-AAC64CB5F2FA}"/>
    <hyperlink ref="B5:C5" location="'LISTA TRABAJADORES'!A1" display="LISTA DE TRABAJADORES" xr:uid="{1E1EEB95-DFFB-4723-946A-CF73061FDFDA}"/>
    <hyperlink ref="B6:C6" location="'ISR '!A1" display="ISR" xr:uid="{13F2873A-E958-4B36-A9D6-2990389A3A72}"/>
    <hyperlink ref="B7:C7" location="'OTRAS PRESTACIONES'!A1" display="OTRAS PRESTACIONES" xr:uid="{F6971885-30DD-4321-9D82-8B3292583B48}"/>
    <hyperlink ref="B8:C8" location="'OTRAS RETENCIONES'!A1" display="OTRAS RETENCIONES" xr:uid="{492EDA63-26FF-4AF4-82BF-AECB62999388}"/>
    <hyperlink ref="B9:C9" location="'DATOS PARA AJUSTE'!A1" display="DATOS PARA AJUSTE" xr:uid="{512DE0A1-927E-44BA-A12F-6D560E6967B7}"/>
    <hyperlink ref="B10:C10" location="'AJUSTE AL SUBSIDIO '!A1" display="AJUSTE AL SUBSIDIO" xr:uid="{6C2ADE9D-5CDA-4135-8A1C-9DC1C58AFE05}"/>
    <hyperlink ref="B11:C11" location="'COMPARACIÓN MENSUAL'!A1" display="COMPARACIÓN MENSUAL" xr:uid="{B22327F8-D8B6-4281-82D7-7E2D4FD4CA75}"/>
    <hyperlink ref="B12:C12" location="'CUOTAS IMSS'!A1" display="CUOTAS IMSS" xr:uid="{46812AFC-EE28-462A-A585-C3E742C37096}"/>
    <hyperlink ref="B13:C13" location="'HORAS EXTRAS'!A1" display="HORAS EXTRAS" xr:uid="{A335E9B9-E66D-4160-A7D0-E80DEE5E40BD}"/>
    <hyperlink ref="B14:C14" location="AGUINALDO!A1" display="AGUINALDO" xr:uid="{3D9B6E74-2548-4968-89E4-259818FC4E92}"/>
    <hyperlink ref="B15:C15" location="'NOMINA FISCAL'!A1" display="NOMINA FISCAL " xr:uid="{74C94F92-628D-4346-9938-AA1BC693DA2A}"/>
    <hyperlink ref="B16:C16" location="CONCEN!A1" display="CONCENTRADO" xr:uid="{B3B23F9B-7406-4A01-A7DD-C99AE55AC2BE}"/>
    <hyperlink ref="B17:C17" location="'TARIFAS 2022'!A1" display="TARIFAS 2022" xr:uid="{4F346393-1461-40C5-83AA-513941009E22}"/>
    <hyperlink ref="B18:C18" location="'DATOS EXTRAS'!A1" display="DATOS EXTRAS" xr:uid="{7134A465-B2C3-4DD8-BBD9-82A41B887774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ERROR" error="EL TIPO DE CALCULO NO ES AJUSTADA" xr:uid="{20B974C8-F463-4793-AC40-CB645DA1C903}">
          <x14:formula1>
            <xm:f>'Datos y Resumen '!$E$60=1</xm:f>
          </x14:formula1>
          <xm:sqref>H7:L56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E903-52B2-47F1-A9BF-3ADF098F676B}">
  <sheetPr codeName="Hoja8">
    <tabColor theme="3" tint="-0.499984740745262"/>
    <pageSetUpPr autoPageBreaks="0"/>
  </sheetPr>
  <dimension ref="B1:U355"/>
  <sheetViews>
    <sheetView zoomScaleNormal="100" workbookViewId="0">
      <selection activeCell="G5" sqref="G5"/>
    </sheetView>
  </sheetViews>
  <sheetFormatPr baseColWidth="10" defaultRowHeight="15.75" x14ac:dyDescent="0.25"/>
  <cols>
    <col min="1" max="1" width="1" style="87" customWidth="1"/>
    <col min="2" max="3" width="9.7109375" style="87" customWidth="1"/>
    <col min="4" max="4" width="2.85546875" style="87" customWidth="1"/>
    <col min="5" max="5" width="2.5703125" style="87" customWidth="1"/>
    <col min="6" max="6" width="24" style="87" bestFit="1" customWidth="1"/>
    <col min="7" max="7" width="16.5703125" style="48" bestFit="1" customWidth="1"/>
    <col min="8" max="8" width="2.5703125" style="87" customWidth="1"/>
    <col min="9" max="9" width="15.28515625" style="87" bestFit="1" customWidth="1"/>
    <col min="10" max="10" width="2.85546875" style="87" customWidth="1"/>
    <col min="11" max="11" width="11.42578125" style="87"/>
    <col min="12" max="12" width="2.5703125" style="87" customWidth="1"/>
    <col min="13" max="13" width="2" style="87" customWidth="1"/>
    <col min="14" max="14" width="3.140625" style="87" customWidth="1"/>
    <col min="15" max="15" width="23.140625" style="87" bestFit="1" customWidth="1"/>
    <col min="16" max="16" width="15.5703125" style="87" customWidth="1"/>
    <col min="17" max="17" width="2.140625" style="87" customWidth="1"/>
    <col min="18" max="18" width="15.85546875" style="87" customWidth="1"/>
    <col min="19" max="19" width="2.28515625" style="87" customWidth="1"/>
    <col min="20" max="20" width="11.42578125" style="87"/>
    <col min="21" max="21" width="2.140625" style="87" customWidth="1"/>
    <col min="22" max="16384" width="11.42578125" style="87"/>
  </cols>
  <sheetData>
    <row r="1" spans="2:21" ht="3.75" customHeight="1" thickBot="1" x14ac:dyDescent="0.3"/>
    <row r="2" spans="2:21" ht="23.25" customHeight="1" x14ac:dyDescent="0.25">
      <c r="B2" s="300" t="s">
        <v>334</v>
      </c>
      <c r="C2" s="301"/>
      <c r="E2" s="380" t="s">
        <v>300</v>
      </c>
      <c r="F2" s="381"/>
      <c r="G2" s="381"/>
      <c r="H2" s="381"/>
      <c r="I2" s="381"/>
      <c r="J2" s="381"/>
      <c r="K2" s="381"/>
      <c r="L2" s="382"/>
      <c r="N2" s="380" t="s">
        <v>300</v>
      </c>
      <c r="O2" s="381"/>
      <c r="P2" s="381"/>
      <c r="Q2" s="381"/>
      <c r="R2" s="381"/>
      <c r="S2" s="381"/>
      <c r="T2" s="381"/>
      <c r="U2" s="382"/>
    </row>
    <row r="3" spans="2:21" ht="16.5" x14ac:dyDescent="0.25">
      <c r="B3" s="302"/>
      <c r="C3" s="303"/>
      <c r="E3" s="69"/>
      <c r="F3" s="68" t="str">
        <f>+'LISTA TRABAJADORES'!E7</f>
        <v>1</v>
      </c>
      <c r="G3" s="383" t="str">
        <f>+'ISR '!G8</f>
        <v>JUAN PABLO CAMINOS</v>
      </c>
      <c r="H3" s="383"/>
      <c r="I3" s="383"/>
      <c r="J3" s="383"/>
      <c r="K3" s="67"/>
      <c r="L3" s="70"/>
      <c r="N3" s="69"/>
      <c r="O3" s="68" t="str">
        <f>+'LISTA TRABAJADORES'!E8</f>
        <v>2</v>
      </c>
      <c r="P3" s="383" t="str">
        <f>+'LISTA TRABAJADORES'!G8</f>
        <v>HECTOR ULISES GARCIA</v>
      </c>
      <c r="Q3" s="383"/>
      <c r="R3" s="383"/>
      <c r="S3" s="383"/>
      <c r="T3" s="67"/>
      <c r="U3" s="70"/>
    </row>
    <row r="4" spans="2:21" x14ac:dyDescent="0.25">
      <c r="B4" s="304" t="s">
        <v>312</v>
      </c>
      <c r="C4" s="305"/>
      <c r="E4" s="71"/>
      <c r="F4" s="104"/>
      <c r="G4" s="104" t="s">
        <v>301</v>
      </c>
      <c r="H4" s="104"/>
      <c r="I4" s="104" t="s">
        <v>302</v>
      </c>
      <c r="J4" s="104"/>
      <c r="K4" s="104" t="s">
        <v>294</v>
      </c>
      <c r="L4" s="72"/>
      <c r="N4" s="71"/>
      <c r="O4" s="104"/>
      <c r="P4" s="104" t="s">
        <v>301</v>
      </c>
      <c r="Q4" s="104"/>
      <c r="R4" s="104" t="s">
        <v>302</v>
      </c>
      <c r="S4" s="104"/>
      <c r="T4" s="104" t="s">
        <v>294</v>
      </c>
      <c r="U4" s="72"/>
    </row>
    <row r="5" spans="2:21" x14ac:dyDescent="0.25">
      <c r="B5" s="304" t="s">
        <v>233</v>
      </c>
      <c r="C5" s="305"/>
      <c r="E5" s="127"/>
      <c r="F5" s="123" t="s">
        <v>303</v>
      </c>
      <c r="G5" s="53">
        <f>+IF('Datos y Resumen '!E60=1,'DATOS PARA AJUSTE'!H7,'ISR '!K8)</f>
        <v>4182</v>
      </c>
      <c r="H5" s="123"/>
      <c r="I5" s="53">
        <f>+IF('Datos y Resumen '!E60=1,'ISR '!K8,0)</f>
        <v>0</v>
      </c>
      <c r="J5" s="123"/>
      <c r="K5" s="53">
        <f>+G5+I5</f>
        <v>4182</v>
      </c>
      <c r="L5" s="128"/>
      <c r="N5" s="127"/>
      <c r="O5" s="123" t="s">
        <v>303</v>
      </c>
      <c r="P5" s="53">
        <f>+IF('Datos y Resumen '!E60=1,'DATOS PARA AJUSTE'!H8,'ISR '!K9)</f>
        <v>4182.1499999999996</v>
      </c>
      <c r="Q5" s="123"/>
      <c r="R5" s="53">
        <f>+IF('Datos y Resumen '!E60=1,'ISR '!K9,0)</f>
        <v>0</v>
      </c>
      <c r="S5" s="123"/>
      <c r="T5" s="53">
        <f>+P5+R5</f>
        <v>4182.1499999999996</v>
      </c>
      <c r="U5" s="128"/>
    </row>
    <row r="6" spans="2:21" x14ac:dyDescent="0.25">
      <c r="B6" s="304" t="s">
        <v>62</v>
      </c>
      <c r="C6" s="305"/>
      <c r="E6" s="127"/>
      <c r="F6" s="123" t="s">
        <v>295</v>
      </c>
      <c r="G6" s="53"/>
      <c r="H6" s="123"/>
      <c r="I6" s="53"/>
      <c r="J6" s="123"/>
      <c r="K6" s="53">
        <f>IFERROR(VLOOKUP(K5,'TARIFAS 2025'!D168:G178,1,1),0)</f>
        <v>746.05</v>
      </c>
      <c r="L6" s="128"/>
      <c r="N6" s="127"/>
      <c r="O6" s="123" t="s">
        <v>295</v>
      </c>
      <c r="P6" s="53"/>
      <c r="Q6" s="123"/>
      <c r="R6" s="53"/>
      <c r="S6" s="123"/>
      <c r="T6" s="53">
        <f>+IFERROR(VLOOKUP(T5,'TARIFAS 2025'!D168:G178,1,1),0)</f>
        <v>746.05</v>
      </c>
      <c r="U6" s="128"/>
    </row>
    <row r="7" spans="2:21" x14ac:dyDescent="0.25">
      <c r="B7" s="306" t="s">
        <v>313</v>
      </c>
      <c r="C7" s="307"/>
      <c r="E7" s="127"/>
      <c r="F7" s="123" t="s">
        <v>296</v>
      </c>
      <c r="G7" s="53"/>
      <c r="H7" s="123"/>
      <c r="I7" s="53"/>
      <c r="J7" s="123"/>
      <c r="K7" s="53">
        <f>+K5-K6</f>
        <v>3435.95</v>
      </c>
      <c r="L7" s="128"/>
      <c r="N7" s="127"/>
      <c r="O7" s="123" t="s">
        <v>296</v>
      </c>
      <c r="P7" s="53"/>
      <c r="Q7" s="123"/>
      <c r="R7" s="53"/>
      <c r="S7" s="123"/>
      <c r="T7" s="53">
        <f>+T5-T6</f>
        <v>3436.0999999999995</v>
      </c>
      <c r="U7" s="128"/>
    </row>
    <row r="8" spans="2:21" x14ac:dyDescent="0.25">
      <c r="B8" s="304" t="s">
        <v>243</v>
      </c>
      <c r="C8" s="305"/>
      <c r="E8" s="127"/>
      <c r="F8" s="123" t="s">
        <v>304</v>
      </c>
      <c r="G8" s="53"/>
      <c r="H8" s="123"/>
      <c r="I8" s="53"/>
      <c r="J8" s="123"/>
      <c r="K8" s="55">
        <f>IFERROR(VLOOKUP(K5,'TARIFAS 2025'!D168:G178,4,1),0)</f>
        <v>6.4000000000000001E-2</v>
      </c>
      <c r="L8" s="128"/>
      <c r="N8" s="127"/>
      <c r="O8" s="123" t="s">
        <v>304</v>
      </c>
      <c r="P8" s="53"/>
      <c r="Q8" s="123"/>
      <c r="R8" s="53"/>
      <c r="S8" s="123"/>
      <c r="T8" s="55">
        <f>+IFERROR(VLOOKUP(T5,'TARIFAS 2025'!D168:G178,4,1),0)</f>
        <v>6.4000000000000001E-2</v>
      </c>
      <c r="U8" s="128"/>
    </row>
    <row r="9" spans="2:21" x14ac:dyDescent="0.25">
      <c r="B9" s="304" t="s">
        <v>282</v>
      </c>
      <c r="C9" s="305"/>
      <c r="E9" s="127"/>
      <c r="F9" s="123" t="s">
        <v>297</v>
      </c>
      <c r="G9" s="53"/>
      <c r="H9" s="123"/>
      <c r="I9" s="53"/>
      <c r="J9" s="123"/>
      <c r="K9" s="53">
        <f>+K7*K8</f>
        <v>219.9008</v>
      </c>
      <c r="L9" s="128"/>
      <c r="N9" s="127"/>
      <c r="O9" s="123" t="s">
        <v>297</v>
      </c>
      <c r="P9" s="53"/>
      <c r="Q9" s="123"/>
      <c r="R9" s="53"/>
      <c r="S9" s="123"/>
      <c r="T9" s="53">
        <f>+T7*T8</f>
        <v>219.91039999999998</v>
      </c>
      <c r="U9" s="128"/>
    </row>
    <row r="10" spans="2:21" x14ac:dyDescent="0.25">
      <c r="B10" s="306" t="s">
        <v>314</v>
      </c>
      <c r="C10" s="307"/>
      <c r="E10" s="127"/>
      <c r="F10" s="123" t="s">
        <v>305</v>
      </c>
      <c r="G10" s="53"/>
      <c r="H10" s="123"/>
      <c r="I10" s="53"/>
      <c r="J10" s="123"/>
      <c r="K10" s="53">
        <f>IFERROR(VLOOKUP(K5,'TARIFAS 2025'!D168:G178,3,1),0)</f>
        <v>14.32</v>
      </c>
      <c r="L10" s="128"/>
      <c r="N10" s="127"/>
      <c r="O10" s="123" t="s">
        <v>305</v>
      </c>
      <c r="P10" s="53"/>
      <c r="Q10" s="123"/>
      <c r="R10" s="53"/>
      <c r="S10" s="123"/>
      <c r="T10" s="53">
        <f>+IFERROR(VLOOKUP(T5,'TARIFAS 2025'!D168:G178,3,1),0)</f>
        <v>14.32</v>
      </c>
      <c r="U10" s="128"/>
    </row>
    <row r="11" spans="2:21" x14ac:dyDescent="0.25">
      <c r="B11" s="306" t="s">
        <v>300</v>
      </c>
      <c r="C11" s="307"/>
      <c r="E11" s="127"/>
      <c r="F11" s="123" t="s">
        <v>306</v>
      </c>
      <c r="G11" s="53">
        <f>+IF('Datos y Resumen '!E60=1,'DATOS PARA AJUSTE'!I7,'ISR '!Q8)</f>
        <v>298.521232</v>
      </c>
      <c r="H11" s="123"/>
      <c r="I11" s="53">
        <f>+IF('Datos y Resumen '!E60=1,K11-G11,0)</f>
        <v>0</v>
      </c>
      <c r="J11" s="123"/>
      <c r="K11" s="53">
        <f>+K9+K10</f>
        <v>234.2208</v>
      </c>
      <c r="L11" s="128"/>
      <c r="N11" s="127"/>
      <c r="O11" s="123" t="s">
        <v>306</v>
      </c>
      <c r="P11" s="53">
        <f>+IF('Datos y Resumen '!E60=1,'DATOS PARA AJUSTE'!I8,'ISR '!Q9)</f>
        <v>298.53755200000001</v>
      </c>
      <c r="Q11" s="123"/>
      <c r="R11" s="53">
        <f>+IF('Datos y Resumen '!E60=1,T11-P11,0)</f>
        <v>0</v>
      </c>
      <c r="S11" s="123"/>
      <c r="T11" s="53">
        <f>+T9+T10</f>
        <v>234.23039999999997</v>
      </c>
      <c r="U11" s="128"/>
    </row>
    <row r="12" spans="2:21" x14ac:dyDescent="0.25">
      <c r="B12" s="304" t="s">
        <v>315</v>
      </c>
      <c r="C12" s="305"/>
      <c r="E12" s="127"/>
      <c r="F12" s="123" t="s">
        <v>307</v>
      </c>
      <c r="G12" s="53">
        <f>+IF('Datos y Resumen '!E60=1,'DATOS PARA AJUSTE'!J7,'ISR '!R8)</f>
        <v>234.34950000000001</v>
      </c>
      <c r="H12" s="123"/>
      <c r="I12" s="53">
        <f>+'AJUSTE AL SUBSIDIO '!K7</f>
        <v>0</v>
      </c>
      <c r="J12" s="123"/>
      <c r="K12" s="53">
        <f>IFERROR(VLOOKUP(K5,'TARIFAS 2025'!J168:L178,3,1),0)</f>
        <v>474.95</v>
      </c>
      <c r="L12" s="128"/>
      <c r="N12" s="127"/>
      <c r="O12" s="123" t="s">
        <v>307</v>
      </c>
      <c r="P12" s="53">
        <f>+IF('Datos y Resumen '!E60=1,'DATOS PARA AJUSTE'!J8,'ISR '!R9)</f>
        <v>234.34950000000001</v>
      </c>
      <c r="Q12" s="123"/>
      <c r="R12" s="53">
        <f>IF('Datos y Resumen '!E60=1,IF(T12&gt;=P12,T12-P12,0),0)</f>
        <v>0</v>
      </c>
      <c r="S12" s="123"/>
      <c r="T12" s="53">
        <f>+IFERROR(VLOOKUP(T5,'TARIFAS 2025'!J168:L178,3,1),0)</f>
        <v>474.95</v>
      </c>
      <c r="U12" s="128"/>
    </row>
    <row r="13" spans="2:21" x14ac:dyDescent="0.25">
      <c r="B13" s="304" t="s">
        <v>192</v>
      </c>
      <c r="C13" s="305"/>
      <c r="E13" s="127"/>
      <c r="F13" s="123" t="s">
        <v>298</v>
      </c>
      <c r="G13" s="53">
        <f>+IF('Datos y Resumen '!E60=1,'DATOS PARA AJUSTE'!K7,'ISR '!S8)</f>
        <v>64.17</v>
      </c>
      <c r="H13" s="123"/>
      <c r="I13" s="53">
        <f>+IF(I11&gt;=I12,I11-I12,0)</f>
        <v>0</v>
      </c>
      <c r="J13" s="123"/>
      <c r="K13" s="53">
        <f>+IF(K11&gt;=K12,K11-K12,0)</f>
        <v>0</v>
      </c>
      <c r="L13" s="128"/>
      <c r="N13" s="127"/>
      <c r="O13" s="123" t="s">
        <v>298</v>
      </c>
      <c r="P13" s="53">
        <f>+IF('Datos y Resumen '!E60=1,'DATOS PARA AJUSTE'!K8,'ISR '!S9)</f>
        <v>64.19</v>
      </c>
      <c r="Q13" s="123"/>
      <c r="R13" s="53">
        <f>+IF(R11&gt;=R12,R11-R12,0)</f>
        <v>0</v>
      </c>
      <c r="S13" s="123"/>
      <c r="T13" s="53">
        <f>+IF(T11&gt;=T12,T11-T12,0)</f>
        <v>0</v>
      </c>
      <c r="U13" s="128"/>
    </row>
    <row r="14" spans="2:21" ht="16.5" thickBot="1" x14ac:dyDescent="0.3">
      <c r="B14" s="306" t="s">
        <v>236</v>
      </c>
      <c r="C14" s="307"/>
      <c r="E14" s="129"/>
      <c r="F14" s="130" t="s">
        <v>299</v>
      </c>
      <c r="G14" s="131">
        <f>+IF('Datos y Resumen '!E60=1,'DATOS PARA AJUSTE'!L7,'ISR '!T8)</f>
        <v>0</v>
      </c>
      <c r="H14" s="130"/>
      <c r="I14" s="131">
        <f>+IF(I12&gt;=I11,I12-I11,0)</f>
        <v>0</v>
      </c>
      <c r="J14" s="130"/>
      <c r="K14" s="131">
        <f>+IF(K12&gt;=K11,K12-K11,0)</f>
        <v>240.72919999999999</v>
      </c>
      <c r="L14" s="132"/>
      <c r="N14" s="129"/>
      <c r="O14" s="130" t="s">
        <v>299</v>
      </c>
      <c r="P14" s="131">
        <f>+IF('Datos y Resumen '!E60=1,'DATOS PARA AJUSTE'!L8,'ISR '!T9)</f>
        <v>0</v>
      </c>
      <c r="Q14" s="130"/>
      <c r="R14" s="131">
        <f>+IF(R12&gt;=R11,R12-R11,0)</f>
        <v>0</v>
      </c>
      <c r="S14" s="130"/>
      <c r="T14" s="131">
        <f>+IF(T12&gt;=T11,T12-T11,0)</f>
        <v>240.71960000000001</v>
      </c>
      <c r="U14" s="132"/>
    </row>
    <row r="15" spans="2:21" ht="16.5" thickBot="1" x14ac:dyDescent="0.3">
      <c r="B15" s="304" t="s">
        <v>316</v>
      </c>
      <c r="C15" s="305"/>
    </row>
    <row r="16" spans="2:21" ht="23.25" x14ac:dyDescent="0.25">
      <c r="B16" s="306" t="s">
        <v>244</v>
      </c>
      <c r="C16" s="307"/>
      <c r="E16" s="380" t="s">
        <v>300</v>
      </c>
      <c r="F16" s="381"/>
      <c r="G16" s="381"/>
      <c r="H16" s="381"/>
      <c r="I16" s="381"/>
      <c r="J16" s="381"/>
      <c r="K16" s="381"/>
      <c r="L16" s="382"/>
      <c r="N16" s="380" t="s">
        <v>300</v>
      </c>
      <c r="O16" s="381"/>
      <c r="P16" s="381"/>
      <c r="Q16" s="381"/>
      <c r="R16" s="381"/>
      <c r="S16" s="381"/>
      <c r="T16" s="381"/>
      <c r="U16" s="382"/>
    </row>
    <row r="17" spans="2:21" ht="16.5" x14ac:dyDescent="0.25">
      <c r="B17" s="320" t="s">
        <v>335</v>
      </c>
      <c r="C17" s="321"/>
      <c r="E17" s="69"/>
      <c r="F17" s="68" t="str">
        <f>+'LISTA TRABAJADORES'!E9</f>
        <v>3</v>
      </c>
      <c r="G17" s="379" t="str">
        <f>+'LISTA TRABAJADORES'!G9</f>
        <v>MARISOL VILLA</v>
      </c>
      <c r="H17" s="379"/>
      <c r="I17" s="379"/>
      <c r="J17" s="379"/>
      <c r="K17" s="67"/>
      <c r="L17" s="70"/>
      <c r="N17" s="69"/>
      <c r="O17" s="68" t="str">
        <f>+'LISTA TRABAJADORES'!E10</f>
        <v>4</v>
      </c>
      <c r="P17" s="379" t="str">
        <f>+'LISTA TRABAJADORES'!G10</f>
        <v>MARCO PEREZ</v>
      </c>
      <c r="Q17" s="379"/>
      <c r="R17" s="379"/>
      <c r="S17" s="379"/>
      <c r="T17" s="67"/>
      <c r="U17" s="70"/>
    </row>
    <row r="18" spans="2:21" ht="16.5" thickBot="1" x14ac:dyDescent="0.3">
      <c r="B18" s="318" t="s">
        <v>330</v>
      </c>
      <c r="C18" s="319"/>
      <c r="E18" s="71"/>
      <c r="F18" s="104"/>
      <c r="G18" s="104" t="s">
        <v>301</v>
      </c>
      <c r="H18" s="104"/>
      <c r="I18" s="104" t="s">
        <v>302</v>
      </c>
      <c r="J18" s="104"/>
      <c r="K18" s="104" t="s">
        <v>294</v>
      </c>
      <c r="L18" s="72"/>
      <c r="N18" s="71"/>
      <c r="O18" s="104"/>
      <c r="P18" s="104" t="s">
        <v>301</v>
      </c>
      <c r="Q18" s="104"/>
      <c r="R18" s="104" t="s">
        <v>302</v>
      </c>
      <c r="S18" s="104"/>
      <c r="T18" s="104" t="s">
        <v>294</v>
      </c>
      <c r="U18" s="72"/>
    </row>
    <row r="19" spans="2:21" x14ac:dyDescent="0.25">
      <c r="E19" s="127"/>
      <c r="F19" s="123" t="s">
        <v>303</v>
      </c>
      <c r="G19" s="53">
        <f>+IF('Datos y Resumen '!E60=1,'DATOS PARA AJUSTE'!H9,'ISR '!K10)</f>
        <v>4200</v>
      </c>
      <c r="H19" s="123"/>
      <c r="I19" s="53">
        <f>+IF('Datos y Resumen '!E60=1,'ISR '!K10,0)</f>
        <v>0</v>
      </c>
      <c r="J19" s="123"/>
      <c r="K19" s="53">
        <f>+G19+I19</f>
        <v>4200</v>
      </c>
      <c r="L19" s="128"/>
      <c r="N19" s="127"/>
      <c r="O19" s="123" t="s">
        <v>303</v>
      </c>
      <c r="P19" s="53">
        <f>+IF('Datos y Resumen '!E60=1,'DATOS PARA AJUSTE'!H10,'ISR '!K11)</f>
        <v>4350</v>
      </c>
      <c r="Q19" s="123"/>
      <c r="R19" s="53">
        <f>+IF('Datos y Resumen '!E60=1,'ISR '!K11,0)</f>
        <v>0</v>
      </c>
      <c r="S19" s="123"/>
      <c r="T19" s="53">
        <f>+P19+R19</f>
        <v>4350</v>
      </c>
      <c r="U19" s="128"/>
    </row>
    <row r="20" spans="2:21" x14ac:dyDescent="0.25">
      <c r="E20" s="127"/>
      <c r="F20" s="123" t="s">
        <v>295</v>
      </c>
      <c r="G20" s="53"/>
      <c r="H20" s="123"/>
      <c r="I20" s="53"/>
      <c r="J20" s="123"/>
      <c r="K20" s="53">
        <f>+IFERROR(VLOOKUP(K19,'TARIFAS 2025'!D168:G178,1,1),0)</f>
        <v>746.05</v>
      </c>
      <c r="L20" s="128"/>
      <c r="N20" s="127"/>
      <c r="O20" s="123" t="s">
        <v>295</v>
      </c>
      <c r="P20" s="53"/>
      <c r="Q20" s="123"/>
      <c r="R20" s="53"/>
      <c r="S20" s="123"/>
      <c r="T20" s="53">
        <f>+IFERROR(VLOOKUP(T19,'TARIFAS 2025'!D168:G178,1,1),0)</f>
        <v>746.05</v>
      </c>
      <c r="U20" s="128"/>
    </row>
    <row r="21" spans="2:21" x14ac:dyDescent="0.25">
      <c r="E21" s="127"/>
      <c r="F21" s="123" t="s">
        <v>296</v>
      </c>
      <c r="G21" s="53"/>
      <c r="H21" s="123"/>
      <c r="I21" s="53"/>
      <c r="J21" s="123"/>
      <c r="K21" s="53">
        <f>+K19-K20</f>
        <v>3453.95</v>
      </c>
      <c r="L21" s="128"/>
      <c r="N21" s="127"/>
      <c r="O21" s="123" t="s">
        <v>296</v>
      </c>
      <c r="P21" s="53"/>
      <c r="Q21" s="123"/>
      <c r="R21" s="53"/>
      <c r="S21" s="123"/>
      <c r="T21" s="53">
        <f>+T19-T20</f>
        <v>3603.95</v>
      </c>
      <c r="U21" s="128"/>
    </row>
    <row r="22" spans="2:21" s="133" customFormat="1" x14ac:dyDescent="0.25">
      <c r="E22" s="134"/>
      <c r="F22" s="135" t="s">
        <v>304</v>
      </c>
      <c r="G22" s="136"/>
      <c r="H22" s="135"/>
      <c r="I22" s="136"/>
      <c r="J22" s="135"/>
      <c r="K22" s="136">
        <f>+IFERROR(VLOOKUP(K19,'TARIFAS 2025'!D168:G178,4,1),0)</f>
        <v>6.4000000000000001E-2</v>
      </c>
      <c r="L22" s="137"/>
      <c r="N22" s="134"/>
      <c r="O22" s="135" t="s">
        <v>304</v>
      </c>
      <c r="P22" s="136"/>
      <c r="Q22" s="135"/>
      <c r="R22" s="136"/>
      <c r="S22" s="135"/>
      <c r="T22" s="136">
        <f>+IFERROR(VLOOKUP(T19,'TARIFAS 2025'!D168:G178,4,1),0)</f>
        <v>6.4000000000000001E-2</v>
      </c>
      <c r="U22" s="137"/>
    </row>
    <row r="23" spans="2:21" x14ac:dyDescent="0.25">
      <c r="E23" s="127"/>
      <c r="F23" s="123" t="s">
        <v>297</v>
      </c>
      <c r="G23" s="53"/>
      <c r="H23" s="123"/>
      <c r="I23" s="53"/>
      <c r="J23" s="123"/>
      <c r="K23" s="53">
        <f>+K21*K22</f>
        <v>221.05279999999999</v>
      </c>
      <c r="L23" s="128"/>
      <c r="N23" s="127"/>
      <c r="O23" s="123" t="s">
        <v>297</v>
      </c>
      <c r="P23" s="53"/>
      <c r="Q23" s="123"/>
      <c r="R23" s="53"/>
      <c r="S23" s="123"/>
      <c r="T23" s="53">
        <f>+T21*T22</f>
        <v>230.65279999999998</v>
      </c>
      <c r="U23" s="128"/>
    </row>
    <row r="24" spans="2:21" x14ac:dyDescent="0.25">
      <c r="E24" s="127"/>
      <c r="F24" s="123" t="s">
        <v>305</v>
      </c>
      <c r="G24" s="53"/>
      <c r="H24" s="123"/>
      <c r="I24" s="53"/>
      <c r="J24" s="123"/>
      <c r="K24" s="53">
        <f>+IFERROR(VLOOKUP(K19,'TARIFAS 2025'!D168:G178,3,1),0)</f>
        <v>14.32</v>
      </c>
      <c r="L24" s="128"/>
      <c r="N24" s="127"/>
      <c r="O24" s="123" t="s">
        <v>305</v>
      </c>
      <c r="P24" s="53"/>
      <c r="Q24" s="123"/>
      <c r="R24" s="53"/>
      <c r="S24" s="123"/>
      <c r="T24" s="53">
        <f>+IFERROR(VLOOKUP(T19,'TARIFAS 2025'!D168:G178,3,1),0)</f>
        <v>14.32</v>
      </c>
      <c r="U24" s="128"/>
    </row>
    <row r="25" spans="2:21" x14ac:dyDescent="0.25">
      <c r="E25" s="127"/>
      <c r="F25" s="123" t="s">
        <v>306</v>
      </c>
      <c r="G25" s="53">
        <f>+IF('Datos y Resumen '!E60=1,'DATOS PARA AJUSTE'!I9,'ISR '!Q10)</f>
        <v>300.47963200000004</v>
      </c>
      <c r="H25" s="123"/>
      <c r="I25" s="53">
        <f>+IF('Datos y Resumen '!E60=1,K25-G25,0)</f>
        <v>0</v>
      </c>
      <c r="J25" s="123"/>
      <c r="K25" s="53">
        <f>+K23+K24</f>
        <v>235.37279999999998</v>
      </c>
      <c r="L25" s="128"/>
      <c r="N25" s="127"/>
      <c r="O25" s="123" t="s">
        <v>306</v>
      </c>
      <c r="P25" s="53">
        <f>+IF('Datos y Resumen '!E60=1,'DATOS PARA AJUSTE'!I10,'ISR '!Q11)</f>
        <v>316.79963199999997</v>
      </c>
      <c r="Q25" s="123"/>
      <c r="R25" s="53">
        <f>+IF('Datos y Resumen '!E60=1,T25-P25,0)</f>
        <v>0</v>
      </c>
      <c r="S25" s="123"/>
      <c r="T25" s="53">
        <f>+T23+T24</f>
        <v>244.97279999999998</v>
      </c>
      <c r="U25" s="128"/>
    </row>
    <row r="26" spans="2:21" x14ac:dyDescent="0.25">
      <c r="E26" s="127"/>
      <c r="F26" s="123" t="s">
        <v>307</v>
      </c>
      <c r="G26" s="53">
        <f>+IF('Datos y Resumen '!E60=1,'DATOS PARA AJUSTE'!J9,'ISR '!R10)</f>
        <v>234.34950000000001</v>
      </c>
      <c r="H26" s="123"/>
      <c r="I26" s="53">
        <f>IF('Datos y Resumen '!E60=1,IF(K26&gt;=G26,K26-G26,0),0)</f>
        <v>0</v>
      </c>
      <c r="J26" s="123"/>
      <c r="K26" s="53">
        <f>+IFERROR(VLOOKUP(K19,'TARIFAS 2025'!J168:L178,3,1),0)</f>
        <v>474.95</v>
      </c>
      <c r="L26" s="128"/>
      <c r="N26" s="127"/>
      <c r="O26" s="123" t="s">
        <v>307</v>
      </c>
      <c r="P26" s="53">
        <f>+IF('Datos y Resumen '!E60=1,'DATOS PARA AJUSTE'!J10,'ISR '!R11)</f>
        <v>234.34950000000001</v>
      </c>
      <c r="Q26" s="123"/>
      <c r="R26" s="53">
        <f>IF('Datos y Resumen '!E60=1,IF(T26&gt;=P26,T26-P26,0),0)</f>
        <v>0</v>
      </c>
      <c r="S26" s="123"/>
      <c r="T26" s="53">
        <f>+IFERROR(VLOOKUP(T19,'TARIFAS 2025'!J168:L178,3,1),0)</f>
        <v>474.95</v>
      </c>
      <c r="U26" s="128"/>
    </row>
    <row r="27" spans="2:21" x14ac:dyDescent="0.25">
      <c r="E27" s="127"/>
      <c r="F27" s="123" t="s">
        <v>298</v>
      </c>
      <c r="G27" s="53">
        <f>+IF('Datos y Resumen '!E60=1,'DATOS PARA AJUSTE'!K9,'ISR '!S10)</f>
        <v>66.13</v>
      </c>
      <c r="H27" s="123"/>
      <c r="I27" s="53">
        <f>+IF(I25&gt;=I26,I25-I26,0)</f>
        <v>0</v>
      </c>
      <c r="J27" s="123"/>
      <c r="K27" s="53">
        <f>+IF(K25&gt;=K26,K25-K26,0)</f>
        <v>0</v>
      </c>
      <c r="L27" s="128"/>
      <c r="N27" s="127"/>
      <c r="O27" s="123" t="s">
        <v>298</v>
      </c>
      <c r="P27" s="53">
        <f>+IF('Datos y Resumen '!E60=1,'DATOS PARA AJUSTE'!K10,'ISR '!S11)</f>
        <v>82.45</v>
      </c>
      <c r="Q27" s="123"/>
      <c r="R27" s="53">
        <f>+IF(R25&gt;=R26,R25-R26,0)</f>
        <v>0</v>
      </c>
      <c r="S27" s="123"/>
      <c r="T27" s="53">
        <f>+IF(T25&gt;=T26,T25-T26,0)</f>
        <v>0</v>
      </c>
      <c r="U27" s="128"/>
    </row>
    <row r="28" spans="2:21" ht="16.5" thickBot="1" x14ac:dyDescent="0.3">
      <c r="E28" s="129"/>
      <c r="F28" s="130" t="s">
        <v>299</v>
      </c>
      <c r="G28" s="131">
        <f>+IF('Datos y Resumen '!E60=1,'DATOS PARA AJUSTE'!L9,'ISR '!T10)</f>
        <v>0</v>
      </c>
      <c r="H28" s="130"/>
      <c r="I28" s="131">
        <f>+IF(I26&gt;=I25,I26-I25,0)</f>
        <v>0</v>
      </c>
      <c r="J28" s="130"/>
      <c r="K28" s="131">
        <f>+IF(K26&gt;=K25,K26-K25,0)</f>
        <v>239.5772</v>
      </c>
      <c r="L28" s="132"/>
      <c r="N28" s="129"/>
      <c r="O28" s="130" t="s">
        <v>299</v>
      </c>
      <c r="P28" s="131">
        <f>+IF('Datos y Resumen '!E60=1,'DATOS PARA AJUSTE'!L10,'ISR '!T11)</f>
        <v>0</v>
      </c>
      <c r="Q28" s="130"/>
      <c r="R28" s="131">
        <f>+IF(R26&gt;=R25,R26-R25,0)</f>
        <v>0</v>
      </c>
      <c r="S28" s="130"/>
      <c r="T28" s="131">
        <f>+IF(T26&gt;=T25,T26-T25,0)</f>
        <v>229.97720000000001</v>
      </c>
      <c r="U28" s="132"/>
    </row>
    <row r="29" spans="2:21" ht="16.5" thickBot="1" x14ac:dyDescent="0.3"/>
    <row r="30" spans="2:21" ht="23.25" x14ac:dyDescent="0.25">
      <c r="E30" s="380" t="s">
        <v>300</v>
      </c>
      <c r="F30" s="381"/>
      <c r="G30" s="381"/>
      <c r="H30" s="381"/>
      <c r="I30" s="381"/>
      <c r="J30" s="381"/>
      <c r="K30" s="381"/>
      <c r="L30" s="382"/>
      <c r="N30" s="380" t="s">
        <v>300</v>
      </c>
      <c r="O30" s="381"/>
      <c r="P30" s="381"/>
      <c r="Q30" s="381"/>
      <c r="R30" s="381"/>
      <c r="S30" s="381"/>
      <c r="T30" s="381"/>
      <c r="U30" s="382"/>
    </row>
    <row r="31" spans="2:21" ht="16.5" x14ac:dyDescent="0.25">
      <c r="E31" s="69"/>
      <c r="F31" s="68" t="str">
        <f>+'LISTA TRABAJADORES'!E11</f>
        <v>5</v>
      </c>
      <c r="G31" s="379" t="str">
        <f>+'LISTA TRABAJADORES'!G11</f>
        <v>ALEJANDRO VENEGAS</v>
      </c>
      <c r="H31" s="379"/>
      <c r="I31" s="379"/>
      <c r="J31" s="379"/>
      <c r="K31" s="67"/>
      <c r="L31" s="70"/>
      <c r="N31" s="69"/>
      <c r="O31" s="68" t="str">
        <f>+'LISTA TRABAJADORES'!E12</f>
        <v>6</v>
      </c>
      <c r="P31" s="379" t="str">
        <f>+'LISTA TRABAJADORES'!G12</f>
        <v>MARTHA ZAVALA</v>
      </c>
      <c r="Q31" s="379"/>
      <c r="R31" s="379"/>
      <c r="S31" s="379"/>
      <c r="T31" s="67"/>
      <c r="U31" s="70"/>
    </row>
    <row r="32" spans="2:21" x14ac:dyDescent="0.25">
      <c r="E32" s="71"/>
      <c r="F32" s="104"/>
      <c r="G32" s="104" t="s">
        <v>301</v>
      </c>
      <c r="H32" s="104"/>
      <c r="I32" s="104" t="s">
        <v>302</v>
      </c>
      <c r="J32" s="104"/>
      <c r="K32" s="104" t="s">
        <v>294</v>
      </c>
      <c r="L32" s="72"/>
      <c r="N32" s="71"/>
      <c r="O32" s="104"/>
      <c r="P32" s="104" t="s">
        <v>301</v>
      </c>
      <c r="Q32" s="104"/>
      <c r="R32" s="104" t="s">
        <v>302</v>
      </c>
      <c r="S32" s="104"/>
      <c r="T32" s="104" t="s">
        <v>294</v>
      </c>
      <c r="U32" s="72"/>
    </row>
    <row r="33" spans="5:21" x14ac:dyDescent="0.25">
      <c r="E33" s="127"/>
      <c r="F33" s="123" t="s">
        <v>303</v>
      </c>
      <c r="G33" s="53">
        <f>+IF('Datos y Resumen '!E60=1,'DATOS PARA AJUSTE'!H11,'ISR '!K12)</f>
        <v>4500</v>
      </c>
      <c r="H33" s="123"/>
      <c r="I33" s="53">
        <f>+IF('Datos y Resumen '!E60=1,'ISR '!K12,0)</f>
        <v>0</v>
      </c>
      <c r="J33" s="123"/>
      <c r="K33" s="53">
        <f>+G33+I33</f>
        <v>4500</v>
      </c>
      <c r="L33" s="128"/>
      <c r="N33" s="127"/>
      <c r="O33" s="123" t="s">
        <v>303</v>
      </c>
      <c r="P33" s="53">
        <f>+IF('Datos y Resumen '!E60=1,'DATOS PARA AJUSTE'!H12,'ISR '!K13)</f>
        <v>5250</v>
      </c>
      <c r="Q33" s="123"/>
      <c r="R33" s="53">
        <f>+IF('Datos y Resumen '!E60=1,'ISR '!K13,0)</f>
        <v>0</v>
      </c>
      <c r="S33" s="123"/>
      <c r="T33" s="53">
        <f>+P33+R33</f>
        <v>5250</v>
      </c>
      <c r="U33" s="128"/>
    </row>
    <row r="34" spans="5:21" x14ac:dyDescent="0.25">
      <c r="E34" s="127"/>
      <c r="F34" s="123" t="s">
        <v>295</v>
      </c>
      <c r="G34" s="53"/>
      <c r="H34" s="123"/>
      <c r="I34" s="53"/>
      <c r="J34" s="123"/>
      <c r="K34" s="53">
        <f>+IFERROR(VLOOKUP(K33,'TARIFAS 2025'!$D$168:$G$178,1,1),0)</f>
        <v>746.05</v>
      </c>
      <c r="L34" s="128"/>
      <c r="N34" s="127"/>
      <c r="O34" s="123" t="s">
        <v>295</v>
      </c>
      <c r="P34" s="53"/>
      <c r="Q34" s="123"/>
      <c r="R34" s="53"/>
      <c r="S34" s="123"/>
      <c r="T34" s="53">
        <f>+IFERROR(VLOOKUP(T33,'TARIFAS 2025'!$D$168:$G$178,1,1),0)</f>
        <v>746.05</v>
      </c>
      <c r="U34" s="128"/>
    </row>
    <row r="35" spans="5:21" x14ac:dyDescent="0.25">
      <c r="E35" s="127"/>
      <c r="F35" s="123" t="s">
        <v>296</v>
      </c>
      <c r="G35" s="53"/>
      <c r="H35" s="123"/>
      <c r="I35" s="53"/>
      <c r="J35" s="123"/>
      <c r="K35" s="53">
        <f>+K33-K34</f>
        <v>3753.95</v>
      </c>
      <c r="L35" s="128"/>
      <c r="N35" s="127"/>
      <c r="O35" s="123" t="s">
        <v>296</v>
      </c>
      <c r="P35" s="53"/>
      <c r="Q35" s="123"/>
      <c r="R35" s="53"/>
      <c r="S35" s="123"/>
      <c r="T35" s="53">
        <f>+T33-T34</f>
        <v>4503.95</v>
      </c>
      <c r="U35" s="128"/>
    </row>
    <row r="36" spans="5:21" s="133" customFormat="1" x14ac:dyDescent="0.25">
      <c r="E36" s="134"/>
      <c r="F36" s="135" t="s">
        <v>304</v>
      </c>
      <c r="G36" s="136"/>
      <c r="H36" s="135"/>
      <c r="I36" s="136"/>
      <c r="J36" s="135"/>
      <c r="K36" s="136">
        <f>+IFERROR(VLOOKUP(K33,'TARIFAS 2025'!$D$168:$G$178,4,1),0)</f>
        <v>6.4000000000000001E-2</v>
      </c>
      <c r="L36" s="137"/>
      <c r="N36" s="134"/>
      <c r="O36" s="135" t="s">
        <v>304</v>
      </c>
      <c r="P36" s="136"/>
      <c r="Q36" s="135"/>
      <c r="R36" s="136"/>
      <c r="S36" s="135"/>
      <c r="T36" s="136">
        <f>+IFERROR(VLOOKUP(T33,'TARIFAS 2025'!$D$168:$G$178,4,1),0)</f>
        <v>6.4000000000000001E-2</v>
      </c>
      <c r="U36" s="137"/>
    </row>
    <row r="37" spans="5:21" x14ac:dyDescent="0.25">
      <c r="E37" s="127"/>
      <c r="F37" s="123" t="s">
        <v>297</v>
      </c>
      <c r="G37" s="53"/>
      <c r="H37" s="123"/>
      <c r="I37" s="53"/>
      <c r="J37" s="123"/>
      <c r="K37" s="53">
        <f>+K35*K36</f>
        <v>240.25279999999998</v>
      </c>
      <c r="L37" s="128"/>
      <c r="N37" s="127"/>
      <c r="O37" s="123" t="s">
        <v>297</v>
      </c>
      <c r="P37" s="53"/>
      <c r="Q37" s="123"/>
      <c r="R37" s="53"/>
      <c r="S37" s="123"/>
      <c r="T37" s="53">
        <f>+T35*T36</f>
        <v>288.25279999999998</v>
      </c>
      <c r="U37" s="128"/>
    </row>
    <row r="38" spans="5:21" x14ac:dyDescent="0.25">
      <c r="E38" s="127"/>
      <c r="F38" s="123" t="s">
        <v>305</v>
      </c>
      <c r="G38" s="53"/>
      <c r="H38" s="123"/>
      <c r="I38" s="53"/>
      <c r="J38" s="123"/>
      <c r="K38" s="53">
        <f>+IFERROR(VLOOKUP(K33,'TARIFAS 2025'!D$168:$G$178,3,1),0)</f>
        <v>14.32</v>
      </c>
      <c r="L38" s="128"/>
      <c r="N38" s="127"/>
      <c r="O38" s="123" t="s">
        <v>305</v>
      </c>
      <c r="P38" s="53"/>
      <c r="Q38" s="123"/>
      <c r="R38" s="53"/>
      <c r="S38" s="123"/>
      <c r="T38" s="53">
        <f>+IFERROR(VLOOKUP(T33,'TARIFAS 2025'!D$168:$G$178,3,1),0)</f>
        <v>14.32</v>
      </c>
      <c r="U38" s="128"/>
    </row>
    <row r="39" spans="5:21" x14ac:dyDescent="0.25">
      <c r="E39" s="127"/>
      <c r="F39" s="123" t="s">
        <v>306</v>
      </c>
      <c r="G39" s="53">
        <f>+IF('Datos y Resumen '!E60=1,'DATOS PARA AJUSTE'!I11,'ISR '!Q12)</f>
        <v>333.11963200000002</v>
      </c>
      <c r="H39" s="123"/>
      <c r="I39" s="53">
        <f>+IF('Datos y Resumen '!E60=1,K39-G39,0)</f>
        <v>0</v>
      </c>
      <c r="J39" s="123"/>
      <c r="K39" s="53">
        <f>+K37+K38</f>
        <v>254.57279999999997</v>
      </c>
      <c r="L39" s="128"/>
      <c r="N39" s="127"/>
      <c r="O39" s="123" t="s">
        <v>306</v>
      </c>
      <c r="P39" s="53">
        <f>+IF('Datos y Resumen '!E60=1,'DATOS PARA AJUSTE'!I12,'ISR '!Q13)</f>
        <v>414.71963200000005</v>
      </c>
      <c r="Q39" s="123"/>
      <c r="R39" s="53">
        <f>+IF('Datos y Resumen '!E60=1,T39-P39,0)</f>
        <v>0</v>
      </c>
      <c r="S39" s="123"/>
      <c r="T39" s="53">
        <f>+T37+T38</f>
        <v>302.57279999999997</v>
      </c>
      <c r="U39" s="128"/>
    </row>
    <row r="40" spans="5:21" x14ac:dyDescent="0.25">
      <c r="E40" s="127"/>
      <c r="F40" s="123" t="s">
        <v>307</v>
      </c>
      <c r="G40" s="53">
        <f>+IF('Datos y Resumen '!E60=1,'DATOS PARA AJUSTE'!J11,'ISR '!R12)</f>
        <v>234.34950000000001</v>
      </c>
      <c r="H40" s="123"/>
      <c r="I40" s="53">
        <f>IF('Datos y Resumen '!E60=1,IF(K40&gt;=G40,K40-G40,0),0)</f>
        <v>0</v>
      </c>
      <c r="J40" s="123"/>
      <c r="K40" s="53">
        <f>+IFERROR(VLOOKUP(K33,'TARIFAS 2025'!$J$168:$L$178,3,1),0)</f>
        <v>474.95</v>
      </c>
      <c r="L40" s="128"/>
      <c r="N40" s="127"/>
      <c r="O40" s="123" t="s">
        <v>307</v>
      </c>
      <c r="P40" s="53">
        <f>+IF('Datos y Resumen '!E60=1,'DATOS PARA AJUSTE'!J12,'ISR '!R13)</f>
        <v>0</v>
      </c>
      <c r="Q40" s="123"/>
      <c r="R40" s="53">
        <f>IF('Datos y Resumen '!E60=1,IF(T40&gt;=P40,T40-P40,0),0)</f>
        <v>0</v>
      </c>
      <c r="S40" s="123"/>
      <c r="T40" s="53">
        <f>+IFERROR(VLOOKUP(T33,'TARIFAS 2025'!$J$168:$L$178,3,1),0)</f>
        <v>474.95</v>
      </c>
      <c r="U40" s="128"/>
    </row>
    <row r="41" spans="5:21" x14ac:dyDescent="0.25">
      <c r="E41" s="127"/>
      <c r="F41" s="123" t="s">
        <v>298</v>
      </c>
      <c r="G41" s="53">
        <f>+IF('Datos y Resumen '!E60=1,'DATOS PARA AJUSTE'!K11,'ISR '!S12)</f>
        <v>98.77</v>
      </c>
      <c r="H41" s="123"/>
      <c r="I41" s="53">
        <f>+IF(I39&gt;=I40,I39-I40,0)</f>
        <v>0</v>
      </c>
      <c r="J41" s="123"/>
      <c r="K41" s="53">
        <f>+IF(K39&gt;=K40,K39-K40,0)</f>
        <v>0</v>
      </c>
      <c r="L41" s="128"/>
      <c r="N41" s="127"/>
      <c r="O41" s="123" t="s">
        <v>298</v>
      </c>
      <c r="P41" s="53">
        <f>+IF('Datos y Resumen '!E60=1,'DATOS PARA AJUSTE'!K12,'ISR '!S13)</f>
        <v>414.72</v>
      </c>
      <c r="Q41" s="123"/>
      <c r="R41" s="53">
        <f>+IF(R39&gt;=R40,R39-R40,0)</f>
        <v>0</v>
      </c>
      <c r="S41" s="123"/>
      <c r="T41" s="53">
        <f>+IF(T39&gt;=T40,T39-T40,0)</f>
        <v>0</v>
      </c>
      <c r="U41" s="128"/>
    </row>
    <row r="42" spans="5:21" ht="16.5" thickBot="1" x14ac:dyDescent="0.3">
      <c r="E42" s="129"/>
      <c r="F42" s="130" t="s">
        <v>299</v>
      </c>
      <c r="G42" s="131">
        <f>+IF('Datos y Resumen '!E60=1,'DATOS PARA AJUSTE'!L11,'ISR '!T12)</f>
        <v>0</v>
      </c>
      <c r="H42" s="130"/>
      <c r="I42" s="131">
        <f>+IF(I40&gt;=I39,I40-I39,0)</f>
        <v>0</v>
      </c>
      <c r="J42" s="130"/>
      <c r="K42" s="131">
        <f>+IF(K40&gt;=K39,K40-K39,0)</f>
        <v>220.37720000000002</v>
      </c>
      <c r="L42" s="132"/>
      <c r="N42" s="129"/>
      <c r="O42" s="130" t="s">
        <v>299</v>
      </c>
      <c r="P42" s="131">
        <f>+IF('Datos y Resumen '!E60=1,'DATOS PARA AJUSTE'!L12,'ISR '!T13)</f>
        <v>0</v>
      </c>
      <c r="Q42" s="130"/>
      <c r="R42" s="131">
        <f>+IF(R40&gt;=R39,R40-R39,0)</f>
        <v>0</v>
      </c>
      <c r="S42" s="130"/>
      <c r="T42" s="131">
        <f>+IF(T40&gt;=T39,T40-T39,0)</f>
        <v>172.37720000000002</v>
      </c>
      <c r="U42" s="132"/>
    </row>
    <row r="43" spans="5:21" ht="16.5" thickBot="1" x14ac:dyDescent="0.3"/>
    <row r="44" spans="5:21" ht="23.25" x14ac:dyDescent="0.25">
      <c r="E44" s="380" t="s">
        <v>300</v>
      </c>
      <c r="F44" s="381"/>
      <c r="G44" s="381"/>
      <c r="H44" s="381"/>
      <c r="I44" s="381"/>
      <c r="J44" s="381"/>
      <c r="K44" s="381"/>
      <c r="L44" s="382"/>
      <c r="N44" s="380" t="s">
        <v>300</v>
      </c>
      <c r="O44" s="381"/>
      <c r="P44" s="381"/>
      <c r="Q44" s="381"/>
      <c r="R44" s="381"/>
      <c r="S44" s="381"/>
      <c r="T44" s="381"/>
      <c r="U44" s="382"/>
    </row>
    <row r="45" spans="5:21" ht="16.5" x14ac:dyDescent="0.25">
      <c r="E45" s="69"/>
      <c r="F45" s="68" t="str">
        <f>+'LISTA TRABAJADORES'!E13</f>
        <v>7</v>
      </c>
      <c r="G45" s="379" t="str">
        <f>+'LISTA TRABAJADORES'!G13</f>
        <v>CRISTINA MACIAS</v>
      </c>
      <c r="H45" s="379"/>
      <c r="I45" s="379"/>
      <c r="J45" s="379"/>
      <c r="K45" s="67"/>
      <c r="L45" s="70"/>
      <c r="N45" s="69"/>
      <c r="O45" s="68" t="str">
        <f>+'LISTA TRABAJADORES'!E14</f>
        <v>8</v>
      </c>
      <c r="P45" s="379" t="str">
        <f>+'LISTA TRABAJADORES'!G14</f>
        <v>ANTONIO OCAMPOS</v>
      </c>
      <c r="Q45" s="379"/>
      <c r="R45" s="379"/>
      <c r="S45" s="379"/>
      <c r="T45" s="67"/>
      <c r="U45" s="70"/>
    </row>
    <row r="46" spans="5:21" x14ac:dyDescent="0.25">
      <c r="E46" s="71"/>
      <c r="F46" s="104"/>
      <c r="G46" s="104" t="s">
        <v>301</v>
      </c>
      <c r="H46" s="104"/>
      <c r="I46" s="104" t="s">
        <v>302</v>
      </c>
      <c r="J46" s="104"/>
      <c r="K46" s="104" t="s">
        <v>294</v>
      </c>
      <c r="L46" s="72"/>
      <c r="N46" s="71"/>
      <c r="O46" s="104"/>
      <c r="P46" s="104" t="s">
        <v>301</v>
      </c>
      <c r="Q46" s="104"/>
      <c r="R46" s="104" t="s">
        <v>302</v>
      </c>
      <c r="S46" s="104"/>
      <c r="T46" s="104" t="s">
        <v>294</v>
      </c>
      <c r="U46" s="72"/>
    </row>
    <row r="47" spans="5:21" x14ac:dyDescent="0.25">
      <c r="E47" s="127"/>
      <c r="F47" s="123" t="s">
        <v>303</v>
      </c>
      <c r="G47" s="53">
        <f>+IF('Datos y Resumen '!E60=1,'DATOS PARA AJUSTE'!H13,'ISR '!K14)</f>
        <v>6000</v>
      </c>
      <c r="H47" s="123"/>
      <c r="I47" s="53">
        <f>+IF('Datos y Resumen '!E60=1,'ISR '!K14,0)</f>
        <v>0</v>
      </c>
      <c r="J47" s="123"/>
      <c r="K47" s="53">
        <f>+G47+I47</f>
        <v>6000</v>
      </c>
      <c r="L47" s="128"/>
      <c r="N47" s="127"/>
      <c r="O47" s="123" t="s">
        <v>303</v>
      </c>
      <c r="P47" s="53">
        <f>+IF('Datos y Resumen '!E60=1,'DATOS PARA AJUSTE'!H14,'ISR '!K15)</f>
        <v>7500</v>
      </c>
      <c r="Q47" s="123"/>
      <c r="R47" s="53">
        <f>+IF('Datos y Resumen '!E60=1,'ISR '!K15,0)</f>
        <v>0</v>
      </c>
      <c r="S47" s="123"/>
      <c r="T47" s="53">
        <f>+P47+R47</f>
        <v>7500</v>
      </c>
      <c r="U47" s="128"/>
    </row>
    <row r="48" spans="5:21" x14ac:dyDescent="0.25">
      <c r="E48" s="127"/>
      <c r="F48" s="123" t="s">
        <v>295</v>
      </c>
      <c r="G48" s="53"/>
      <c r="H48" s="123"/>
      <c r="I48" s="53"/>
      <c r="J48" s="123"/>
      <c r="K48" s="53">
        <f>+IFERROR(VLOOKUP(K47,'TARIFAS 2025'!$D$168:$G$178,1,1),0)</f>
        <v>746.05</v>
      </c>
      <c r="L48" s="128"/>
      <c r="N48" s="127"/>
      <c r="O48" s="123" t="s">
        <v>295</v>
      </c>
      <c r="P48" s="53"/>
      <c r="Q48" s="123"/>
      <c r="R48" s="53"/>
      <c r="S48" s="123"/>
      <c r="T48" s="53">
        <f>+IFERROR(VLOOKUP(T47,'TARIFAS 2025'!$D$168:$G$178,1,1),0)</f>
        <v>6332.06</v>
      </c>
      <c r="U48" s="128"/>
    </row>
    <row r="49" spans="5:21" x14ac:dyDescent="0.25">
      <c r="E49" s="127"/>
      <c r="F49" s="123" t="s">
        <v>296</v>
      </c>
      <c r="G49" s="53"/>
      <c r="H49" s="123"/>
      <c r="I49" s="53"/>
      <c r="J49" s="123"/>
      <c r="K49" s="53">
        <f>+K47-K48</f>
        <v>5253.95</v>
      </c>
      <c r="L49" s="128"/>
      <c r="N49" s="127"/>
      <c r="O49" s="123" t="s">
        <v>296</v>
      </c>
      <c r="P49" s="53"/>
      <c r="Q49" s="123"/>
      <c r="R49" s="53"/>
      <c r="S49" s="123"/>
      <c r="T49" s="53">
        <f>+T47-T48</f>
        <v>1167.9399999999996</v>
      </c>
      <c r="U49" s="128"/>
    </row>
    <row r="50" spans="5:21" s="133" customFormat="1" x14ac:dyDescent="0.25">
      <c r="E50" s="134"/>
      <c r="F50" s="135" t="s">
        <v>304</v>
      </c>
      <c r="G50" s="136"/>
      <c r="H50" s="135"/>
      <c r="I50" s="136"/>
      <c r="J50" s="135"/>
      <c r="K50" s="136">
        <f>+IFERROR(VLOOKUP(K47,'TARIFAS 2025'!$D$168:$G$178,4,1),0)</f>
        <v>6.4000000000000001E-2</v>
      </c>
      <c r="L50" s="137"/>
      <c r="N50" s="134"/>
      <c r="O50" s="135" t="s">
        <v>304</v>
      </c>
      <c r="P50" s="136"/>
      <c r="Q50" s="135"/>
      <c r="R50" s="136"/>
      <c r="S50" s="135"/>
      <c r="T50" s="136">
        <f>+IFERROR(VLOOKUP(T47,'TARIFAS 2025'!$D$168:$G$178,4,1),0)</f>
        <v>0.10880000000000001</v>
      </c>
      <c r="U50" s="137"/>
    </row>
    <row r="51" spans="5:21" x14ac:dyDescent="0.25">
      <c r="E51" s="127"/>
      <c r="F51" s="123" t="s">
        <v>297</v>
      </c>
      <c r="G51" s="53"/>
      <c r="H51" s="123"/>
      <c r="I51" s="53"/>
      <c r="J51" s="123"/>
      <c r="K51" s="53">
        <f>+K49*K50</f>
        <v>336.25279999999998</v>
      </c>
      <c r="L51" s="128"/>
      <c r="N51" s="127"/>
      <c r="O51" s="123" t="s">
        <v>297</v>
      </c>
      <c r="P51" s="53"/>
      <c r="Q51" s="123"/>
      <c r="R51" s="53"/>
      <c r="S51" s="123"/>
      <c r="T51" s="53">
        <f>+T49*T50</f>
        <v>127.07187199999997</v>
      </c>
      <c r="U51" s="128"/>
    </row>
    <row r="52" spans="5:21" x14ac:dyDescent="0.25">
      <c r="E52" s="127"/>
      <c r="F52" s="123" t="s">
        <v>305</v>
      </c>
      <c r="G52" s="53"/>
      <c r="H52" s="123"/>
      <c r="I52" s="53"/>
      <c r="J52" s="123"/>
      <c r="K52" s="53">
        <f>+IFERROR(VLOOKUP(K47,'TARIFAS 2025'!D$168:$G$178,3,1),0)</f>
        <v>14.32</v>
      </c>
      <c r="L52" s="128"/>
      <c r="N52" s="127"/>
      <c r="O52" s="123" t="s">
        <v>305</v>
      </c>
      <c r="P52" s="53"/>
      <c r="Q52" s="123"/>
      <c r="R52" s="53"/>
      <c r="S52" s="123"/>
      <c r="T52" s="53">
        <f>+IFERROR(VLOOKUP(T47,'TARIFAS 2025'!D$168:$G$178,3,1),0)</f>
        <v>371.83</v>
      </c>
      <c r="U52" s="128"/>
    </row>
    <row r="53" spans="5:21" x14ac:dyDescent="0.25">
      <c r="E53" s="127"/>
      <c r="F53" s="123" t="s">
        <v>306</v>
      </c>
      <c r="G53" s="53">
        <f>+IF('Datos y Resumen '!E60=1,'DATOS PARA AJUSTE'!I13,'ISR '!Q14)</f>
        <v>522.47839999999997</v>
      </c>
      <c r="H53" s="123"/>
      <c r="I53" s="53">
        <f>+IF('Datos y Resumen '!E60=1,K53-G53,0)</f>
        <v>0</v>
      </c>
      <c r="J53" s="123"/>
      <c r="K53" s="53">
        <f>+K51+K52</f>
        <v>350.57279999999997</v>
      </c>
      <c r="L53" s="128"/>
      <c r="N53" s="127"/>
      <c r="O53" s="123" t="s">
        <v>306</v>
      </c>
      <c r="P53" s="53">
        <f>+IF('Datos y Resumen '!E60=1,'DATOS PARA AJUSTE'!I14,'ISR '!Q15)</f>
        <v>783.85044800000014</v>
      </c>
      <c r="Q53" s="123"/>
      <c r="R53" s="53">
        <f>+IF('Datos y Resumen '!E60=1,T53-P53,0)</f>
        <v>0</v>
      </c>
      <c r="S53" s="123"/>
      <c r="T53" s="53">
        <f>+T51+T52</f>
        <v>498.90187199999997</v>
      </c>
      <c r="U53" s="128"/>
    </row>
    <row r="54" spans="5:21" x14ac:dyDescent="0.25">
      <c r="E54" s="127"/>
      <c r="F54" s="123" t="s">
        <v>307</v>
      </c>
      <c r="G54" s="53">
        <f>+IF('Datos y Resumen '!E60=1,'DATOS PARA AJUSTE'!J13,'ISR '!R14)</f>
        <v>0</v>
      </c>
      <c r="H54" s="123"/>
      <c r="I54" s="53">
        <f>IF('Datos y Resumen '!E60=1,IF(K54&gt;=G54,K54-G54,0),0)</f>
        <v>0</v>
      </c>
      <c r="J54" s="123"/>
      <c r="K54" s="53">
        <f>+IFERROR(VLOOKUP(K47,'TARIFAS 2025'!$J$168:$L$178,3,1),0)</f>
        <v>474.95</v>
      </c>
      <c r="L54" s="128"/>
      <c r="N54" s="127"/>
      <c r="O54" s="123" t="s">
        <v>307</v>
      </c>
      <c r="P54" s="53">
        <f>+IF('Datos y Resumen '!E60=1,'DATOS PARA AJUSTE'!J14,'ISR '!R15)</f>
        <v>0</v>
      </c>
      <c r="Q54" s="123"/>
      <c r="R54" s="53">
        <f>IF('Datos y Resumen '!E60=1,IF(T54&gt;=P54,T54-P54,0),0)</f>
        <v>0</v>
      </c>
      <c r="S54" s="123"/>
      <c r="T54" s="53">
        <f>+IFERROR(VLOOKUP(T47,'TARIFAS 2025'!$J$168:$L$178,3,1),0)</f>
        <v>474.95</v>
      </c>
      <c r="U54" s="128"/>
    </row>
    <row r="55" spans="5:21" x14ac:dyDescent="0.25">
      <c r="E55" s="127"/>
      <c r="F55" s="123" t="s">
        <v>298</v>
      </c>
      <c r="G55" s="53">
        <f>+IF('Datos y Resumen '!E60=1,'DATOS PARA AJUSTE'!K13,'ISR '!S14)</f>
        <v>522.48</v>
      </c>
      <c r="H55" s="123"/>
      <c r="I55" s="53">
        <f>+IF(I53&gt;=I54,I53-I54,0)</f>
        <v>0</v>
      </c>
      <c r="J55" s="123"/>
      <c r="K55" s="53">
        <f>+IF(K53&gt;=K54,K53-K54,0)</f>
        <v>0</v>
      </c>
      <c r="L55" s="128"/>
      <c r="N55" s="127"/>
      <c r="O55" s="123" t="s">
        <v>298</v>
      </c>
      <c r="P55" s="53">
        <f>+IF('Datos y Resumen '!E60=1,'DATOS PARA AJUSTE'!K14,'ISR '!S15)</f>
        <v>783.85</v>
      </c>
      <c r="Q55" s="123"/>
      <c r="R55" s="53">
        <f>+IF(R53&gt;=R54,R53-R54,0)</f>
        <v>0</v>
      </c>
      <c r="S55" s="123"/>
      <c r="T55" s="53">
        <f>+IF(T53&gt;=T54,T53-T54,0)</f>
        <v>23.95187199999998</v>
      </c>
      <c r="U55" s="128"/>
    </row>
    <row r="56" spans="5:21" ht="16.5" thickBot="1" x14ac:dyDescent="0.3">
      <c r="E56" s="129"/>
      <c r="F56" s="130" t="s">
        <v>299</v>
      </c>
      <c r="G56" s="131">
        <f>+IF('Datos y Resumen '!E60=1,'DATOS PARA AJUSTE'!L13,'ISR '!T14)</f>
        <v>0</v>
      </c>
      <c r="H56" s="130"/>
      <c r="I56" s="131">
        <f>+IF(I54&gt;=I53,I54-I53,0)</f>
        <v>0</v>
      </c>
      <c r="J56" s="130"/>
      <c r="K56" s="131">
        <f>+IF(K54&gt;=K53,K54-K53,0)</f>
        <v>124.37720000000002</v>
      </c>
      <c r="L56" s="132"/>
      <c r="N56" s="129"/>
      <c r="O56" s="130" t="s">
        <v>299</v>
      </c>
      <c r="P56" s="131">
        <f>+IF('Datos y Resumen '!E60=1,'DATOS PARA AJUSTE'!L14,'ISR '!T15)</f>
        <v>0</v>
      </c>
      <c r="Q56" s="130"/>
      <c r="R56" s="131">
        <f>+IF(R54&gt;=R53,R54-R53,0)</f>
        <v>0</v>
      </c>
      <c r="S56" s="130"/>
      <c r="T56" s="131">
        <f>+IF(T54&gt;=T53,T54-T53,0)</f>
        <v>0</v>
      </c>
      <c r="U56" s="132"/>
    </row>
    <row r="57" spans="5:21" ht="16.5" thickBot="1" x14ac:dyDescent="0.3"/>
    <row r="58" spans="5:21" ht="23.25" x14ac:dyDescent="0.25">
      <c r="E58" s="380" t="s">
        <v>300</v>
      </c>
      <c r="F58" s="381"/>
      <c r="G58" s="381"/>
      <c r="H58" s="381"/>
      <c r="I58" s="381"/>
      <c r="J58" s="381"/>
      <c r="K58" s="381"/>
      <c r="L58" s="382"/>
      <c r="N58" s="380" t="s">
        <v>300</v>
      </c>
      <c r="O58" s="381"/>
      <c r="P58" s="381"/>
      <c r="Q58" s="381"/>
      <c r="R58" s="381"/>
      <c r="S58" s="381"/>
      <c r="T58" s="381"/>
      <c r="U58" s="382"/>
    </row>
    <row r="59" spans="5:21" ht="16.5" x14ac:dyDescent="0.25">
      <c r="E59" s="69"/>
      <c r="F59" s="68" t="str">
        <f>+'LISTA TRABAJADORES'!E15</f>
        <v>9</v>
      </c>
      <c r="G59" s="379">
        <f>+'LISTA TRABAJADORES'!G15</f>
        <v>0</v>
      </c>
      <c r="H59" s="379"/>
      <c r="I59" s="379"/>
      <c r="J59" s="379"/>
      <c r="K59" s="67"/>
      <c r="L59" s="70"/>
      <c r="N59" s="69"/>
      <c r="O59" s="68" t="str">
        <f>+'LISTA TRABAJADORES'!E16</f>
        <v>10</v>
      </c>
      <c r="P59" s="379">
        <f>+'LISTA TRABAJADORES'!G16</f>
        <v>0</v>
      </c>
      <c r="Q59" s="379"/>
      <c r="R59" s="379"/>
      <c r="S59" s="379"/>
      <c r="T59" s="67"/>
      <c r="U59" s="70"/>
    </row>
    <row r="60" spans="5:21" x14ac:dyDescent="0.25">
      <c r="E60" s="71"/>
      <c r="F60" s="104"/>
      <c r="G60" s="104" t="s">
        <v>301</v>
      </c>
      <c r="H60" s="104"/>
      <c r="I60" s="104" t="s">
        <v>302</v>
      </c>
      <c r="J60" s="104"/>
      <c r="K60" s="104" t="s">
        <v>294</v>
      </c>
      <c r="L60" s="72"/>
      <c r="N60" s="71"/>
      <c r="O60" s="104"/>
      <c r="P60" s="104" t="s">
        <v>301</v>
      </c>
      <c r="Q60" s="104"/>
      <c r="R60" s="104" t="s">
        <v>302</v>
      </c>
      <c r="S60" s="104"/>
      <c r="T60" s="104" t="s">
        <v>294</v>
      </c>
      <c r="U60" s="72"/>
    </row>
    <row r="61" spans="5:21" x14ac:dyDescent="0.25">
      <c r="E61" s="127"/>
      <c r="F61" s="123" t="s">
        <v>303</v>
      </c>
      <c r="G61" s="53">
        <f>+IF('Datos y Resumen '!E60=1,'DATOS PARA AJUSTE'!H15,'ISR '!K16)</f>
        <v>0</v>
      </c>
      <c r="H61" s="123"/>
      <c r="I61" s="53">
        <f>+IF('Datos y Resumen '!E60=1,'ISR '!K16,0)</f>
        <v>0</v>
      </c>
      <c r="J61" s="123"/>
      <c r="K61" s="53">
        <f>+G61+I61</f>
        <v>0</v>
      </c>
      <c r="L61" s="128"/>
      <c r="N61" s="127"/>
      <c r="O61" s="123" t="s">
        <v>303</v>
      </c>
      <c r="P61" s="53">
        <f>+IF('Datos y Resumen '!E60=1,'DATOS PARA AJUSTE'!H16,'ISR '!K17)</f>
        <v>0</v>
      </c>
      <c r="Q61" s="123"/>
      <c r="R61" s="53">
        <f>+IF('Datos y Resumen '!E60=1,'ISR '!K17,0)</f>
        <v>0</v>
      </c>
      <c r="S61" s="123"/>
      <c r="T61" s="53">
        <f>+P61+R61</f>
        <v>0</v>
      </c>
      <c r="U61" s="128"/>
    </row>
    <row r="62" spans="5:21" x14ac:dyDescent="0.25">
      <c r="E62" s="127"/>
      <c r="F62" s="123" t="s">
        <v>295</v>
      </c>
      <c r="G62" s="53"/>
      <c r="H62" s="123"/>
      <c r="I62" s="53"/>
      <c r="J62" s="123"/>
      <c r="K62" s="53">
        <f>+IFERROR(VLOOKUP(K61,'TARIFAS 2025'!$D$168:$G$178,1,1),0)</f>
        <v>0</v>
      </c>
      <c r="L62" s="128"/>
      <c r="N62" s="127"/>
      <c r="O62" s="123" t="s">
        <v>295</v>
      </c>
      <c r="P62" s="53"/>
      <c r="Q62" s="123"/>
      <c r="R62" s="53"/>
      <c r="S62" s="123"/>
      <c r="T62" s="53">
        <f>+IFERROR(VLOOKUP(T61,'TARIFAS 2025'!$D$168:$G$178,1,1),0)</f>
        <v>0</v>
      </c>
      <c r="U62" s="128"/>
    </row>
    <row r="63" spans="5:21" x14ac:dyDescent="0.25">
      <c r="E63" s="127"/>
      <c r="F63" s="123" t="s">
        <v>296</v>
      </c>
      <c r="G63" s="53"/>
      <c r="H63" s="123"/>
      <c r="I63" s="53"/>
      <c r="J63" s="123"/>
      <c r="K63" s="53">
        <f>+K61-K62</f>
        <v>0</v>
      </c>
      <c r="L63" s="128"/>
      <c r="N63" s="127"/>
      <c r="O63" s="123" t="s">
        <v>296</v>
      </c>
      <c r="P63" s="53"/>
      <c r="Q63" s="123"/>
      <c r="R63" s="53"/>
      <c r="S63" s="123"/>
      <c r="T63" s="53">
        <f>+T61-T62</f>
        <v>0</v>
      </c>
      <c r="U63" s="128"/>
    </row>
    <row r="64" spans="5:21" s="133" customFormat="1" x14ac:dyDescent="0.25">
      <c r="E64" s="134"/>
      <c r="F64" s="135" t="s">
        <v>304</v>
      </c>
      <c r="G64" s="136"/>
      <c r="H64" s="135"/>
      <c r="I64" s="136"/>
      <c r="J64" s="135"/>
      <c r="K64" s="136">
        <f>+IFERROR(VLOOKUP(K61,'TARIFAS 2025'!$D$168:$G$178,4,1),0)</f>
        <v>0</v>
      </c>
      <c r="L64" s="137"/>
      <c r="N64" s="134"/>
      <c r="O64" s="135" t="s">
        <v>304</v>
      </c>
      <c r="P64" s="136"/>
      <c r="Q64" s="135"/>
      <c r="R64" s="136"/>
      <c r="S64" s="135"/>
      <c r="T64" s="136">
        <f>+IFERROR(VLOOKUP(T61,'TARIFAS 2025'!$D$168:$G$178,4,1),0)</f>
        <v>0</v>
      </c>
      <c r="U64" s="137"/>
    </row>
    <row r="65" spans="5:21" x14ac:dyDescent="0.25">
      <c r="E65" s="127"/>
      <c r="F65" s="123" t="s">
        <v>297</v>
      </c>
      <c r="G65" s="53"/>
      <c r="H65" s="123"/>
      <c r="I65" s="53"/>
      <c r="J65" s="123"/>
      <c r="K65" s="53">
        <f>+K63*K64</f>
        <v>0</v>
      </c>
      <c r="L65" s="128"/>
      <c r="N65" s="127"/>
      <c r="O65" s="123" t="s">
        <v>297</v>
      </c>
      <c r="P65" s="53"/>
      <c r="Q65" s="123"/>
      <c r="R65" s="53"/>
      <c r="S65" s="123"/>
      <c r="T65" s="53">
        <f>+T63*T64</f>
        <v>0</v>
      </c>
      <c r="U65" s="128"/>
    </row>
    <row r="66" spans="5:21" x14ac:dyDescent="0.25">
      <c r="E66" s="127"/>
      <c r="F66" s="123" t="s">
        <v>305</v>
      </c>
      <c r="G66" s="53"/>
      <c r="H66" s="123"/>
      <c r="I66" s="53"/>
      <c r="J66" s="123"/>
      <c r="K66" s="53">
        <f>+IFERROR(VLOOKUP(K61,'TARIFAS 2025'!D$168:$G$178,3,1),0)</f>
        <v>0</v>
      </c>
      <c r="L66" s="128"/>
      <c r="N66" s="127"/>
      <c r="O66" s="123" t="s">
        <v>305</v>
      </c>
      <c r="P66" s="53"/>
      <c r="Q66" s="123"/>
      <c r="R66" s="53"/>
      <c r="S66" s="123"/>
      <c r="T66" s="53">
        <f>+IFERROR(VLOOKUP(T61,'TARIFAS 2025'!D$168:$G$178,3,1),0)</f>
        <v>0</v>
      </c>
      <c r="U66" s="128"/>
    </row>
    <row r="67" spans="5:21" x14ac:dyDescent="0.25">
      <c r="E67" s="127"/>
      <c r="F67" s="123" t="s">
        <v>306</v>
      </c>
      <c r="G67" s="53">
        <f>+IF('Datos y Resumen '!E60=1,'DATOS PARA AJUSTE'!I15,'ISR '!Q16)</f>
        <v>0</v>
      </c>
      <c r="H67" s="123"/>
      <c r="I67" s="53">
        <f>+IF('Datos y Resumen '!E60=1,K67-G67,0)</f>
        <v>0</v>
      </c>
      <c r="J67" s="123"/>
      <c r="K67" s="53">
        <f>+K65+K66</f>
        <v>0</v>
      </c>
      <c r="L67" s="128"/>
      <c r="N67" s="127"/>
      <c r="O67" s="123" t="s">
        <v>306</v>
      </c>
      <c r="P67" s="53">
        <f>+IF('Datos y Resumen '!E60=1,'DATOS PARA AJUSTE'!I16,'ISR '!Q17)</f>
        <v>0</v>
      </c>
      <c r="Q67" s="123"/>
      <c r="R67" s="53">
        <f>+IF('Datos y Resumen '!E60=1,T67-P67,0)</f>
        <v>0</v>
      </c>
      <c r="S67" s="123"/>
      <c r="T67" s="53">
        <f>+T65+T66</f>
        <v>0</v>
      </c>
      <c r="U67" s="128"/>
    </row>
    <row r="68" spans="5:21" x14ac:dyDescent="0.25">
      <c r="E68" s="127"/>
      <c r="F68" s="123" t="s">
        <v>307</v>
      </c>
      <c r="G68" s="53">
        <f>+IF('Datos y Resumen '!E60=1,'DATOS PARA AJUSTE'!J15,'ISR '!R16)</f>
        <v>0</v>
      </c>
      <c r="H68" s="123"/>
      <c r="I68" s="53">
        <f>IF('Datos y Resumen '!E60=1,IF(K68&gt;=G68,K68-G68,0),0)</f>
        <v>0</v>
      </c>
      <c r="J68" s="123"/>
      <c r="K68" s="53">
        <f>+IFERROR(VLOOKUP(K61,'TARIFAS 2025'!$J$168:$L$178,3,1),0)</f>
        <v>0</v>
      </c>
      <c r="L68" s="128"/>
      <c r="N68" s="127"/>
      <c r="O68" s="123" t="s">
        <v>307</v>
      </c>
      <c r="P68" s="53">
        <f>+IF('Datos y Resumen '!E60=1,'DATOS PARA AJUSTE'!J16,'ISR '!R17)</f>
        <v>0</v>
      </c>
      <c r="Q68" s="123"/>
      <c r="R68" s="53">
        <f>IF('Datos y Resumen '!E60=1,IF(T68&gt;=P68,T68-P68,0),0)</f>
        <v>0</v>
      </c>
      <c r="S68" s="123"/>
      <c r="T68" s="53">
        <f>+IFERROR(VLOOKUP(T61,'TARIFAS 2025'!$J$168:$L$178,3,1),0)</f>
        <v>0</v>
      </c>
      <c r="U68" s="128"/>
    </row>
    <row r="69" spans="5:21" x14ac:dyDescent="0.25">
      <c r="E69" s="127"/>
      <c r="F69" s="123" t="s">
        <v>298</v>
      </c>
      <c r="G69" s="53">
        <f>+IF('Datos y Resumen '!E60=1,'DATOS PARA AJUSTE'!K15,'ISR '!S16)</f>
        <v>0</v>
      </c>
      <c r="H69" s="123"/>
      <c r="I69" s="53">
        <f>+IF(I67&gt;=I68,I67-I68,0)</f>
        <v>0</v>
      </c>
      <c r="J69" s="123"/>
      <c r="K69" s="53">
        <f>+IF(K67&gt;=K68,K67-K68,0)</f>
        <v>0</v>
      </c>
      <c r="L69" s="128"/>
      <c r="N69" s="127"/>
      <c r="O69" s="123" t="s">
        <v>298</v>
      </c>
      <c r="P69" s="53">
        <f>+IF('Datos y Resumen '!E60=1,'DATOS PARA AJUSTE'!K16,'ISR '!S17)</f>
        <v>0</v>
      </c>
      <c r="Q69" s="123"/>
      <c r="R69" s="53">
        <f>+IF(R67&gt;=R68,R67-R68,0)</f>
        <v>0</v>
      </c>
      <c r="S69" s="123"/>
      <c r="T69" s="53">
        <f>+IF(T67&gt;=T68,T67-T68,0)</f>
        <v>0</v>
      </c>
      <c r="U69" s="128"/>
    </row>
    <row r="70" spans="5:21" ht="16.5" thickBot="1" x14ac:dyDescent="0.3">
      <c r="E70" s="129"/>
      <c r="F70" s="130" t="s">
        <v>299</v>
      </c>
      <c r="G70" s="131">
        <f>+IF('Datos y Resumen '!E60=1,'DATOS PARA AJUSTE'!L15,'ISR '!T16)</f>
        <v>0</v>
      </c>
      <c r="H70" s="130"/>
      <c r="I70" s="131">
        <f>+IF(I68&gt;=I67,I68-I67,0)</f>
        <v>0</v>
      </c>
      <c r="J70" s="130"/>
      <c r="K70" s="131">
        <f>+IF(K68&gt;=K67,K68-K67,0)</f>
        <v>0</v>
      </c>
      <c r="L70" s="132"/>
      <c r="N70" s="129"/>
      <c r="O70" s="130" t="s">
        <v>299</v>
      </c>
      <c r="P70" s="131">
        <f>+IF('Datos y Resumen '!E60=1,'DATOS PARA AJUSTE'!L16,'ISR '!T17)</f>
        <v>0</v>
      </c>
      <c r="Q70" s="130"/>
      <c r="R70" s="131">
        <f>+IF(R68&gt;=R67,R68-R67,0)</f>
        <v>0</v>
      </c>
      <c r="S70" s="130"/>
      <c r="T70" s="131">
        <f>+IF(T68&gt;=T67,T68-T67,0)</f>
        <v>0</v>
      </c>
      <c r="U70" s="132"/>
    </row>
    <row r="71" spans="5:21" ht="16.5" thickBot="1" x14ac:dyDescent="0.3"/>
    <row r="72" spans="5:21" ht="23.25" x14ac:dyDescent="0.25">
      <c r="E72" s="380" t="s">
        <v>300</v>
      </c>
      <c r="F72" s="381"/>
      <c r="G72" s="381"/>
      <c r="H72" s="381"/>
      <c r="I72" s="381"/>
      <c r="J72" s="381"/>
      <c r="K72" s="381"/>
      <c r="L72" s="382"/>
      <c r="N72" s="380" t="s">
        <v>300</v>
      </c>
      <c r="O72" s="381"/>
      <c r="P72" s="381"/>
      <c r="Q72" s="381"/>
      <c r="R72" s="381"/>
      <c r="S72" s="381"/>
      <c r="T72" s="381"/>
      <c r="U72" s="382"/>
    </row>
    <row r="73" spans="5:21" ht="16.5" x14ac:dyDescent="0.25">
      <c r="E73" s="69"/>
      <c r="F73" s="68" t="str">
        <f>+'LISTA TRABAJADORES'!E17</f>
        <v>11</v>
      </c>
      <c r="G73" s="379">
        <f>+'LISTA TRABAJADORES'!G17</f>
        <v>0</v>
      </c>
      <c r="H73" s="379"/>
      <c r="I73" s="379"/>
      <c r="J73" s="379"/>
      <c r="K73" s="67"/>
      <c r="L73" s="70"/>
      <c r="N73" s="69"/>
      <c r="O73" s="68" t="str">
        <f>+'LISTA TRABAJADORES'!E18</f>
        <v>12</v>
      </c>
      <c r="P73" s="379">
        <f>+'LISTA TRABAJADORES'!G18</f>
        <v>0</v>
      </c>
      <c r="Q73" s="379"/>
      <c r="R73" s="379"/>
      <c r="S73" s="379"/>
      <c r="T73" s="67"/>
      <c r="U73" s="70"/>
    </row>
    <row r="74" spans="5:21" x14ac:dyDescent="0.25">
      <c r="E74" s="71"/>
      <c r="F74" s="104"/>
      <c r="G74" s="104" t="s">
        <v>301</v>
      </c>
      <c r="H74" s="104"/>
      <c r="I74" s="104" t="s">
        <v>302</v>
      </c>
      <c r="J74" s="104"/>
      <c r="K74" s="104" t="s">
        <v>294</v>
      </c>
      <c r="L74" s="72"/>
      <c r="N74" s="71"/>
      <c r="O74" s="104"/>
      <c r="P74" s="104" t="s">
        <v>301</v>
      </c>
      <c r="Q74" s="104"/>
      <c r="R74" s="104" t="s">
        <v>302</v>
      </c>
      <c r="S74" s="104"/>
      <c r="T74" s="104" t="s">
        <v>294</v>
      </c>
      <c r="U74" s="72"/>
    </row>
    <row r="75" spans="5:21" x14ac:dyDescent="0.25">
      <c r="E75" s="127"/>
      <c r="F75" s="123" t="s">
        <v>303</v>
      </c>
      <c r="G75" s="53">
        <f>+IF('Datos y Resumen '!E60=1,'DATOS PARA AJUSTE'!H17,'ISR '!K18)</f>
        <v>0</v>
      </c>
      <c r="H75" s="123"/>
      <c r="I75" s="53">
        <f>+IF('Datos y Resumen '!E60=1,'ISR '!K18,0)</f>
        <v>0</v>
      </c>
      <c r="J75" s="123"/>
      <c r="K75" s="53">
        <f>+G75+I75</f>
        <v>0</v>
      </c>
      <c r="L75" s="128"/>
      <c r="N75" s="127"/>
      <c r="O75" s="123" t="s">
        <v>303</v>
      </c>
      <c r="P75" s="53">
        <f>+IF('Datos y Resumen '!E60=1,'DATOS PARA AJUSTE'!H18,'ISR '!K19)</f>
        <v>0</v>
      </c>
      <c r="Q75" s="123"/>
      <c r="R75" s="53">
        <f>+IF('Datos y Resumen '!E60=1,'ISR '!K19,0)</f>
        <v>0</v>
      </c>
      <c r="S75" s="123"/>
      <c r="T75" s="53">
        <f>+P75+R75</f>
        <v>0</v>
      </c>
      <c r="U75" s="128"/>
    </row>
    <row r="76" spans="5:21" x14ac:dyDescent="0.25">
      <c r="E76" s="127"/>
      <c r="F76" s="123" t="s">
        <v>295</v>
      </c>
      <c r="G76" s="53"/>
      <c r="H76" s="123"/>
      <c r="I76" s="53"/>
      <c r="J76" s="123"/>
      <c r="K76" s="53">
        <f>+IFERROR(VLOOKUP(K75,'TARIFAS 2025'!$D$168:$G$178,1,1),0)</f>
        <v>0</v>
      </c>
      <c r="L76" s="128"/>
      <c r="N76" s="127"/>
      <c r="O76" s="123" t="s">
        <v>295</v>
      </c>
      <c r="P76" s="53"/>
      <c r="Q76" s="123"/>
      <c r="R76" s="53"/>
      <c r="S76" s="123"/>
      <c r="T76" s="53">
        <f>+IFERROR(VLOOKUP(T75,'TARIFAS 2025'!$D$168:$G$178,1,1),0)</f>
        <v>0</v>
      </c>
      <c r="U76" s="128"/>
    </row>
    <row r="77" spans="5:21" x14ac:dyDescent="0.25">
      <c r="E77" s="127"/>
      <c r="F77" s="123" t="s">
        <v>296</v>
      </c>
      <c r="G77" s="53"/>
      <c r="H77" s="123"/>
      <c r="I77" s="53"/>
      <c r="J77" s="123"/>
      <c r="K77" s="53">
        <f>+K75-K76</f>
        <v>0</v>
      </c>
      <c r="L77" s="128"/>
      <c r="N77" s="127"/>
      <c r="O77" s="123" t="s">
        <v>296</v>
      </c>
      <c r="P77" s="53"/>
      <c r="Q77" s="123"/>
      <c r="R77" s="53"/>
      <c r="S77" s="123"/>
      <c r="T77" s="53">
        <f>+T75-T76</f>
        <v>0</v>
      </c>
      <c r="U77" s="128"/>
    </row>
    <row r="78" spans="5:21" s="133" customFormat="1" x14ac:dyDescent="0.25">
      <c r="E78" s="134"/>
      <c r="F78" s="135" t="s">
        <v>304</v>
      </c>
      <c r="G78" s="136"/>
      <c r="H78" s="135"/>
      <c r="I78" s="136"/>
      <c r="J78" s="135"/>
      <c r="K78" s="136">
        <f>+IFERROR(VLOOKUP(K75,'TARIFAS 2025'!$D$168:$G$178,4,1),0)</f>
        <v>0</v>
      </c>
      <c r="L78" s="137"/>
      <c r="N78" s="134"/>
      <c r="O78" s="135" t="s">
        <v>304</v>
      </c>
      <c r="P78" s="136"/>
      <c r="Q78" s="135"/>
      <c r="R78" s="136"/>
      <c r="S78" s="135"/>
      <c r="T78" s="136">
        <f>+IFERROR(VLOOKUP(T75,'TARIFAS 2025'!$D$168:$G$178,4,1),0)</f>
        <v>0</v>
      </c>
      <c r="U78" s="137"/>
    </row>
    <row r="79" spans="5:21" x14ac:dyDescent="0.25">
      <c r="E79" s="127"/>
      <c r="F79" s="123" t="s">
        <v>297</v>
      </c>
      <c r="G79" s="53"/>
      <c r="H79" s="123"/>
      <c r="I79" s="53"/>
      <c r="J79" s="123"/>
      <c r="K79" s="53">
        <f>+K77*K78</f>
        <v>0</v>
      </c>
      <c r="L79" s="128"/>
      <c r="N79" s="127"/>
      <c r="O79" s="123" t="s">
        <v>297</v>
      </c>
      <c r="P79" s="53"/>
      <c r="Q79" s="123"/>
      <c r="R79" s="53"/>
      <c r="S79" s="123"/>
      <c r="T79" s="53">
        <f>+T77*T78</f>
        <v>0</v>
      </c>
      <c r="U79" s="128"/>
    </row>
    <row r="80" spans="5:21" x14ac:dyDescent="0.25">
      <c r="E80" s="127"/>
      <c r="F80" s="123" t="s">
        <v>305</v>
      </c>
      <c r="G80" s="53"/>
      <c r="H80" s="123"/>
      <c r="I80" s="53"/>
      <c r="J80" s="123"/>
      <c r="K80" s="53">
        <f>+IFERROR(VLOOKUP(K75,'TARIFAS 2025'!D$168:$G$178,3,1),0)</f>
        <v>0</v>
      </c>
      <c r="L80" s="128"/>
      <c r="N80" s="127"/>
      <c r="O80" s="123" t="s">
        <v>305</v>
      </c>
      <c r="P80" s="53"/>
      <c r="Q80" s="123"/>
      <c r="R80" s="53"/>
      <c r="S80" s="123"/>
      <c r="T80" s="53">
        <f>+IFERROR(VLOOKUP(T75,'TARIFAS 2025'!D$168:$G$178,3,1),0)</f>
        <v>0</v>
      </c>
      <c r="U80" s="128"/>
    </row>
    <row r="81" spans="5:21" x14ac:dyDescent="0.25">
      <c r="E81" s="127"/>
      <c r="F81" s="123" t="s">
        <v>306</v>
      </c>
      <c r="G81" s="53">
        <f>+IF('Datos y Resumen '!E60=1,'DATOS PARA AJUSTE'!I17,'ISR '!Q18)</f>
        <v>0</v>
      </c>
      <c r="H81" s="123"/>
      <c r="I81" s="53">
        <f>+IF('Datos y Resumen '!E60=1,K81-G81,0)</f>
        <v>0</v>
      </c>
      <c r="J81" s="123"/>
      <c r="K81" s="53">
        <f>+K79+K80</f>
        <v>0</v>
      </c>
      <c r="L81" s="128"/>
      <c r="N81" s="127"/>
      <c r="O81" s="123" t="s">
        <v>306</v>
      </c>
      <c r="P81" s="53">
        <f>+IF('Datos y Resumen '!E60=1,'DATOS PARA AJUSTE'!I18,'ISR '!Q19)</f>
        <v>0</v>
      </c>
      <c r="Q81" s="123"/>
      <c r="R81" s="53">
        <f>+IF('Datos y Resumen '!E60=1,T81-P81,0)</f>
        <v>0</v>
      </c>
      <c r="S81" s="123"/>
      <c r="T81" s="53">
        <f>+T79+T80</f>
        <v>0</v>
      </c>
      <c r="U81" s="128"/>
    </row>
    <row r="82" spans="5:21" x14ac:dyDescent="0.25">
      <c r="E82" s="127"/>
      <c r="F82" s="123" t="s">
        <v>307</v>
      </c>
      <c r="G82" s="53">
        <f>+IF('Datos y Resumen '!E60=1,'DATOS PARA AJUSTE'!J17,'ISR '!R18)</f>
        <v>0</v>
      </c>
      <c r="H82" s="123"/>
      <c r="I82" s="53">
        <f>IF('Datos y Resumen '!E60=1,IF(K82&gt;=G82,K82-G82,0),0)</f>
        <v>0</v>
      </c>
      <c r="J82" s="123"/>
      <c r="K82" s="53">
        <f>+IFERROR(VLOOKUP(K75,'TARIFAS 2025'!$J$168:$L$178,3,1),0)</f>
        <v>0</v>
      </c>
      <c r="L82" s="128"/>
      <c r="N82" s="127"/>
      <c r="O82" s="123" t="s">
        <v>307</v>
      </c>
      <c r="P82" s="53">
        <f>+IF('Datos y Resumen '!E60=1,'DATOS PARA AJUSTE'!J18,'ISR '!R19)</f>
        <v>0</v>
      </c>
      <c r="Q82" s="123"/>
      <c r="R82" s="53">
        <f>IF('Datos y Resumen '!E60=1,IF(T82&gt;=P82,T82-P82,0),0)</f>
        <v>0</v>
      </c>
      <c r="S82" s="123"/>
      <c r="T82" s="53">
        <f>+IFERROR(VLOOKUP(T75,'TARIFAS 2025'!$J$168:$L$178,3,1),0)</f>
        <v>0</v>
      </c>
      <c r="U82" s="128"/>
    </row>
    <row r="83" spans="5:21" x14ac:dyDescent="0.25">
      <c r="E83" s="127"/>
      <c r="F83" s="123" t="s">
        <v>298</v>
      </c>
      <c r="G83" s="53">
        <f>+IF('Datos y Resumen '!E60=1,'DATOS PARA AJUSTE'!K17,'ISR '!S18)</f>
        <v>0</v>
      </c>
      <c r="H83" s="123"/>
      <c r="I83" s="53">
        <f>+IF(I81&gt;=I82,I81-I82,0)</f>
        <v>0</v>
      </c>
      <c r="J83" s="123"/>
      <c r="K83" s="53">
        <f>+IF(K81&gt;=K82,K81-K82,0)</f>
        <v>0</v>
      </c>
      <c r="L83" s="128"/>
      <c r="N83" s="127"/>
      <c r="O83" s="123" t="s">
        <v>298</v>
      </c>
      <c r="P83" s="53">
        <f>+IF('Datos y Resumen '!E60=1,'DATOS PARA AJUSTE'!K18,'ISR '!S19)</f>
        <v>0</v>
      </c>
      <c r="Q83" s="123"/>
      <c r="R83" s="53">
        <f>+IF(R81&gt;=R82,R81-R82,0)</f>
        <v>0</v>
      </c>
      <c r="S83" s="123"/>
      <c r="T83" s="53">
        <f>+IF(T81&gt;=T82,T81-T82,0)</f>
        <v>0</v>
      </c>
      <c r="U83" s="128"/>
    </row>
    <row r="84" spans="5:21" ht="16.5" thickBot="1" x14ac:dyDescent="0.3">
      <c r="E84" s="129"/>
      <c r="F84" s="130" t="s">
        <v>299</v>
      </c>
      <c r="G84" s="131">
        <f>+IF('Datos y Resumen '!E60=1,'DATOS PARA AJUSTE'!L17,'ISR '!T18)</f>
        <v>0</v>
      </c>
      <c r="H84" s="130"/>
      <c r="I84" s="131">
        <f>+IF(I82&gt;=I81,I82-I81,0)</f>
        <v>0</v>
      </c>
      <c r="J84" s="130"/>
      <c r="K84" s="131">
        <f>+IF(K82&gt;=K81,K82-K81,0)</f>
        <v>0</v>
      </c>
      <c r="L84" s="132"/>
      <c r="N84" s="129"/>
      <c r="O84" s="130" t="s">
        <v>299</v>
      </c>
      <c r="P84" s="131">
        <f>+IF('Datos y Resumen '!E60=1,'DATOS PARA AJUSTE'!L18,'ISR '!T19)</f>
        <v>0</v>
      </c>
      <c r="Q84" s="130"/>
      <c r="R84" s="131">
        <f>+IF(R82&gt;=R81,R82-R81,0)</f>
        <v>0</v>
      </c>
      <c r="S84" s="130"/>
      <c r="T84" s="131">
        <f>+IF(T82&gt;=T81,T82-T81,0)</f>
        <v>0</v>
      </c>
      <c r="U84" s="132"/>
    </row>
    <row r="85" spans="5:21" ht="16.5" thickBot="1" x14ac:dyDescent="0.3"/>
    <row r="86" spans="5:21" ht="23.25" x14ac:dyDescent="0.25">
      <c r="E86" s="380" t="s">
        <v>300</v>
      </c>
      <c r="F86" s="381"/>
      <c r="G86" s="381"/>
      <c r="H86" s="381"/>
      <c r="I86" s="381"/>
      <c r="J86" s="381"/>
      <c r="K86" s="381"/>
      <c r="L86" s="382"/>
      <c r="N86" s="380" t="s">
        <v>300</v>
      </c>
      <c r="O86" s="381"/>
      <c r="P86" s="381"/>
      <c r="Q86" s="381"/>
      <c r="R86" s="381"/>
      <c r="S86" s="381"/>
      <c r="T86" s="381"/>
      <c r="U86" s="382"/>
    </row>
    <row r="87" spans="5:21" ht="16.5" x14ac:dyDescent="0.25">
      <c r="E87" s="69"/>
      <c r="F87" s="68" t="str">
        <f>+'LISTA TRABAJADORES'!E19</f>
        <v>13</v>
      </c>
      <c r="G87" s="379">
        <f>+'LISTA TRABAJADORES'!G19</f>
        <v>0</v>
      </c>
      <c r="H87" s="379"/>
      <c r="I87" s="379"/>
      <c r="J87" s="379"/>
      <c r="K87" s="67"/>
      <c r="L87" s="70"/>
      <c r="N87" s="69"/>
      <c r="O87" s="68" t="str">
        <f>+'LISTA TRABAJADORES'!E20</f>
        <v>14</v>
      </c>
      <c r="P87" s="379">
        <f>+'LISTA TRABAJADORES'!G20</f>
        <v>0</v>
      </c>
      <c r="Q87" s="379"/>
      <c r="R87" s="379"/>
      <c r="S87" s="379"/>
      <c r="T87" s="67"/>
      <c r="U87" s="70"/>
    </row>
    <row r="88" spans="5:21" x14ac:dyDescent="0.25">
      <c r="E88" s="71"/>
      <c r="F88" s="104"/>
      <c r="G88" s="104" t="s">
        <v>301</v>
      </c>
      <c r="H88" s="104"/>
      <c r="I88" s="104" t="s">
        <v>302</v>
      </c>
      <c r="J88" s="104"/>
      <c r="K88" s="104" t="s">
        <v>294</v>
      </c>
      <c r="L88" s="72"/>
      <c r="N88" s="71"/>
      <c r="O88" s="104"/>
      <c r="P88" s="104" t="s">
        <v>301</v>
      </c>
      <c r="Q88" s="104"/>
      <c r="R88" s="104" t="s">
        <v>302</v>
      </c>
      <c r="S88" s="104"/>
      <c r="T88" s="104" t="s">
        <v>294</v>
      </c>
      <c r="U88" s="72"/>
    </row>
    <row r="89" spans="5:21" x14ac:dyDescent="0.25">
      <c r="E89" s="127"/>
      <c r="F89" s="123" t="s">
        <v>303</v>
      </c>
      <c r="G89" s="53">
        <f>+IF('Datos y Resumen '!E60=1,'DATOS PARA AJUSTE'!H19,'ISR '!K20)</f>
        <v>0</v>
      </c>
      <c r="H89" s="123"/>
      <c r="I89" s="53">
        <f>+IF('Datos y Resumen '!E60=1,'ISR '!K20,0)</f>
        <v>0</v>
      </c>
      <c r="J89" s="123"/>
      <c r="K89" s="53">
        <f>+G89+I89</f>
        <v>0</v>
      </c>
      <c r="L89" s="128"/>
      <c r="N89" s="127"/>
      <c r="O89" s="123" t="s">
        <v>303</v>
      </c>
      <c r="P89" s="53">
        <f>+IF('Datos y Resumen '!E60=1,'DATOS PARA AJUSTE'!H20,'ISR '!K21)</f>
        <v>0</v>
      </c>
      <c r="Q89" s="123"/>
      <c r="R89" s="53">
        <f>+IF('Datos y Resumen '!E60=1,'ISR '!K21,0)</f>
        <v>0</v>
      </c>
      <c r="S89" s="123"/>
      <c r="T89" s="53">
        <f>+P89+R89</f>
        <v>0</v>
      </c>
      <c r="U89" s="128"/>
    </row>
    <row r="90" spans="5:21" x14ac:dyDescent="0.25">
      <c r="E90" s="127"/>
      <c r="F90" s="123" t="s">
        <v>295</v>
      </c>
      <c r="G90" s="53"/>
      <c r="H90" s="123"/>
      <c r="I90" s="53"/>
      <c r="J90" s="123"/>
      <c r="K90" s="53">
        <f>+IFERROR(VLOOKUP(K89,'TARIFAS 2025'!$D$168:$G$178,1,1),0)</f>
        <v>0</v>
      </c>
      <c r="L90" s="128"/>
      <c r="N90" s="127"/>
      <c r="O90" s="123" t="s">
        <v>295</v>
      </c>
      <c r="P90" s="53"/>
      <c r="Q90" s="123"/>
      <c r="R90" s="53"/>
      <c r="S90" s="123"/>
      <c r="T90" s="53">
        <f>+IFERROR(VLOOKUP(T89,'TARIFAS 2025'!$D$168:$G$178,1,1),0)</f>
        <v>0</v>
      </c>
      <c r="U90" s="128"/>
    </row>
    <row r="91" spans="5:21" x14ac:dyDescent="0.25">
      <c r="E91" s="127"/>
      <c r="F91" s="123" t="s">
        <v>296</v>
      </c>
      <c r="G91" s="53"/>
      <c r="H91" s="123"/>
      <c r="I91" s="53"/>
      <c r="J91" s="123"/>
      <c r="K91" s="53">
        <f>+K89-K90</f>
        <v>0</v>
      </c>
      <c r="L91" s="128"/>
      <c r="N91" s="127"/>
      <c r="O91" s="123" t="s">
        <v>296</v>
      </c>
      <c r="P91" s="53"/>
      <c r="Q91" s="123"/>
      <c r="R91" s="53"/>
      <c r="S91" s="123"/>
      <c r="T91" s="53">
        <f>+T89-T90</f>
        <v>0</v>
      </c>
      <c r="U91" s="128"/>
    </row>
    <row r="92" spans="5:21" s="133" customFormat="1" x14ac:dyDescent="0.25">
      <c r="E92" s="134"/>
      <c r="F92" s="135" t="s">
        <v>304</v>
      </c>
      <c r="G92" s="136"/>
      <c r="H92" s="135"/>
      <c r="I92" s="136"/>
      <c r="J92" s="135"/>
      <c r="K92" s="136">
        <f>+IFERROR(VLOOKUP(K89,'TARIFAS 2025'!$D$168:$G$178,4,1),0)</f>
        <v>0</v>
      </c>
      <c r="L92" s="137"/>
      <c r="N92" s="134"/>
      <c r="O92" s="135" t="s">
        <v>304</v>
      </c>
      <c r="P92" s="136"/>
      <c r="Q92" s="135"/>
      <c r="R92" s="136"/>
      <c r="S92" s="135"/>
      <c r="T92" s="136">
        <f>+IFERROR(VLOOKUP(T89,'TARIFAS 2025'!$D$168:$G$178,4,1),0)</f>
        <v>0</v>
      </c>
      <c r="U92" s="137"/>
    </row>
    <row r="93" spans="5:21" x14ac:dyDescent="0.25">
      <c r="E93" s="127"/>
      <c r="F93" s="123" t="s">
        <v>297</v>
      </c>
      <c r="G93" s="53"/>
      <c r="H93" s="123"/>
      <c r="I93" s="53"/>
      <c r="J93" s="123"/>
      <c r="K93" s="53">
        <f>+K91*K92</f>
        <v>0</v>
      </c>
      <c r="L93" s="128"/>
      <c r="N93" s="127"/>
      <c r="O93" s="123" t="s">
        <v>297</v>
      </c>
      <c r="P93" s="53"/>
      <c r="Q93" s="123"/>
      <c r="R93" s="53"/>
      <c r="S93" s="123"/>
      <c r="T93" s="53">
        <f>+T91*T92</f>
        <v>0</v>
      </c>
      <c r="U93" s="128"/>
    </row>
    <row r="94" spans="5:21" x14ac:dyDescent="0.25">
      <c r="E94" s="127"/>
      <c r="F94" s="123" t="s">
        <v>305</v>
      </c>
      <c r="G94" s="53"/>
      <c r="H94" s="123"/>
      <c r="I94" s="53"/>
      <c r="J94" s="123"/>
      <c r="K94" s="53">
        <f>+IFERROR(VLOOKUP(K89,'TARIFAS 2025'!D$168:$G$178,3,1),0)</f>
        <v>0</v>
      </c>
      <c r="L94" s="128"/>
      <c r="N94" s="127"/>
      <c r="O94" s="123" t="s">
        <v>305</v>
      </c>
      <c r="P94" s="53"/>
      <c r="Q94" s="123"/>
      <c r="R94" s="53"/>
      <c r="S94" s="123"/>
      <c r="T94" s="53">
        <f>+IFERROR(VLOOKUP(T89,'TARIFAS 2025'!D$168:$G$178,3,1),0)</f>
        <v>0</v>
      </c>
      <c r="U94" s="128"/>
    </row>
    <row r="95" spans="5:21" x14ac:dyDescent="0.25">
      <c r="E95" s="127"/>
      <c r="F95" s="123" t="s">
        <v>306</v>
      </c>
      <c r="G95" s="53">
        <f>+IF('Datos y Resumen '!E60=1,'DATOS PARA AJUSTE'!I19,'ISR '!Q20)</f>
        <v>0</v>
      </c>
      <c r="H95" s="123"/>
      <c r="I95" s="53">
        <f>+IF('Datos y Resumen '!E60=1,K95-G95,0)</f>
        <v>0</v>
      </c>
      <c r="J95" s="123"/>
      <c r="K95" s="53">
        <f>+K93+K94</f>
        <v>0</v>
      </c>
      <c r="L95" s="128"/>
      <c r="N95" s="127"/>
      <c r="O95" s="123" t="s">
        <v>306</v>
      </c>
      <c r="P95" s="53">
        <f>+IF('Datos y Resumen '!E60=1,'DATOS PARA AJUSTE'!I20,'ISR '!Q21)</f>
        <v>0</v>
      </c>
      <c r="Q95" s="123"/>
      <c r="R95" s="53">
        <f>+IF('Datos y Resumen '!E60=1,T95-P95,0)</f>
        <v>0</v>
      </c>
      <c r="S95" s="123"/>
      <c r="T95" s="53">
        <f>+T93+T94</f>
        <v>0</v>
      </c>
      <c r="U95" s="128"/>
    </row>
    <row r="96" spans="5:21" x14ac:dyDescent="0.25">
      <c r="E96" s="127"/>
      <c r="F96" s="123" t="s">
        <v>307</v>
      </c>
      <c r="G96" s="53">
        <f>+IF('Datos y Resumen '!E60=1,'DATOS PARA AJUSTE'!J19,'ISR '!R20)</f>
        <v>0</v>
      </c>
      <c r="H96" s="123"/>
      <c r="I96" s="53">
        <f>IF('Datos y Resumen '!E60=1,IF(K96&gt;=G96,K96-G96,0),0)</f>
        <v>0</v>
      </c>
      <c r="J96" s="123"/>
      <c r="K96" s="53">
        <f>+IFERROR(VLOOKUP(K89,'TARIFAS 2025'!$J$168:$L$178,3,1),0)</f>
        <v>0</v>
      </c>
      <c r="L96" s="128"/>
      <c r="N96" s="127"/>
      <c r="O96" s="123" t="s">
        <v>307</v>
      </c>
      <c r="P96" s="53">
        <f>+IF('Datos y Resumen '!E60=1,'DATOS PARA AJUSTE'!J20,'ISR '!R21)</f>
        <v>0</v>
      </c>
      <c r="Q96" s="123"/>
      <c r="R96" s="53">
        <f>IF('Datos y Resumen '!E60=1,IF(T96&gt;=P96,T96-P96,0),0)</f>
        <v>0</v>
      </c>
      <c r="S96" s="123"/>
      <c r="T96" s="53">
        <f>+IFERROR(VLOOKUP(T89,'TARIFAS 2025'!$J$168:$L$178,3,1),0)</f>
        <v>0</v>
      </c>
      <c r="U96" s="128"/>
    </row>
    <row r="97" spans="5:21" x14ac:dyDescent="0.25">
      <c r="E97" s="127"/>
      <c r="F97" s="123" t="s">
        <v>298</v>
      </c>
      <c r="G97" s="53">
        <f>+IF('Datos y Resumen '!E60=1,'DATOS PARA AJUSTE'!K19,'ISR '!S20)</f>
        <v>0</v>
      </c>
      <c r="H97" s="123"/>
      <c r="I97" s="53">
        <f>+IF(I95&gt;=I96,I95-I96,0)</f>
        <v>0</v>
      </c>
      <c r="J97" s="123"/>
      <c r="K97" s="53">
        <f>+IF(K95&gt;=K96,K95-K96,0)</f>
        <v>0</v>
      </c>
      <c r="L97" s="128"/>
      <c r="N97" s="127"/>
      <c r="O97" s="123" t="s">
        <v>298</v>
      </c>
      <c r="P97" s="53">
        <f>+IF('Datos y Resumen '!E60=1,'DATOS PARA AJUSTE'!K20,'ISR '!S21)</f>
        <v>0</v>
      </c>
      <c r="Q97" s="123"/>
      <c r="R97" s="53">
        <f>+IF(R95&gt;=R96,R95-R96,0)</f>
        <v>0</v>
      </c>
      <c r="S97" s="123"/>
      <c r="T97" s="53">
        <f>+IF(T95&gt;=T96,T95-T96,0)</f>
        <v>0</v>
      </c>
      <c r="U97" s="128"/>
    </row>
    <row r="98" spans="5:21" ht="16.5" thickBot="1" x14ac:dyDescent="0.3">
      <c r="E98" s="129"/>
      <c r="F98" s="130" t="s">
        <v>299</v>
      </c>
      <c r="G98" s="131">
        <f>+IF('Datos y Resumen '!E60=1,'DATOS PARA AJUSTE'!L19,'ISR '!T20)</f>
        <v>0</v>
      </c>
      <c r="H98" s="130"/>
      <c r="I98" s="131">
        <f>+IF(I96&gt;=I95,I96-I95,0)</f>
        <v>0</v>
      </c>
      <c r="J98" s="130"/>
      <c r="K98" s="131">
        <f>+IF(K96&gt;=K95,K96-K95,0)</f>
        <v>0</v>
      </c>
      <c r="L98" s="132"/>
      <c r="N98" s="129"/>
      <c r="O98" s="130" t="s">
        <v>299</v>
      </c>
      <c r="P98" s="131">
        <f>+IF('Datos y Resumen '!E60=1,'DATOS PARA AJUSTE'!L20,'ISR '!T21)</f>
        <v>0</v>
      </c>
      <c r="Q98" s="130"/>
      <c r="R98" s="131">
        <f>+IF(R96&gt;=R95,R96-R95,0)</f>
        <v>0</v>
      </c>
      <c r="S98" s="130"/>
      <c r="T98" s="131">
        <f>+IF(T96&gt;=T95,T96-T95,0)</f>
        <v>0</v>
      </c>
      <c r="U98" s="132"/>
    </row>
    <row r="99" spans="5:21" ht="16.5" thickBot="1" x14ac:dyDescent="0.3"/>
    <row r="100" spans="5:21" ht="23.25" x14ac:dyDescent="0.25">
      <c r="E100" s="380" t="s">
        <v>300</v>
      </c>
      <c r="F100" s="381"/>
      <c r="G100" s="381"/>
      <c r="H100" s="381"/>
      <c r="I100" s="381"/>
      <c r="J100" s="381"/>
      <c r="K100" s="381"/>
      <c r="L100" s="382"/>
      <c r="N100" s="380" t="s">
        <v>300</v>
      </c>
      <c r="O100" s="381"/>
      <c r="P100" s="381"/>
      <c r="Q100" s="381"/>
      <c r="R100" s="381"/>
      <c r="S100" s="381"/>
      <c r="T100" s="381"/>
      <c r="U100" s="382"/>
    </row>
    <row r="101" spans="5:21" ht="16.5" x14ac:dyDescent="0.25">
      <c r="E101" s="69"/>
      <c r="F101" s="68" t="str">
        <f>+'LISTA TRABAJADORES'!E21</f>
        <v>15</v>
      </c>
      <c r="G101" s="379">
        <f>+'LISTA TRABAJADORES'!G21</f>
        <v>0</v>
      </c>
      <c r="H101" s="379"/>
      <c r="I101" s="379"/>
      <c r="J101" s="379"/>
      <c r="K101" s="67"/>
      <c r="L101" s="70"/>
      <c r="N101" s="69"/>
      <c r="O101" s="68" t="str">
        <f>+'LISTA TRABAJADORES'!E22</f>
        <v>16</v>
      </c>
      <c r="P101" s="379">
        <f>+'LISTA TRABAJADORES'!G22</f>
        <v>0</v>
      </c>
      <c r="Q101" s="379"/>
      <c r="R101" s="379"/>
      <c r="S101" s="379"/>
      <c r="T101" s="67"/>
      <c r="U101" s="70"/>
    </row>
    <row r="102" spans="5:21" x14ac:dyDescent="0.25">
      <c r="E102" s="71"/>
      <c r="F102" s="104"/>
      <c r="G102" s="104" t="s">
        <v>301</v>
      </c>
      <c r="H102" s="104"/>
      <c r="I102" s="104" t="s">
        <v>302</v>
      </c>
      <c r="J102" s="104"/>
      <c r="K102" s="104" t="s">
        <v>294</v>
      </c>
      <c r="L102" s="72"/>
      <c r="N102" s="71"/>
      <c r="O102" s="104"/>
      <c r="P102" s="104" t="s">
        <v>301</v>
      </c>
      <c r="Q102" s="104"/>
      <c r="R102" s="104" t="s">
        <v>302</v>
      </c>
      <c r="S102" s="104"/>
      <c r="T102" s="104" t="s">
        <v>294</v>
      </c>
      <c r="U102" s="72"/>
    </row>
    <row r="103" spans="5:21" x14ac:dyDescent="0.25">
      <c r="E103" s="127"/>
      <c r="F103" s="123" t="s">
        <v>303</v>
      </c>
      <c r="G103" s="53">
        <f>+IF('Datos y Resumen '!E60=1,'DATOS PARA AJUSTE'!H21,'ISR '!K22)</f>
        <v>0</v>
      </c>
      <c r="H103" s="123"/>
      <c r="I103" s="53">
        <f>+IF('Datos y Resumen '!E60=1,'ISR '!K22,0)</f>
        <v>0</v>
      </c>
      <c r="J103" s="123"/>
      <c r="K103" s="53">
        <f>+G103+I103</f>
        <v>0</v>
      </c>
      <c r="L103" s="128"/>
      <c r="N103" s="127"/>
      <c r="O103" s="123" t="s">
        <v>303</v>
      </c>
      <c r="P103" s="53">
        <f>+IF('Datos y Resumen '!E60=1,'DATOS PARA AJUSTE'!H22,'ISR '!K23)</f>
        <v>0</v>
      </c>
      <c r="Q103" s="123"/>
      <c r="R103" s="53">
        <f>+IF('Datos y Resumen '!E60=1,'ISR '!K23,0)</f>
        <v>0</v>
      </c>
      <c r="S103" s="123"/>
      <c r="T103" s="53">
        <f>+P103+R103</f>
        <v>0</v>
      </c>
      <c r="U103" s="128"/>
    </row>
    <row r="104" spans="5:21" x14ac:dyDescent="0.25">
      <c r="E104" s="127"/>
      <c r="F104" s="123" t="s">
        <v>295</v>
      </c>
      <c r="G104" s="53"/>
      <c r="H104" s="123"/>
      <c r="I104" s="53"/>
      <c r="J104" s="123"/>
      <c r="K104" s="53">
        <f>+IFERROR(VLOOKUP(K103,'TARIFAS 2025'!$D$168:$G$178,1,1),0)</f>
        <v>0</v>
      </c>
      <c r="L104" s="128"/>
      <c r="N104" s="127"/>
      <c r="O104" s="123" t="s">
        <v>295</v>
      </c>
      <c r="P104" s="53"/>
      <c r="Q104" s="123"/>
      <c r="R104" s="53"/>
      <c r="S104" s="123"/>
      <c r="T104" s="53">
        <f>+IFERROR(VLOOKUP(T103,'TARIFAS 2025'!$D$168:$G$178,1,1),0)</f>
        <v>0</v>
      </c>
      <c r="U104" s="128"/>
    </row>
    <row r="105" spans="5:21" x14ac:dyDescent="0.25">
      <c r="E105" s="127"/>
      <c r="F105" s="123" t="s">
        <v>296</v>
      </c>
      <c r="G105" s="53"/>
      <c r="H105" s="123"/>
      <c r="I105" s="53"/>
      <c r="J105" s="123"/>
      <c r="K105" s="53">
        <f>+K103-K104</f>
        <v>0</v>
      </c>
      <c r="L105" s="128"/>
      <c r="N105" s="127"/>
      <c r="O105" s="123" t="s">
        <v>296</v>
      </c>
      <c r="P105" s="53"/>
      <c r="Q105" s="123"/>
      <c r="R105" s="53"/>
      <c r="S105" s="123"/>
      <c r="T105" s="53">
        <f>+T103-T104</f>
        <v>0</v>
      </c>
      <c r="U105" s="128"/>
    </row>
    <row r="106" spans="5:21" s="133" customFormat="1" x14ac:dyDescent="0.25">
      <c r="E106" s="134"/>
      <c r="F106" s="135" t="s">
        <v>304</v>
      </c>
      <c r="G106" s="136"/>
      <c r="H106" s="135"/>
      <c r="I106" s="136"/>
      <c r="J106" s="135"/>
      <c r="K106" s="136">
        <f>+IFERROR(VLOOKUP(K103,'TARIFAS 2025'!$D$168:$G$178,4,1),0)</f>
        <v>0</v>
      </c>
      <c r="L106" s="137"/>
      <c r="N106" s="134"/>
      <c r="O106" s="135" t="s">
        <v>304</v>
      </c>
      <c r="P106" s="136"/>
      <c r="Q106" s="135"/>
      <c r="R106" s="136"/>
      <c r="S106" s="135"/>
      <c r="T106" s="136">
        <f>+IFERROR(VLOOKUP(T103,'TARIFAS 2025'!$D$168:$G$178,4,1),0)</f>
        <v>0</v>
      </c>
      <c r="U106" s="137"/>
    </row>
    <row r="107" spans="5:21" x14ac:dyDescent="0.25">
      <c r="E107" s="127"/>
      <c r="F107" s="123" t="s">
        <v>297</v>
      </c>
      <c r="G107" s="53"/>
      <c r="H107" s="123"/>
      <c r="I107" s="53"/>
      <c r="J107" s="123"/>
      <c r="K107" s="53">
        <f>+K105*K106</f>
        <v>0</v>
      </c>
      <c r="L107" s="128"/>
      <c r="N107" s="127"/>
      <c r="O107" s="123" t="s">
        <v>297</v>
      </c>
      <c r="P107" s="53"/>
      <c r="Q107" s="123"/>
      <c r="R107" s="53"/>
      <c r="S107" s="123"/>
      <c r="T107" s="53">
        <f>+T105*T106</f>
        <v>0</v>
      </c>
      <c r="U107" s="128"/>
    </row>
    <row r="108" spans="5:21" x14ac:dyDescent="0.25">
      <c r="E108" s="127"/>
      <c r="F108" s="123" t="s">
        <v>305</v>
      </c>
      <c r="G108" s="53"/>
      <c r="H108" s="123"/>
      <c r="I108" s="53"/>
      <c r="J108" s="123"/>
      <c r="K108" s="53">
        <f>+IFERROR(VLOOKUP(K103,'TARIFAS 2025'!D$168:$G$178,3,1),0)</f>
        <v>0</v>
      </c>
      <c r="L108" s="128"/>
      <c r="N108" s="127"/>
      <c r="O108" s="123" t="s">
        <v>305</v>
      </c>
      <c r="P108" s="53"/>
      <c r="Q108" s="123"/>
      <c r="R108" s="53"/>
      <c r="S108" s="123"/>
      <c r="T108" s="53">
        <f>+IFERROR(VLOOKUP(T103,'TARIFAS 2025'!D$168:$G$178,3,1),0)</f>
        <v>0</v>
      </c>
      <c r="U108" s="128"/>
    </row>
    <row r="109" spans="5:21" x14ac:dyDescent="0.25">
      <c r="E109" s="127"/>
      <c r="F109" s="123" t="s">
        <v>306</v>
      </c>
      <c r="G109" s="53">
        <f>+IF('Datos y Resumen '!E60=1,'DATOS PARA AJUSTE'!I21,'ISR '!Q22)</f>
        <v>0</v>
      </c>
      <c r="H109" s="123"/>
      <c r="I109" s="53">
        <f>+IF('Datos y Resumen '!E60=1,K109-G109,0)</f>
        <v>0</v>
      </c>
      <c r="J109" s="123"/>
      <c r="K109" s="53">
        <f>+K107+K108</f>
        <v>0</v>
      </c>
      <c r="L109" s="128"/>
      <c r="N109" s="127"/>
      <c r="O109" s="123" t="s">
        <v>306</v>
      </c>
      <c r="P109" s="53">
        <f>+IF('Datos y Resumen '!E60=1,'DATOS PARA AJUSTE'!I22,'ISR '!Q23)</f>
        <v>0</v>
      </c>
      <c r="Q109" s="123"/>
      <c r="R109" s="53">
        <f>+IF('Datos y Resumen '!E60=1,T109-P109,0)</f>
        <v>0</v>
      </c>
      <c r="S109" s="123"/>
      <c r="T109" s="53">
        <f>+T107+T108</f>
        <v>0</v>
      </c>
      <c r="U109" s="128"/>
    </row>
    <row r="110" spans="5:21" x14ac:dyDescent="0.25">
      <c r="E110" s="127"/>
      <c r="F110" s="123" t="s">
        <v>307</v>
      </c>
      <c r="G110" s="53">
        <f>+IF('Datos y Resumen '!E60=1,'DATOS PARA AJUSTE'!J21,'ISR '!R22)</f>
        <v>0</v>
      </c>
      <c r="H110" s="123"/>
      <c r="I110" s="53">
        <f>IF('Datos y Resumen '!E60=1,IF(K110&gt;=G110,K110-G110,0),0)</f>
        <v>0</v>
      </c>
      <c r="J110" s="123"/>
      <c r="K110" s="53">
        <f>+IFERROR(VLOOKUP(K103,'TARIFAS 2025'!$J$168:$L$178,3,1),0)</f>
        <v>0</v>
      </c>
      <c r="L110" s="128"/>
      <c r="N110" s="127"/>
      <c r="O110" s="123" t="s">
        <v>307</v>
      </c>
      <c r="P110" s="53">
        <f>+IF('Datos y Resumen '!E60=1,'DATOS PARA AJUSTE'!J22,'ISR '!R23)</f>
        <v>0</v>
      </c>
      <c r="Q110" s="123"/>
      <c r="R110" s="53">
        <f>IF('Datos y Resumen '!E60=1,IF(T110&gt;=P110,T110-P110,0),0)</f>
        <v>0</v>
      </c>
      <c r="S110" s="123"/>
      <c r="T110" s="53">
        <f>+IFERROR(VLOOKUP(T103,'TARIFAS 2025'!$J$168:$L$178,3,1),0)</f>
        <v>0</v>
      </c>
      <c r="U110" s="128"/>
    </row>
    <row r="111" spans="5:21" x14ac:dyDescent="0.25">
      <c r="E111" s="127"/>
      <c r="F111" s="123" t="s">
        <v>298</v>
      </c>
      <c r="G111" s="53">
        <f>+IF('Datos y Resumen '!E60=1,'DATOS PARA AJUSTE'!K21,'ISR '!S22)</f>
        <v>0</v>
      </c>
      <c r="H111" s="123"/>
      <c r="I111" s="53">
        <f>+IF(I109&gt;=I110,I109-I110,0)</f>
        <v>0</v>
      </c>
      <c r="J111" s="123"/>
      <c r="K111" s="53">
        <f>+IF(K109&gt;=K110,K109-K110,0)</f>
        <v>0</v>
      </c>
      <c r="L111" s="128"/>
      <c r="N111" s="127"/>
      <c r="O111" s="123" t="s">
        <v>298</v>
      </c>
      <c r="P111" s="53">
        <f>+IF('Datos y Resumen '!E60=1,'DATOS PARA AJUSTE'!K22,'ISR '!S23)</f>
        <v>0</v>
      </c>
      <c r="Q111" s="123"/>
      <c r="R111" s="53">
        <f>+IF(R109&gt;=R110,R109-R110,0)</f>
        <v>0</v>
      </c>
      <c r="S111" s="123"/>
      <c r="T111" s="53">
        <f>+IF(T109&gt;=T110,T109-T110,0)</f>
        <v>0</v>
      </c>
      <c r="U111" s="128"/>
    </row>
    <row r="112" spans="5:21" ht="16.5" thickBot="1" x14ac:dyDescent="0.3">
      <c r="E112" s="129"/>
      <c r="F112" s="130" t="s">
        <v>299</v>
      </c>
      <c r="G112" s="131">
        <f>+IF('Datos y Resumen '!E60=1,'DATOS PARA AJUSTE'!L21,'ISR '!T22)</f>
        <v>0</v>
      </c>
      <c r="H112" s="130"/>
      <c r="I112" s="131">
        <f>+IF(I110&gt;=I109,I110-I109,0)</f>
        <v>0</v>
      </c>
      <c r="J112" s="130"/>
      <c r="K112" s="131">
        <f>+IF(K110&gt;=K109,K110-K109,0)</f>
        <v>0</v>
      </c>
      <c r="L112" s="132"/>
      <c r="N112" s="129"/>
      <c r="O112" s="130" t="s">
        <v>299</v>
      </c>
      <c r="P112" s="131">
        <f>+IF('Datos y Resumen '!E60=1,'DATOS PARA AJUSTE'!L22,'ISR '!T23)</f>
        <v>0</v>
      </c>
      <c r="Q112" s="130"/>
      <c r="R112" s="131">
        <f>+IF(R110&gt;=R109,R110-R109,0)</f>
        <v>0</v>
      </c>
      <c r="S112" s="130"/>
      <c r="T112" s="131">
        <f>+IF(T110&gt;=T109,T110-T109,0)</f>
        <v>0</v>
      </c>
      <c r="U112" s="132"/>
    </row>
    <row r="113" spans="5:21" ht="16.5" thickBot="1" x14ac:dyDescent="0.3"/>
    <row r="114" spans="5:21" ht="23.25" x14ac:dyDescent="0.25">
      <c r="E114" s="380" t="s">
        <v>300</v>
      </c>
      <c r="F114" s="381"/>
      <c r="G114" s="381"/>
      <c r="H114" s="381"/>
      <c r="I114" s="381"/>
      <c r="J114" s="381"/>
      <c r="K114" s="381"/>
      <c r="L114" s="382"/>
      <c r="N114" s="380" t="s">
        <v>300</v>
      </c>
      <c r="O114" s="381"/>
      <c r="P114" s="381"/>
      <c r="Q114" s="381"/>
      <c r="R114" s="381"/>
      <c r="S114" s="381"/>
      <c r="T114" s="381"/>
      <c r="U114" s="382"/>
    </row>
    <row r="115" spans="5:21" ht="16.5" x14ac:dyDescent="0.25">
      <c r="E115" s="69"/>
      <c r="F115" s="68" t="str">
        <f>+'LISTA TRABAJADORES'!E23</f>
        <v>17</v>
      </c>
      <c r="G115" s="379">
        <f>+'LISTA TRABAJADORES'!G23</f>
        <v>0</v>
      </c>
      <c r="H115" s="379"/>
      <c r="I115" s="379"/>
      <c r="J115" s="379"/>
      <c r="K115" s="67"/>
      <c r="L115" s="70"/>
      <c r="N115" s="69"/>
      <c r="O115" s="68" t="str">
        <f>+'LISTA TRABAJADORES'!E24</f>
        <v>18</v>
      </c>
      <c r="P115" s="379">
        <f>+'LISTA TRABAJADORES'!G24</f>
        <v>0</v>
      </c>
      <c r="Q115" s="379"/>
      <c r="R115" s="379"/>
      <c r="S115" s="379"/>
      <c r="T115" s="67"/>
      <c r="U115" s="70"/>
    </row>
    <row r="116" spans="5:21" x14ac:dyDescent="0.25">
      <c r="E116" s="71"/>
      <c r="F116" s="104"/>
      <c r="G116" s="104" t="s">
        <v>301</v>
      </c>
      <c r="H116" s="104"/>
      <c r="I116" s="104" t="s">
        <v>302</v>
      </c>
      <c r="J116" s="104"/>
      <c r="K116" s="104" t="s">
        <v>294</v>
      </c>
      <c r="L116" s="72"/>
      <c r="N116" s="71"/>
      <c r="O116" s="104"/>
      <c r="P116" s="104" t="s">
        <v>301</v>
      </c>
      <c r="Q116" s="104"/>
      <c r="R116" s="104" t="s">
        <v>302</v>
      </c>
      <c r="S116" s="104"/>
      <c r="T116" s="104" t="s">
        <v>294</v>
      </c>
      <c r="U116" s="72"/>
    </row>
    <row r="117" spans="5:21" x14ac:dyDescent="0.25">
      <c r="E117" s="127"/>
      <c r="F117" s="123" t="s">
        <v>303</v>
      </c>
      <c r="G117" s="53">
        <f>+IF('Datos y Resumen '!E60=1,'DATOS PARA AJUSTE'!H23,'ISR '!K24)</f>
        <v>0</v>
      </c>
      <c r="H117" s="123"/>
      <c r="I117" s="53">
        <f>+IF('Datos y Resumen '!E60=1,'ISR '!K24,0)</f>
        <v>0</v>
      </c>
      <c r="J117" s="123"/>
      <c r="K117" s="53">
        <f>+G117+I117</f>
        <v>0</v>
      </c>
      <c r="L117" s="128"/>
      <c r="N117" s="127"/>
      <c r="O117" s="123" t="s">
        <v>303</v>
      </c>
      <c r="P117" s="53">
        <f>+IF('Datos y Resumen '!E60=1,'DATOS PARA AJUSTE'!H24,'ISR '!K25)</f>
        <v>0</v>
      </c>
      <c r="Q117" s="123"/>
      <c r="R117" s="53">
        <f>+IF('Datos y Resumen '!E60=1,'ISR '!K25,0)</f>
        <v>0</v>
      </c>
      <c r="S117" s="123"/>
      <c r="T117" s="53">
        <f>+P117+R117</f>
        <v>0</v>
      </c>
      <c r="U117" s="128"/>
    </row>
    <row r="118" spans="5:21" x14ac:dyDescent="0.25">
      <c r="E118" s="127"/>
      <c r="F118" s="123" t="s">
        <v>295</v>
      </c>
      <c r="G118" s="53"/>
      <c r="H118" s="123"/>
      <c r="I118" s="53"/>
      <c r="J118" s="123"/>
      <c r="K118" s="53">
        <f>+IFERROR(VLOOKUP(K117,'TARIFAS 2025'!$D$168:$G$178,1,1),0)</f>
        <v>0</v>
      </c>
      <c r="L118" s="128"/>
      <c r="N118" s="127"/>
      <c r="O118" s="123" t="s">
        <v>295</v>
      </c>
      <c r="P118" s="53"/>
      <c r="Q118" s="123"/>
      <c r="R118" s="53"/>
      <c r="S118" s="123"/>
      <c r="T118" s="53">
        <f>+IFERROR(VLOOKUP(T117,'TARIFAS 2025'!$D$168:$G$178,1,1),0)</f>
        <v>0</v>
      </c>
      <c r="U118" s="128"/>
    </row>
    <row r="119" spans="5:21" x14ac:dyDescent="0.25">
      <c r="E119" s="127"/>
      <c r="F119" s="123" t="s">
        <v>296</v>
      </c>
      <c r="G119" s="53"/>
      <c r="H119" s="123"/>
      <c r="I119" s="53"/>
      <c r="J119" s="123"/>
      <c r="K119" s="53">
        <f>+K117-K118</f>
        <v>0</v>
      </c>
      <c r="L119" s="128"/>
      <c r="N119" s="127"/>
      <c r="O119" s="123" t="s">
        <v>296</v>
      </c>
      <c r="P119" s="53"/>
      <c r="Q119" s="123"/>
      <c r="R119" s="53"/>
      <c r="S119" s="123"/>
      <c r="T119" s="53">
        <f>+T117-T118</f>
        <v>0</v>
      </c>
      <c r="U119" s="128"/>
    </row>
    <row r="120" spans="5:21" s="133" customFormat="1" x14ac:dyDescent="0.25">
      <c r="E120" s="134"/>
      <c r="F120" s="135" t="s">
        <v>304</v>
      </c>
      <c r="G120" s="136"/>
      <c r="H120" s="135"/>
      <c r="I120" s="136"/>
      <c r="J120" s="135"/>
      <c r="K120" s="136">
        <f>+IFERROR(VLOOKUP(K117,'TARIFAS 2025'!$D$168:$G$178,4,1),0)</f>
        <v>0</v>
      </c>
      <c r="L120" s="137"/>
      <c r="N120" s="134"/>
      <c r="O120" s="135" t="s">
        <v>304</v>
      </c>
      <c r="P120" s="136"/>
      <c r="Q120" s="135"/>
      <c r="R120" s="136"/>
      <c r="S120" s="135"/>
      <c r="T120" s="136">
        <f>+IFERROR(VLOOKUP(T117,'TARIFAS 2025'!$D$168:$G$178,4,1),0)</f>
        <v>0</v>
      </c>
      <c r="U120" s="137"/>
    </row>
    <row r="121" spans="5:21" x14ac:dyDescent="0.25">
      <c r="E121" s="127"/>
      <c r="F121" s="123" t="s">
        <v>297</v>
      </c>
      <c r="G121" s="53"/>
      <c r="H121" s="123"/>
      <c r="I121" s="53"/>
      <c r="J121" s="123"/>
      <c r="K121" s="53">
        <f>+K119*K120</f>
        <v>0</v>
      </c>
      <c r="L121" s="128"/>
      <c r="N121" s="127"/>
      <c r="O121" s="123" t="s">
        <v>297</v>
      </c>
      <c r="P121" s="53"/>
      <c r="Q121" s="123"/>
      <c r="R121" s="53"/>
      <c r="S121" s="123"/>
      <c r="T121" s="53">
        <f>+T119*T120</f>
        <v>0</v>
      </c>
      <c r="U121" s="128"/>
    </row>
    <row r="122" spans="5:21" x14ac:dyDescent="0.25">
      <c r="E122" s="127"/>
      <c r="F122" s="123" t="s">
        <v>305</v>
      </c>
      <c r="G122" s="53"/>
      <c r="H122" s="123"/>
      <c r="I122" s="53"/>
      <c r="J122" s="123"/>
      <c r="K122" s="53">
        <f>+IFERROR(VLOOKUP(K117,'TARIFAS 2025'!D$168:$G$178,3,1),0)</f>
        <v>0</v>
      </c>
      <c r="L122" s="128"/>
      <c r="N122" s="127"/>
      <c r="O122" s="123" t="s">
        <v>305</v>
      </c>
      <c r="P122" s="53"/>
      <c r="Q122" s="123"/>
      <c r="R122" s="53"/>
      <c r="S122" s="123"/>
      <c r="T122" s="53">
        <f>+IFERROR(VLOOKUP(T117,'TARIFAS 2025'!D$168:$G$178,3,1),0)</f>
        <v>0</v>
      </c>
      <c r="U122" s="128"/>
    </row>
    <row r="123" spans="5:21" x14ac:dyDescent="0.25">
      <c r="E123" s="127"/>
      <c r="F123" s="123" t="s">
        <v>306</v>
      </c>
      <c r="G123" s="53">
        <f>+IF('Datos y Resumen '!E60=1,'DATOS PARA AJUSTE'!I23,'ISR '!Q24)</f>
        <v>0</v>
      </c>
      <c r="H123" s="123"/>
      <c r="I123" s="53">
        <f>+IF('Datos y Resumen '!E60=1,K123-G123,0)</f>
        <v>0</v>
      </c>
      <c r="J123" s="123"/>
      <c r="K123" s="53">
        <f>+K121+K122</f>
        <v>0</v>
      </c>
      <c r="L123" s="128"/>
      <c r="N123" s="127"/>
      <c r="O123" s="123" t="s">
        <v>306</v>
      </c>
      <c r="P123" s="53">
        <f>+IF('Datos y Resumen '!E60=1,'DATOS PARA AJUSTE'!I24,'ISR '!Q25)</f>
        <v>0</v>
      </c>
      <c r="Q123" s="123"/>
      <c r="R123" s="53">
        <f>+IF('Datos y Resumen '!E60=1,T123-P123,0)</f>
        <v>0</v>
      </c>
      <c r="S123" s="123"/>
      <c r="T123" s="53">
        <f>+T121+T122</f>
        <v>0</v>
      </c>
      <c r="U123" s="128"/>
    </row>
    <row r="124" spans="5:21" x14ac:dyDescent="0.25">
      <c r="E124" s="127"/>
      <c r="F124" s="123" t="s">
        <v>307</v>
      </c>
      <c r="G124" s="53">
        <f>+IF('Datos y Resumen '!E60=1,'DATOS PARA AJUSTE'!J23,'ISR '!R24)</f>
        <v>0</v>
      </c>
      <c r="H124" s="123"/>
      <c r="I124" s="53">
        <f>IF('Datos y Resumen '!E60=1,IF(K124&gt;=G124,K124-G124,0),0)</f>
        <v>0</v>
      </c>
      <c r="J124" s="123"/>
      <c r="K124" s="53">
        <f>+IFERROR(VLOOKUP(K117,'TARIFAS 2025'!$J$168:$L$178,3,1),0)</f>
        <v>0</v>
      </c>
      <c r="L124" s="128"/>
      <c r="N124" s="127"/>
      <c r="O124" s="123" t="s">
        <v>307</v>
      </c>
      <c r="P124" s="53">
        <f>+IF('Datos y Resumen '!E60=1,'DATOS PARA AJUSTE'!J24,'ISR '!R25)</f>
        <v>0</v>
      </c>
      <c r="Q124" s="123"/>
      <c r="R124" s="53">
        <f>IF('Datos y Resumen '!E60=1,IF(T124&gt;=P124,T124-P124,0),0)</f>
        <v>0</v>
      </c>
      <c r="S124" s="123"/>
      <c r="T124" s="53">
        <f>+IFERROR(VLOOKUP(T117,'TARIFAS 2025'!$J$168:$L$178,3,1),0)</f>
        <v>0</v>
      </c>
      <c r="U124" s="128"/>
    </row>
    <row r="125" spans="5:21" x14ac:dyDescent="0.25">
      <c r="E125" s="127"/>
      <c r="F125" s="123" t="s">
        <v>298</v>
      </c>
      <c r="G125" s="53">
        <f>+IF('Datos y Resumen '!E60=1,'DATOS PARA AJUSTE'!K23,'ISR '!S24)</f>
        <v>0</v>
      </c>
      <c r="H125" s="123"/>
      <c r="I125" s="53">
        <f>+IF(I123&gt;=I124,I123-I124,0)</f>
        <v>0</v>
      </c>
      <c r="J125" s="123"/>
      <c r="K125" s="53">
        <f>+IF(K123&gt;=K124,K123-K124,0)</f>
        <v>0</v>
      </c>
      <c r="L125" s="128"/>
      <c r="N125" s="127"/>
      <c r="O125" s="123" t="s">
        <v>298</v>
      </c>
      <c r="P125" s="53">
        <f>+IF('Datos y Resumen '!E60=1,'DATOS PARA AJUSTE'!K24,'ISR '!S25)</f>
        <v>0</v>
      </c>
      <c r="Q125" s="123"/>
      <c r="R125" s="53">
        <f>+IF(R123&gt;=R124,R123-R124,0)</f>
        <v>0</v>
      </c>
      <c r="S125" s="123"/>
      <c r="T125" s="53">
        <f>+IF(T123&gt;=T124,T123-T124,0)</f>
        <v>0</v>
      </c>
      <c r="U125" s="128"/>
    </row>
    <row r="126" spans="5:21" ht="16.5" thickBot="1" x14ac:dyDescent="0.3">
      <c r="E126" s="129"/>
      <c r="F126" s="130" t="s">
        <v>299</v>
      </c>
      <c r="G126" s="131">
        <f>+IF('Datos y Resumen '!E60=1,'DATOS PARA AJUSTE'!L23,'ISR '!T24)</f>
        <v>0</v>
      </c>
      <c r="H126" s="130"/>
      <c r="I126" s="131">
        <f>+IF(I124&gt;=I123,I124-I123,0)</f>
        <v>0</v>
      </c>
      <c r="J126" s="130"/>
      <c r="K126" s="131">
        <f>+IF(K124&gt;=K123,K124-K123,0)</f>
        <v>0</v>
      </c>
      <c r="L126" s="132"/>
      <c r="N126" s="129"/>
      <c r="O126" s="130" t="s">
        <v>299</v>
      </c>
      <c r="P126" s="131">
        <f>+IF('Datos y Resumen '!E60=1,'DATOS PARA AJUSTE'!L24,'ISR '!T25)</f>
        <v>0</v>
      </c>
      <c r="Q126" s="130"/>
      <c r="R126" s="131">
        <f>+IF(R124&gt;=R123,R124-R123,0)</f>
        <v>0</v>
      </c>
      <c r="S126" s="130"/>
      <c r="T126" s="131">
        <f>+IF(T124&gt;=T123,T124-T123,0)</f>
        <v>0</v>
      </c>
      <c r="U126" s="132"/>
    </row>
    <row r="127" spans="5:21" ht="16.5" thickBot="1" x14ac:dyDescent="0.3"/>
    <row r="128" spans="5:21" ht="23.25" x14ac:dyDescent="0.25">
      <c r="E128" s="380" t="s">
        <v>300</v>
      </c>
      <c r="F128" s="381"/>
      <c r="G128" s="381"/>
      <c r="H128" s="381"/>
      <c r="I128" s="381"/>
      <c r="J128" s="381"/>
      <c r="K128" s="381"/>
      <c r="L128" s="382"/>
      <c r="N128" s="380" t="s">
        <v>300</v>
      </c>
      <c r="O128" s="381"/>
      <c r="P128" s="381"/>
      <c r="Q128" s="381"/>
      <c r="R128" s="381"/>
      <c r="S128" s="381"/>
      <c r="T128" s="381"/>
      <c r="U128" s="382"/>
    </row>
    <row r="129" spans="5:21" ht="16.5" x14ac:dyDescent="0.25">
      <c r="E129" s="69"/>
      <c r="F129" s="68" t="str">
        <f>+'LISTA TRABAJADORES'!E25</f>
        <v>19</v>
      </c>
      <c r="G129" s="379">
        <f>+'LISTA TRABAJADORES'!G25</f>
        <v>0</v>
      </c>
      <c r="H129" s="379"/>
      <c r="I129" s="379"/>
      <c r="J129" s="379"/>
      <c r="K129" s="67"/>
      <c r="L129" s="70"/>
      <c r="N129" s="69"/>
      <c r="O129" s="68" t="str">
        <f>+'LISTA TRABAJADORES'!E26</f>
        <v>20</v>
      </c>
      <c r="P129" s="379">
        <f>+'LISTA TRABAJADORES'!G26</f>
        <v>0</v>
      </c>
      <c r="Q129" s="379"/>
      <c r="R129" s="379"/>
      <c r="S129" s="379"/>
      <c r="T129" s="67"/>
      <c r="U129" s="70"/>
    </row>
    <row r="130" spans="5:21" x14ac:dyDescent="0.25">
      <c r="E130" s="71"/>
      <c r="F130" s="104"/>
      <c r="G130" s="104" t="s">
        <v>301</v>
      </c>
      <c r="H130" s="104"/>
      <c r="I130" s="104" t="s">
        <v>302</v>
      </c>
      <c r="J130" s="104"/>
      <c r="K130" s="104" t="s">
        <v>294</v>
      </c>
      <c r="L130" s="72"/>
      <c r="N130" s="71"/>
      <c r="O130" s="104"/>
      <c r="P130" s="104" t="s">
        <v>301</v>
      </c>
      <c r="Q130" s="104"/>
      <c r="R130" s="104" t="s">
        <v>302</v>
      </c>
      <c r="S130" s="104"/>
      <c r="T130" s="104" t="s">
        <v>294</v>
      </c>
      <c r="U130" s="72"/>
    </row>
    <row r="131" spans="5:21" x14ac:dyDescent="0.25">
      <c r="E131" s="127"/>
      <c r="F131" s="123" t="s">
        <v>303</v>
      </c>
      <c r="G131" s="53">
        <f>+IF('Datos y Resumen '!E60=1,'DATOS PARA AJUSTE'!H25,'ISR '!K26)</f>
        <v>0</v>
      </c>
      <c r="H131" s="123"/>
      <c r="I131" s="53">
        <f>+IF('Datos y Resumen '!E60=1,'ISR '!K26,0)</f>
        <v>0</v>
      </c>
      <c r="J131" s="123"/>
      <c r="K131" s="53">
        <f>+G131+I131</f>
        <v>0</v>
      </c>
      <c r="L131" s="128"/>
      <c r="N131" s="127"/>
      <c r="O131" s="123" t="s">
        <v>303</v>
      </c>
      <c r="P131" s="53">
        <f>+IF('Datos y Resumen '!E60=1,'DATOS PARA AJUSTE'!H26,'ISR '!K27)</f>
        <v>0</v>
      </c>
      <c r="Q131" s="123"/>
      <c r="R131" s="53">
        <f>+IF('Datos y Resumen '!E60=1,'ISR '!K27,0)</f>
        <v>0</v>
      </c>
      <c r="S131" s="123"/>
      <c r="T131" s="53">
        <f>+P131+R131</f>
        <v>0</v>
      </c>
      <c r="U131" s="128"/>
    </row>
    <row r="132" spans="5:21" x14ac:dyDescent="0.25">
      <c r="E132" s="127"/>
      <c r="F132" s="123" t="s">
        <v>295</v>
      </c>
      <c r="G132" s="53"/>
      <c r="H132" s="123"/>
      <c r="I132" s="53"/>
      <c r="J132" s="123"/>
      <c r="K132" s="53">
        <f>+IFERROR(VLOOKUP(K131,'TARIFAS 2025'!$D$168:$G$178,1,1),0)</f>
        <v>0</v>
      </c>
      <c r="L132" s="128"/>
      <c r="N132" s="127"/>
      <c r="O132" s="123" t="s">
        <v>295</v>
      </c>
      <c r="P132" s="53"/>
      <c r="Q132" s="123"/>
      <c r="R132" s="53"/>
      <c r="S132" s="123"/>
      <c r="T132" s="53">
        <f>+IFERROR(VLOOKUP(T131,'TARIFAS 2025'!$D$168:$G$178,1,1),0)</f>
        <v>0</v>
      </c>
      <c r="U132" s="128"/>
    </row>
    <row r="133" spans="5:21" x14ac:dyDescent="0.25">
      <c r="E133" s="127"/>
      <c r="F133" s="123" t="s">
        <v>296</v>
      </c>
      <c r="G133" s="53"/>
      <c r="H133" s="123"/>
      <c r="I133" s="53"/>
      <c r="J133" s="123"/>
      <c r="K133" s="53">
        <f>+K131-K132</f>
        <v>0</v>
      </c>
      <c r="L133" s="128"/>
      <c r="N133" s="127"/>
      <c r="O133" s="123" t="s">
        <v>296</v>
      </c>
      <c r="P133" s="53"/>
      <c r="Q133" s="123"/>
      <c r="R133" s="53"/>
      <c r="S133" s="123"/>
      <c r="T133" s="53">
        <f>+T131-T132</f>
        <v>0</v>
      </c>
      <c r="U133" s="128"/>
    </row>
    <row r="134" spans="5:21" s="133" customFormat="1" x14ac:dyDescent="0.25">
      <c r="E134" s="134"/>
      <c r="F134" s="135" t="s">
        <v>304</v>
      </c>
      <c r="G134" s="136"/>
      <c r="H134" s="135"/>
      <c r="I134" s="136"/>
      <c r="J134" s="135"/>
      <c r="K134" s="136">
        <f>+IFERROR(VLOOKUP(K131,'TARIFAS 2025'!$D$168:$G$178,4,1),0)</f>
        <v>0</v>
      </c>
      <c r="L134" s="137"/>
      <c r="N134" s="134"/>
      <c r="O134" s="135" t="s">
        <v>304</v>
      </c>
      <c r="P134" s="136"/>
      <c r="Q134" s="135"/>
      <c r="R134" s="136"/>
      <c r="S134" s="135"/>
      <c r="T134" s="136">
        <f>+IFERROR(VLOOKUP(T131,'TARIFAS 2025'!$D$168:$G$178,4,1),0)</f>
        <v>0</v>
      </c>
      <c r="U134" s="137"/>
    </row>
    <row r="135" spans="5:21" x14ac:dyDescent="0.25">
      <c r="E135" s="127"/>
      <c r="F135" s="123" t="s">
        <v>297</v>
      </c>
      <c r="G135" s="53"/>
      <c r="H135" s="123"/>
      <c r="I135" s="53"/>
      <c r="J135" s="123"/>
      <c r="K135" s="53">
        <f>+K133*K134</f>
        <v>0</v>
      </c>
      <c r="L135" s="128"/>
      <c r="N135" s="127"/>
      <c r="O135" s="123" t="s">
        <v>297</v>
      </c>
      <c r="P135" s="53"/>
      <c r="Q135" s="123"/>
      <c r="R135" s="53"/>
      <c r="S135" s="123"/>
      <c r="T135" s="53">
        <f>+T133*T134</f>
        <v>0</v>
      </c>
      <c r="U135" s="128"/>
    </row>
    <row r="136" spans="5:21" x14ac:dyDescent="0.25">
      <c r="E136" s="127"/>
      <c r="F136" s="123" t="s">
        <v>305</v>
      </c>
      <c r="G136" s="53"/>
      <c r="H136" s="123"/>
      <c r="I136" s="53"/>
      <c r="J136" s="123"/>
      <c r="K136" s="53">
        <f>+IFERROR(VLOOKUP(K131,'TARIFAS 2025'!D$168:$G$178,3,1),0)</f>
        <v>0</v>
      </c>
      <c r="L136" s="128"/>
      <c r="N136" s="127"/>
      <c r="O136" s="123" t="s">
        <v>305</v>
      </c>
      <c r="P136" s="53"/>
      <c r="Q136" s="123"/>
      <c r="R136" s="53"/>
      <c r="S136" s="123"/>
      <c r="T136" s="53">
        <f>+IFERROR(VLOOKUP(T131,'TARIFAS 2025'!D$168:$G$178,3,1),0)</f>
        <v>0</v>
      </c>
      <c r="U136" s="128"/>
    </row>
    <row r="137" spans="5:21" x14ac:dyDescent="0.25">
      <c r="E137" s="127"/>
      <c r="F137" s="123" t="s">
        <v>306</v>
      </c>
      <c r="G137" s="53">
        <f>+IF('Datos y Resumen '!E60=1,'DATOS PARA AJUSTE'!I25,'ISR '!Q26)</f>
        <v>0</v>
      </c>
      <c r="H137" s="123"/>
      <c r="I137" s="53">
        <f>+IF('Datos y Resumen '!E60=1,K137-G137,0)</f>
        <v>0</v>
      </c>
      <c r="J137" s="123"/>
      <c r="K137" s="53">
        <f>+K135+K136</f>
        <v>0</v>
      </c>
      <c r="L137" s="128"/>
      <c r="N137" s="127"/>
      <c r="O137" s="123" t="s">
        <v>306</v>
      </c>
      <c r="P137" s="53">
        <f>+IF('Datos y Resumen '!E60=1,'DATOS PARA AJUSTE'!I26,'ISR '!Q27)</f>
        <v>0</v>
      </c>
      <c r="Q137" s="123"/>
      <c r="R137" s="53">
        <f>+IF('Datos y Resumen '!E60=1,T137-P137,0)</f>
        <v>0</v>
      </c>
      <c r="S137" s="123"/>
      <c r="T137" s="53">
        <f>+T135+T136</f>
        <v>0</v>
      </c>
      <c r="U137" s="128"/>
    </row>
    <row r="138" spans="5:21" x14ac:dyDescent="0.25">
      <c r="E138" s="127"/>
      <c r="F138" s="123" t="s">
        <v>307</v>
      </c>
      <c r="G138" s="53">
        <f>+IF('Datos y Resumen '!E60=1,'DATOS PARA AJUSTE'!J25,'ISR '!R26)</f>
        <v>0</v>
      </c>
      <c r="H138" s="123"/>
      <c r="I138" s="53">
        <f>IF('Datos y Resumen '!E60=1,IF(K138&gt;=G138,K138-G138,0),0)</f>
        <v>0</v>
      </c>
      <c r="J138" s="123"/>
      <c r="K138" s="53">
        <f>+IFERROR(VLOOKUP(K131,'TARIFAS 2025'!$J$168:$L$178,3,1),0)</f>
        <v>0</v>
      </c>
      <c r="L138" s="128"/>
      <c r="N138" s="127"/>
      <c r="O138" s="123" t="s">
        <v>307</v>
      </c>
      <c r="P138" s="53">
        <f>+IF('Datos y Resumen '!E60=1,'DATOS PARA AJUSTE'!J26,'ISR '!R27)</f>
        <v>0</v>
      </c>
      <c r="Q138" s="123"/>
      <c r="R138" s="53">
        <f>IF('Datos y Resumen '!E60=1,IF(T138&gt;=P138,T138-P138,0),0)</f>
        <v>0</v>
      </c>
      <c r="S138" s="123"/>
      <c r="T138" s="53">
        <f>+IFERROR(VLOOKUP(T131,'TARIFAS 2025'!$J$168:$L$178,3,1),0)</f>
        <v>0</v>
      </c>
      <c r="U138" s="128"/>
    </row>
    <row r="139" spans="5:21" x14ac:dyDescent="0.25">
      <c r="E139" s="127"/>
      <c r="F139" s="123" t="s">
        <v>298</v>
      </c>
      <c r="G139" s="53">
        <f>+IF('Datos y Resumen '!E60=1,'DATOS PARA AJUSTE'!K25,'ISR '!S26)</f>
        <v>0</v>
      </c>
      <c r="H139" s="123"/>
      <c r="I139" s="53">
        <f>+IF(I137&gt;=I138,I137-I138,0)</f>
        <v>0</v>
      </c>
      <c r="J139" s="123"/>
      <c r="K139" s="53">
        <f>+IF(K137&gt;=K138,K137-K138,0)</f>
        <v>0</v>
      </c>
      <c r="L139" s="128"/>
      <c r="N139" s="127"/>
      <c r="O139" s="123" t="s">
        <v>298</v>
      </c>
      <c r="P139" s="53">
        <f>+IF('Datos y Resumen '!E60=1,'DATOS PARA AJUSTE'!K26,'ISR '!S27)</f>
        <v>0</v>
      </c>
      <c r="Q139" s="123"/>
      <c r="R139" s="53">
        <f>+IF(R137&gt;=R138,R137-R138,0)</f>
        <v>0</v>
      </c>
      <c r="S139" s="123"/>
      <c r="T139" s="53">
        <f>+IF(T137&gt;=T138,T137-T138,0)</f>
        <v>0</v>
      </c>
      <c r="U139" s="128"/>
    </row>
    <row r="140" spans="5:21" ht="16.5" thickBot="1" x14ac:dyDescent="0.3">
      <c r="E140" s="129"/>
      <c r="F140" s="130" t="s">
        <v>299</v>
      </c>
      <c r="G140" s="131">
        <f>+IF('Datos y Resumen '!E60=1,'DATOS PARA AJUSTE'!L25,'ISR '!T26)</f>
        <v>0</v>
      </c>
      <c r="H140" s="130"/>
      <c r="I140" s="131">
        <f>+IF(I138&gt;=I137,I138-I137,0)</f>
        <v>0</v>
      </c>
      <c r="J140" s="130"/>
      <c r="K140" s="131">
        <f>+IF(K138&gt;=K137,K138-K137,0)</f>
        <v>0</v>
      </c>
      <c r="L140" s="132"/>
      <c r="N140" s="129"/>
      <c r="O140" s="130" t="s">
        <v>299</v>
      </c>
      <c r="P140" s="131">
        <f>+IF('Datos y Resumen '!E60=1,'DATOS PARA AJUSTE'!L26,'ISR '!T27)</f>
        <v>0</v>
      </c>
      <c r="Q140" s="130"/>
      <c r="R140" s="131">
        <f>+IF(R138&gt;=R137,R138-R137,0)</f>
        <v>0</v>
      </c>
      <c r="S140" s="130"/>
      <c r="T140" s="131">
        <f>+IF(T138&gt;=T137,T138-T137,0)</f>
        <v>0</v>
      </c>
      <c r="U140" s="132"/>
    </row>
    <row r="141" spans="5:21" ht="16.5" thickBot="1" x14ac:dyDescent="0.3"/>
    <row r="142" spans="5:21" ht="23.25" x14ac:dyDescent="0.25">
      <c r="E142" s="380" t="s">
        <v>300</v>
      </c>
      <c r="F142" s="381"/>
      <c r="G142" s="381"/>
      <c r="H142" s="381"/>
      <c r="I142" s="381"/>
      <c r="J142" s="381"/>
      <c r="K142" s="381"/>
      <c r="L142" s="382"/>
      <c r="N142" s="380" t="s">
        <v>300</v>
      </c>
      <c r="O142" s="381"/>
      <c r="P142" s="381"/>
      <c r="Q142" s="381"/>
      <c r="R142" s="381"/>
      <c r="S142" s="381"/>
      <c r="T142" s="381"/>
      <c r="U142" s="382"/>
    </row>
    <row r="143" spans="5:21" ht="16.5" x14ac:dyDescent="0.25">
      <c r="E143" s="69"/>
      <c r="F143" s="68" t="str">
        <f>+'LISTA TRABAJADORES'!E27</f>
        <v>21</v>
      </c>
      <c r="G143" s="379">
        <f>+'LISTA TRABAJADORES'!G27</f>
        <v>0</v>
      </c>
      <c r="H143" s="379"/>
      <c r="I143" s="379"/>
      <c r="J143" s="379"/>
      <c r="K143" s="67"/>
      <c r="L143" s="70"/>
      <c r="N143" s="69"/>
      <c r="O143" s="68" t="str">
        <f>+'LISTA TRABAJADORES'!E28</f>
        <v>22</v>
      </c>
      <c r="P143" s="379">
        <f>+'LISTA TRABAJADORES'!G28</f>
        <v>0</v>
      </c>
      <c r="Q143" s="379"/>
      <c r="R143" s="379"/>
      <c r="S143" s="379"/>
      <c r="T143" s="67"/>
      <c r="U143" s="70"/>
    </row>
    <row r="144" spans="5:21" x14ac:dyDescent="0.25">
      <c r="E144" s="71"/>
      <c r="F144" s="104"/>
      <c r="G144" s="104" t="s">
        <v>301</v>
      </c>
      <c r="H144" s="104"/>
      <c r="I144" s="104" t="s">
        <v>302</v>
      </c>
      <c r="J144" s="104"/>
      <c r="K144" s="104" t="s">
        <v>294</v>
      </c>
      <c r="L144" s="72"/>
      <c r="N144" s="71"/>
      <c r="O144" s="104"/>
      <c r="P144" s="104" t="s">
        <v>301</v>
      </c>
      <c r="Q144" s="104"/>
      <c r="R144" s="104" t="s">
        <v>302</v>
      </c>
      <c r="S144" s="104"/>
      <c r="T144" s="104" t="s">
        <v>294</v>
      </c>
      <c r="U144" s="72"/>
    </row>
    <row r="145" spans="5:21" x14ac:dyDescent="0.25">
      <c r="E145" s="127"/>
      <c r="F145" s="123" t="s">
        <v>303</v>
      </c>
      <c r="G145" s="53">
        <f>+IF('Datos y Resumen '!E60=1,'DATOS PARA AJUSTE'!H27,'ISR '!K28)</f>
        <v>0</v>
      </c>
      <c r="H145" s="123"/>
      <c r="I145" s="53">
        <f>+IF('Datos y Resumen '!E60=1,'ISR '!K28,0)</f>
        <v>0</v>
      </c>
      <c r="J145" s="123"/>
      <c r="K145" s="53">
        <f>+G145+I145</f>
        <v>0</v>
      </c>
      <c r="L145" s="128"/>
      <c r="N145" s="127"/>
      <c r="O145" s="123" t="s">
        <v>303</v>
      </c>
      <c r="P145" s="53">
        <f>+IF('Datos y Resumen '!E60=1,'DATOS PARA AJUSTE'!H28,'ISR '!K29)</f>
        <v>0</v>
      </c>
      <c r="Q145" s="123"/>
      <c r="R145" s="53">
        <f>+IF('Datos y Resumen '!E60=1,'ISR '!K29,0)</f>
        <v>0</v>
      </c>
      <c r="S145" s="123"/>
      <c r="T145" s="53">
        <f>+P145+R145</f>
        <v>0</v>
      </c>
      <c r="U145" s="128"/>
    </row>
    <row r="146" spans="5:21" x14ac:dyDescent="0.25">
      <c r="E146" s="127"/>
      <c r="F146" s="123" t="s">
        <v>295</v>
      </c>
      <c r="G146" s="53"/>
      <c r="H146" s="123"/>
      <c r="I146" s="53"/>
      <c r="J146" s="123"/>
      <c r="K146" s="53">
        <f>+IFERROR(VLOOKUP(K145,'TARIFAS 2025'!$D$168:$G$178,1,1),0)</f>
        <v>0</v>
      </c>
      <c r="L146" s="128"/>
      <c r="N146" s="127"/>
      <c r="O146" s="123" t="s">
        <v>295</v>
      </c>
      <c r="P146" s="53"/>
      <c r="Q146" s="123"/>
      <c r="R146" s="53"/>
      <c r="S146" s="123"/>
      <c r="T146" s="53">
        <f>+IFERROR(VLOOKUP(T145,'TARIFAS 2025'!$D$168:$G$178,1,1),0)</f>
        <v>0</v>
      </c>
      <c r="U146" s="128"/>
    </row>
    <row r="147" spans="5:21" x14ac:dyDescent="0.25">
      <c r="E147" s="127"/>
      <c r="F147" s="123" t="s">
        <v>296</v>
      </c>
      <c r="G147" s="53"/>
      <c r="H147" s="123"/>
      <c r="I147" s="53"/>
      <c r="J147" s="123"/>
      <c r="K147" s="53">
        <f>+K145-K146</f>
        <v>0</v>
      </c>
      <c r="L147" s="128"/>
      <c r="N147" s="127"/>
      <c r="O147" s="123" t="s">
        <v>296</v>
      </c>
      <c r="P147" s="53"/>
      <c r="Q147" s="123"/>
      <c r="R147" s="53"/>
      <c r="S147" s="123"/>
      <c r="T147" s="53">
        <f>+T145-T146</f>
        <v>0</v>
      </c>
      <c r="U147" s="128"/>
    </row>
    <row r="148" spans="5:21" s="133" customFormat="1" x14ac:dyDescent="0.25">
      <c r="E148" s="134"/>
      <c r="F148" s="135" t="s">
        <v>304</v>
      </c>
      <c r="G148" s="136"/>
      <c r="H148" s="135"/>
      <c r="I148" s="136"/>
      <c r="J148" s="135"/>
      <c r="K148" s="136">
        <f>+IFERROR(VLOOKUP(K145,'TARIFAS 2025'!$D$168:$G$178,4,1),0)</f>
        <v>0</v>
      </c>
      <c r="L148" s="137"/>
      <c r="N148" s="134"/>
      <c r="O148" s="135" t="s">
        <v>304</v>
      </c>
      <c r="P148" s="136"/>
      <c r="Q148" s="135"/>
      <c r="R148" s="136"/>
      <c r="S148" s="135"/>
      <c r="T148" s="136">
        <f>+IFERROR(VLOOKUP(T145,'TARIFAS 2025'!$D$168:$G$178,4,1),0)</f>
        <v>0</v>
      </c>
      <c r="U148" s="137"/>
    </row>
    <row r="149" spans="5:21" x14ac:dyDescent="0.25">
      <c r="E149" s="127"/>
      <c r="F149" s="123" t="s">
        <v>297</v>
      </c>
      <c r="G149" s="53"/>
      <c r="H149" s="123"/>
      <c r="I149" s="53"/>
      <c r="J149" s="123"/>
      <c r="K149" s="53">
        <f>+K147*K148</f>
        <v>0</v>
      </c>
      <c r="L149" s="128"/>
      <c r="N149" s="127"/>
      <c r="O149" s="123" t="s">
        <v>297</v>
      </c>
      <c r="P149" s="53"/>
      <c r="Q149" s="123"/>
      <c r="R149" s="53"/>
      <c r="S149" s="123"/>
      <c r="T149" s="53">
        <f>+T147*T148</f>
        <v>0</v>
      </c>
      <c r="U149" s="128"/>
    </row>
    <row r="150" spans="5:21" x14ac:dyDescent="0.25">
      <c r="E150" s="127"/>
      <c r="F150" s="123" t="s">
        <v>305</v>
      </c>
      <c r="G150" s="53"/>
      <c r="H150" s="123"/>
      <c r="I150" s="53"/>
      <c r="J150" s="123"/>
      <c r="K150" s="53">
        <f>+IFERROR(VLOOKUP(K145,'TARIFAS 2025'!D$168:$G$178,3,1),0)</f>
        <v>0</v>
      </c>
      <c r="L150" s="128"/>
      <c r="N150" s="127"/>
      <c r="O150" s="123" t="s">
        <v>305</v>
      </c>
      <c r="P150" s="53"/>
      <c r="Q150" s="123"/>
      <c r="R150" s="53"/>
      <c r="S150" s="123"/>
      <c r="T150" s="53">
        <f>+IFERROR(VLOOKUP(T145,'TARIFAS 2025'!D$168:$G$178,3,1),0)</f>
        <v>0</v>
      </c>
      <c r="U150" s="128"/>
    </row>
    <row r="151" spans="5:21" x14ac:dyDescent="0.25">
      <c r="E151" s="127"/>
      <c r="F151" s="123" t="s">
        <v>306</v>
      </c>
      <c r="G151" s="53">
        <f>+IF('Datos y Resumen '!E60=1,'DATOS PARA AJUSTE'!I27,'ISR '!Q28)</f>
        <v>0</v>
      </c>
      <c r="H151" s="123"/>
      <c r="I151" s="53">
        <f>+IF('Datos y Resumen '!E60=1,K151-G151,0)</f>
        <v>0</v>
      </c>
      <c r="J151" s="123"/>
      <c r="K151" s="53">
        <f>+K149+K150</f>
        <v>0</v>
      </c>
      <c r="L151" s="128"/>
      <c r="N151" s="127"/>
      <c r="O151" s="123" t="s">
        <v>306</v>
      </c>
      <c r="P151" s="53">
        <f>+IF('Datos y Resumen '!E60=1,'DATOS PARA AJUSTE'!I28,'ISR '!Q29)</f>
        <v>0</v>
      </c>
      <c r="Q151" s="123"/>
      <c r="R151" s="53">
        <f>+IF('Datos y Resumen '!E60=1,T151-P151,0)</f>
        <v>0</v>
      </c>
      <c r="S151" s="123"/>
      <c r="T151" s="53">
        <f>+T149+T150</f>
        <v>0</v>
      </c>
      <c r="U151" s="128"/>
    </row>
    <row r="152" spans="5:21" x14ac:dyDescent="0.25">
      <c r="E152" s="127"/>
      <c r="F152" s="123" t="s">
        <v>307</v>
      </c>
      <c r="G152" s="53">
        <f>+IF('Datos y Resumen '!E60=1,'DATOS PARA AJUSTE'!J27,'ISR '!R28)</f>
        <v>0</v>
      </c>
      <c r="H152" s="123"/>
      <c r="I152" s="53">
        <f>IF('Datos y Resumen '!E60=1,IF(K152&gt;=G152,K152-G152,0),0)</f>
        <v>0</v>
      </c>
      <c r="J152" s="123"/>
      <c r="K152" s="53">
        <f>+IFERROR(VLOOKUP(K145,'TARIFAS 2025'!$J$168:$L$178,3,1),0)</f>
        <v>0</v>
      </c>
      <c r="L152" s="128"/>
      <c r="N152" s="127"/>
      <c r="O152" s="123" t="s">
        <v>307</v>
      </c>
      <c r="P152" s="53">
        <f>+IF('Datos y Resumen '!E60=1,'DATOS PARA AJUSTE'!J28,'ISR '!R29)</f>
        <v>0</v>
      </c>
      <c r="Q152" s="123"/>
      <c r="R152" s="53">
        <f>IF('Datos y Resumen '!E60=1,IF(T152&gt;=P152,T152-P152,0),0)</f>
        <v>0</v>
      </c>
      <c r="S152" s="123"/>
      <c r="T152" s="53">
        <f>+IFERROR(VLOOKUP(T145,'TARIFAS 2025'!$J$168:$L$178,3,1),0)</f>
        <v>0</v>
      </c>
      <c r="U152" s="128"/>
    </row>
    <row r="153" spans="5:21" x14ac:dyDescent="0.25">
      <c r="E153" s="127"/>
      <c r="F153" s="123" t="s">
        <v>298</v>
      </c>
      <c r="G153" s="53">
        <f>+IF('Datos y Resumen '!E60=1,'DATOS PARA AJUSTE'!K27,'ISR '!S28)</f>
        <v>0</v>
      </c>
      <c r="H153" s="123"/>
      <c r="I153" s="53">
        <f>+IF(I151&gt;=I152,I151-I152,0)</f>
        <v>0</v>
      </c>
      <c r="J153" s="123"/>
      <c r="K153" s="53">
        <f>+IF(K151&gt;=K152,K151-K152,0)</f>
        <v>0</v>
      </c>
      <c r="L153" s="128"/>
      <c r="N153" s="127"/>
      <c r="O153" s="123" t="s">
        <v>298</v>
      </c>
      <c r="P153" s="53">
        <f>+IF('Datos y Resumen '!E60=1,'DATOS PARA AJUSTE'!K28,'ISR '!S29)</f>
        <v>0</v>
      </c>
      <c r="Q153" s="123"/>
      <c r="R153" s="53">
        <f>+IF(R151&gt;=R152,R151-R152,0)</f>
        <v>0</v>
      </c>
      <c r="S153" s="123"/>
      <c r="T153" s="53">
        <f>+IF(T151&gt;=T152,T151-T152,0)</f>
        <v>0</v>
      </c>
      <c r="U153" s="128"/>
    </row>
    <row r="154" spans="5:21" ht="16.5" thickBot="1" x14ac:dyDescent="0.3">
      <c r="E154" s="129"/>
      <c r="F154" s="130" t="s">
        <v>299</v>
      </c>
      <c r="G154" s="131">
        <f>+IF('Datos y Resumen '!E60=1,'DATOS PARA AJUSTE'!L27,'ISR '!T28)</f>
        <v>0</v>
      </c>
      <c r="H154" s="130"/>
      <c r="I154" s="131">
        <f>+IF(I152&gt;=I151,I152-I151,0)</f>
        <v>0</v>
      </c>
      <c r="J154" s="130"/>
      <c r="K154" s="131">
        <f>+IF(K152&gt;=K151,K152-K151,0)</f>
        <v>0</v>
      </c>
      <c r="L154" s="132"/>
      <c r="N154" s="129"/>
      <c r="O154" s="130" t="s">
        <v>299</v>
      </c>
      <c r="P154" s="131">
        <f>+IF('Datos y Resumen '!E60=1,'DATOS PARA AJUSTE'!L28,'ISR '!T29)</f>
        <v>0</v>
      </c>
      <c r="Q154" s="130"/>
      <c r="R154" s="131">
        <f>+IF(R152&gt;=R151,R152-R151,0)</f>
        <v>0</v>
      </c>
      <c r="S154" s="130"/>
      <c r="T154" s="131">
        <f>+IF(T152&gt;=T151,T152-T151,0)</f>
        <v>0</v>
      </c>
      <c r="U154" s="132"/>
    </row>
    <row r="155" spans="5:21" ht="16.5" thickBot="1" x14ac:dyDescent="0.3"/>
    <row r="156" spans="5:21" ht="23.25" x14ac:dyDescent="0.25">
      <c r="E156" s="380" t="s">
        <v>300</v>
      </c>
      <c r="F156" s="381"/>
      <c r="G156" s="381"/>
      <c r="H156" s="381"/>
      <c r="I156" s="381"/>
      <c r="J156" s="381"/>
      <c r="K156" s="381"/>
      <c r="L156" s="382"/>
      <c r="N156" s="380" t="s">
        <v>300</v>
      </c>
      <c r="O156" s="381"/>
      <c r="P156" s="381"/>
      <c r="Q156" s="381"/>
      <c r="R156" s="381"/>
      <c r="S156" s="381"/>
      <c r="T156" s="381"/>
      <c r="U156" s="382"/>
    </row>
    <row r="157" spans="5:21" ht="16.5" x14ac:dyDescent="0.25">
      <c r="E157" s="69"/>
      <c r="F157" s="68" t="str">
        <f>+'LISTA TRABAJADORES'!E29</f>
        <v>23</v>
      </c>
      <c r="G157" s="379">
        <f>+'LISTA TRABAJADORES'!G29</f>
        <v>0</v>
      </c>
      <c r="H157" s="379"/>
      <c r="I157" s="379"/>
      <c r="J157" s="379"/>
      <c r="K157" s="67"/>
      <c r="L157" s="70"/>
      <c r="N157" s="69"/>
      <c r="O157" s="68" t="str">
        <f>+'LISTA TRABAJADORES'!E30</f>
        <v>24</v>
      </c>
      <c r="P157" s="379">
        <f>+'LISTA TRABAJADORES'!G30</f>
        <v>0</v>
      </c>
      <c r="Q157" s="379"/>
      <c r="R157" s="379"/>
      <c r="S157" s="379"/>
      <c r="T157" s="67"/>
      <c r="U157" s="70"/>
    </row>
    <row r="158" spans="5:21" x14ac:dyDescent="0.25">
      <c r="E158" s="71"/>
      <c r="F158" s="104"/>
      <c r="G158" s="104" t="s">
        <v>301</v>
      </c>
      <c r="H158" s="104"/>
      <c r="I158" s="104" t="s">
        <v>302</v>
      </c>
      <c r="J158" s="104"/>
      <c r="K158" s="104" t="s">
        <v>294</v>
      </c>
      <c r="L158" s="72"/>
      <c r="N158" s="71"/>
      <c r="O158" s="104"/>
      <c r="P158" s="104" t="s">
        <v>301</v>
      </c>
      <c r="Q158" s="104"/>
      <c r="R158" s="104" t="s">
        <v>302</v>
      </c>
      <c r="S158" s="104"/>
      <c r="T158" s="104" t="s">
        <v>294</v>
      </c>
      <c r="U158" s="72"/>
    </row>
    <row r="159" spans="5:21" x14ac:dyDescent="0.25">
      <c r="E159" s="127"/>
      <c r="F159" s="123" t="s">
        <v>303</v>
      </c>
      <c r="G159" s="53">
        <f>+IF('Datos y Resumen '!E60=1,'DATOS PARA AJUSTE'!H29,'ISR '!K30)</f>
        <v>0</v>
      </c>
      <c r="H159" s="123"/>
      <c r="I159" s="53">
        <f>+IF('Datos y Resumen '!E60=1,'ISR '!K30,0)</f>
        <v>0</v>
      </c>
      <c r="J159" s="123"/>
      <c r="K159" s="53">
        <f>+G159+I159</f>
        <v>0</v>
      </c>
      <c r="L159" s="128"/>
      <c r="N159" s="127"/>
      <c r="O159" s="123" t="s">
        <v>303</v>
      </c>
      <c r="P159" s="53">
        <f>+IF('Datos y Resumen '!E60=1,'DATOS PARA AJUSTE'!H30,'ISR '!K31)</f>
        <v>0</v>
      </c>
      <c r="Q159" s="123"/>
      <c r="R159" s="53">
        <f>+IF('Datos y Resumen '!E60=1,'ISR '!K31,0)</f>
        <v>0</v>
      </c>
      <c r="S159" s="123"/>
      <c r="T159" s="53">
        <f>+P159+R159</f>
        <v>0</v>
      </c>
      <c r="U159" s="128"/>
    </row>
    <row r="160" spans="5:21" x14ac:dyDescent="0.25">
      <c r="E160" s="127"/>
      <c r="F160" s="123" t="s">
        <v>295</v>
      </c>
      <c r="G160" s="53"/>
      <c r="H160" s="123"/>
      <c r="I160" s="53"/>
      <c r="J160" s="123"/>
      <c r="K160" s="53">
        <f>+IFERROR(VLOOKUP(K159,'TARIFAS 2025'!$D$168:$G$178,1,1),0)</f>
        <v>0</v>
      </c>
      <c r="L160" s="128"/>
      <c r="N160" s="127"/>
      <c r="O160" s="123" t="s">
        <v>295</v>
      </c>
      <c r="P160" s="53"/>
      <c r="Q160" s="123"/>
      <c r="R160" s="53"/>
      <c r="S160" s="123"/>
      <c r="T160" s="53">
        <f>+IFERROR(VLOOKUP(T159,'TARIFAS 2025'!$D$168:$G$178,1,1),0)</f>
        <v>0</v>
      </c>
      <c r="U160" s="128"/>
    </row>
    <row r="161" spans="5:21" x14ac:dyDescent="0.25">
      <c r="E161" s="127"/>
      <c r="F161" s="123" t="s">
        <v>296</v>
      </c>
      <c r="G161" s="53"/>
      <c r="H161" s="123"/>
      <c r="I161" s="53"/>
      <c r="J161" s="123"/>
      <c r="K161" s="53">
        <f>+K159-K160</f>
        <v>0</v>
      </c>
      <c r="L161" s="128"/>
      <c r="N161" s="127"/>
      <c r="O161" s="123" t="s">
        <v>296</v>
      </c>
      <c r="P161" s="53"/>
      <c r="Q161" s="123"/>
      <c r="R161" s="53"/>
      <c r="S161" s="123"/>
      <c r="T161" s="53">
        <f>+T159-T160</f>
        <v>0</v>
      </c>
      <c r="U161" s="128"/>
    </row>
    <row r="162" spans="5:21" s="133" customFormat="1" x14ac:dyDescent="0.25">
      <c r="E162" s="134"/>
      <c r="F162" s="135" t="s">
        <v>304</v>
      </c>
      <c r="G162" s="136"/>
      <c r="H162" s="135"/>
      <c r="I162" s="136"/>
      <c r="J162" s="135"/>
      <c r="K162" s="136">
        <f>+IFERROR(VLOOKUP(K159,'TARIFAS 2025'!$D$168:$G$178,4,1),0)</f>
        <v>0</v>
      </c>
      <c r="L162" s="137"/>
      <c r="N162" s="134"/>
      <c r="O162" s="135" t="s">
        <v>304</v>
      </c>
      <c r="P162" s="136"/>
      <c r="Q162" s="135"/>
      <c r="R162" s="136"/>
      <c r="S162" s="135"/>
      <c r="T162" s="136">
        <f>+IFERROR(VLOOKUP(T159,'TARIFAS 2025'!$D$168:$G$178,4,1),0)</f>
        <v>0</v>
      </c>
      <c r="U162" s="137"/>
    </row>
    <row r="163" spans="5:21" x14ac:dyDescent="0.25">
      <c r="E163" s="127"/>
      <c r="F163" s="123" t="s">
        <v>297</v>
      </c>
      <c r="G163" s="53"/>
      <c r="H163" s="123"/>
      <c r="I163" s="53"/>
      <c r="J163" s="123"/>
      <c r="K163" s="53">
        <f>+K161*K162</f>
        <v>0</v>
      </c>
      <c r="L163" s="128"/>
      <c r="N163" s="127"/>
      <c r="O163" s="123" t="s">
        <v>297</v>
      </c>
      <c r="P163" s="53"/>
      <c r="Q163" s="123"/>
      <c r="R163" s="53"/>
      <c r="S163" s="123"/>
      <c r="T163" s="53">
        <f>+T161*T162</f>
        <v>0</v>
      </c>
      <c r="U163" s="128"/>
    </row>
    <row r="164" spans="5:21" x14ac:dyDescent="0.25">
      <c r="E164" s="127"/>
      <c r="F164" s="123" t="s">
        <v>305</v>
      </c>
      <c r="G164" s="53"/>
      <c r="H164" s="123"/>
      <c r="I164" s="53"/>
      <c r="J164" s="123"/>
      <c r="K164" s="53">
        <f>+IFERROR(VLOOKUP(K159,'TARIFAS 2025'!D$168:$G$178,3,1),0)</f>
        <v>0</v>
      </c>
      <c r="L164" s="128"/>
      <c r="N164" s="127"/>
      <c r="O164" s="123" t="s">
        <v>305</v>
      </c>
      <c r="P164" s="53"/>
      <c r="Q164" s="123"/>
      <c r="R164" s="53"/>
      <c r="S164" s="123"/>
      <c r="T164" s="53">
        <f>+IFERROR(VLOOKUP(T159,'TARIFAS 2025'!D$168:$G$178,3,1),0)</f>
        <v>0</v>
      </c>
      <c r="U164" s="128"/>
    </row>
    <row r="165" spans="5:21" x14ac:dyDescent="0.25">
      <c r="E165" s="127"/>
      <c r="F165" s="123" t="s">
        <v>306</v>
      </c>
      <c r="G165" s="53">
        <f>+IF('Datos y Resumen '!E60=1,'DATOS PARA AJUSTE'!I29,'ISR '!Q30)</f>
        <v>0</v>
      </c>
      <c r="H165" s="123"/>
      <c r="I165" s="53">
        <f>+IF('Datos y Resumen '!E60=1,K165-G165,0)</f>
        <v>0</v>
      </c>
      <c r="J165" s="123"/>
      <c r="K165" s="53">
        <f>+K163+K164</f>
        <v>0</v>
      </c>
      <c r="L165" s="128"/>
      <c r="N165" s="127"/>
      <c r="O165" s="123" t="s">
        <v>306</v>
      </c>
      <c r="P165" s="53">
        <f>+IF('Datos y Resumen '!E60=1,'DATOS PARA AJUSTE'!I30,'ISR '!Q31)</f>
        <v>0</v>
      </c>
      <c r="Q165" s="123"/>
      <c r="R165" s="53">
        <f>+IF('Datos y Resumen '!E60=1,T165-P165,0)</f>
        <v>0</v>
      </c>
      <c r="S165" s="123"/>
      <c r="T165" s="53">
        <f>+T163+T164</f>
        <v>0</v>
      </c>
      <c r="U165" s="128"/>
    </row>
    <row r="166" spans="5:21" x14ac:dyDescent="0.25">
      <c r="E166" s="127"/>
      <c r="F166" s="123" t="s">
        <v>307</v>
      </c>
      <c r="G166" s="53">
        <f>+IF('Datos y Resumen '!E60=1,'DATOS PARA AJUSTE'!J29,'ISR '!R30)</f>
        <v>0</v>
      </c>
      <c r="H166" s="123"/>
      <c r="I166" s="53">
        <f>IF('Datos y Resumen '!E60=1,IF(K166&gt;=G166,K166-G166,0),0)</f>
        <v>0</v>
      </c>
      <c r="J166" s="123"/>
      <c r="K166" s="53">
        <f>+IFERROR(VLOOKUP(K159,'TARIFAS 2025'!$J$168:$L$178,3,1),0)</f>
        <v>0</v>
      </c>
      <c r="L166" s="128"/>
      <c r="N166" s="127"/>
      <c r="O166" s="123" t="s">
        <v>307</v>
      </c>
      <c r="P166" s="53">
        <f>+IF('Datos y Resumen '!E60=1,'DATOS PARA AJUSTE'!J30,'ISR '!R31)</f>
        <v>0</v>
      </c>
      <c r="Q166" s="123"/>
      <c r="R166" s="53">
        <f>IF('Datos y Resumen '!E60=1,IF(T166&gt;=P166,T166-P166,0),0)</f>
        <v>0</v>
      </c>
      <c r="S166" s="123"/>
      <c r="T166" s="53">
        <f>+IFERROR(VLOOKUP(T159,'TARIFAS 2025'!$J$168:$L$178,3,1),0)</f>
        <v>0</v>
      </c>
      <c r="U166" s="128"/>
    </row>
    <row r="167" spans="5:21" x14ac:dyDescent="0.25">
      <c r="E167" s="127"/>
      <c r="F167" s="123" t="s">
        <v>298</v>
      </c>
      <c r="G167" s="53">
        <f>+IF('Datos y Resumen '!E60=1,'DATOS PARA AJUSTE'!K29,'ISR '!S30)</f>
        <v>0</v>
      </c>
      <c r="H167" s="123"/>
      <c r="I167" s="53">
        <f>+IF(I165&gt;=I166,I165-I166,0)</f>
        <v>0</v>
      </c>
      <c r="J167" s="123"/>
      <c r="K167" s="53">
        <f>+IF(K165&gt;=K166,K165-K166,0)</f>
        <v>0</v>
      </c>
      <c r="L167" s="128"/>
      <c r="N167" s="127"/>
      <c r="O167" s="123" t="s">
        <v>298</v>
      </c>
      <c r="P167" s="53">
        <f>+IF('Datos y Resumen '!E60=1,'DATOS PARA AJUSTE'!K30,'ISR '!S31)</f>
        <v>0</v>
      </c>
      <c r="Q167" s="123"/>
      <c r="R167" s="53">
        <f>+IF(R165&gt;=R166,R165-R166,0)</f>
        <v>0</v>
      </c>
      <c r="S167" s="123"/>
      <c r="T167" s="53">
        <f>+IF(T165&gt;=T166,T165-T166,0)</f>
        <v>0</v>
      </c>
      <c r="U167" s="128"/>
    </row>
    <row r="168" spans="5:21" ht="16.5" thickBot="1" x14ac:dyDescent="0.3">
      <c r="E168" s="129"/>
      <c r="F168" s="130" t="s">
        <v>299</v>
      </c>
      <c r="G168" s="131">
        <f>+IF('Datos y Resumen '!E60=1,'DATOS PARA AJUSTE'!L29,'ISR '!T30)</f>
        <v>0</v>
      </c>
      <c r="H168" s="130"/>
      <c r="I168" s="131">
        <f>+IF(I166&gt;=I165,I166-I165,0)</f>
        <v>0</v>
      </c>
      <c r="J168" s="130"/>
      <c r="K168" s="131">
        <f>+IF(K166&gt;=K165,K166-K165,0)</f>
        <v>0</v>
      </c>
      <c r="L168" s="132"/>
      <c r="N168" s="129"/>
      <c r="O168" s="130" t="s">
        <v>299</v>
      </c>
      <c r="P168" s="131">
        <f>+IF('Datos y Resumen '!E60=1,'DATOS PARA AJUSTE'!L30,'ISR '!T31)</f>
        <v>0</v>
      </c>
      <c r="Q168" s="130"/>
      <c r="R168" s="131">
        <f>+IF(R166&gt;=R165,R166-R165,0)</f>
        <v>0</v>
      </c>
      <c r="S168" s="130"/>
      <c r="T168" s="131">
        <f>+IF(T166&gt;=T165,T166-T165,0)</f>
        <v>0</v>
      </c>
      <c r="U168" s="132"/>
    </row>
    <row r="169" spans="5:21" ht="16.5" thickBot="1" x14ac:dyDescent="0.3"/>
    <row r="170" spans="5:21" ht="23.25" x14ac:dyDescent="0.25">
      <c r="E170" s="380" t="s">
        <v>300</v>
      </c>
      <c r="F170" s="381"/>
      <c r="G170" s="381"/>
      <c r="H170" s="381"/>
      <c r="I170" s="381"/>
      <c r="J170" s="381"/>
      <c r="K170" s="381"/>
      <c r="L170" s="382"/>
      <c r="N170" s="380" t="s">
        <v>300</v>
      </c>
      <c r="O170" s="381"/>
      <c r="P170" s="381"/>
      <c r="Q170" s="381"/>
      <c r="R170" s="381"/>
      <c r="S170" s="381"/>
      <c r="T170" s="381"/>
      <c r="U170" s="382"/>
    </row>
    <row r="171" spans="5:21" ht="16.5" x14ac:dyDescent="0.25">
      <c r="E171" s="69"/>
      <c r="F171" s="68" t="str">
        <f>+'LISTA TRABAJADORES'!E31</f>
        <v>25</v>
      </c>
      <c r="G171" s="379">
        <f>+'LISTA TRABAJADORES'!G31</f>
        <v>0</v>
      </c>
      <c r="H171" s="379"/>
      <c r="I171" s="379"/>
      <c r="J171" s="379"/>
      <c r="K171" s="67"/>
      <c r="L171" s="70"/>
      <c r="N171" s="69"/>
      <c r="O171" s="68" t="str">
        <f>+'LISTA TRABAJADORES'!E32</f>
        <v>26</v>
      </c>
      <c r="P171" s="379">
        <f>+'LISTA TRABAJADORES'!G32</f>
        <v>0</v>
      </c>
      <c r="Q171" s="379"/>
      <c r="R171" s="379"/>
      <c r="S171" s="379"/>
      <c r="T171" s="67"/>
      <c r="U171" s="70"/>
    </row>
    <row r="172" spans="5:21" x14ac:dyDescent="0.25">
      <c r="E172" s="71"/>
      <c r="F172" s="104"/>
      <c r="G172" s="104" t="s">
        <v>301</v>
      </c>
      <c r="H172" s="104"/>
      <c r="I172" s="104" t="s">
        <v>302</v>
      </c>
      <c r="J172" s="104"/>
      <c r="K172" s="104" t="s">
        <v>294</v>
      </c>
      <c r="L172" s="72"/>
      <c r="N172" s="71"/>
      <c r="O172" s="104"/>
      <c r="P172" s="104" t="s">
        <v>301</v>
      </c>
      <c r="Q172" s="104"/>
      <c r="R172" s="104" t="s">
        <v>302</v>
      </c>
      <c r="S172" s="104"/>
      <c r="T172" s="104" t="s">
        <v>294</v>
      </c>
      <c r="U172" s="72"/>
    </row>
    <row r="173" spans="5:21" x14ac:dyDescent="0.25">
      <c r="E173" s="127"/>
      <c r="F173" s="123" t="s">
        <v>303</v>
      </c>
      <c r="G173" s="53">
        <f>+IF('Datos y Resumen '!E60=1,'DATOS PARA AJUSTE'!H31,'ISR '!K32)</f>
        <v>0</v>
      </c>
      <c r="H173" s="123"/>
      <c r="I173" s="53">
        <f>+IF('Datos y Resumen '!E60=1,'ISR '!K32,0)</f>
        <v>0</v>
      </c>
      <c r="J173" s="123"/>
      <c r="K173" s="53">
        <f>+G173+I173</f>
        <v>0</v>
      </c>
      <c r="L173" s="128"/>
      <c r="N173" s="127"/>
      <c r="O173" s="123" t="s">
        <v>303</v>
      </c>
      <c r="P173" s="53">
        <f>+IF('Datos y Resumen '!E60=1,'DATOS PARA AJUSTE'!H32,'ISR '!K33)</f>
        <v>0</v>
      </c>
      <c r="Q173" s="123"/>
      <c r="R173" s="53">
        <f>+IF('Datos y Resumen '!E60=1,'ISR '!K33,0)</f>
        <v>0</v>
      </c>
      <c r="S173" s="123"/>
      <c r="T173" s="53">
        <f>+P173+R173</f>
        <v>0</v>
      </c>
      <c r="U173" s="128"/>
    </row>
    <row r="174" spans="5:21" x14ac:dyDescent="0.25">
      <c r="E174" s="127"/>
      <c r="F174" s="123" t="s">
        <v>295</v>
      </c>
      <c r="G174" s="53"/>
      <c r="H174" s="123"/>
      <c r="I174" s="53"/>
      <c r="J174" s="123"/>
      <c r="K174" s="53">
        <f>+IFERROR(VLOOKUP(K173,'TARIFAS 2025'!$D$168:$G$178,1,1),0)</f>
        <v>0</v>
      </c>
      <c r="L174" s="128"/>
      <c r="N174" s="127"/>
      <c r="O174" s="123" t="s">
        <v>295</v>
      </c>
      <c r="P174" s="53"/>
      <c r="Q174" s="123"/>
      <c r="R174" s="53"/>
      <c r="S174" s="123"/>
      <c r="T174" s="53">
        <f>+IFERROR(VLOOKUP(T173,'TARIFAS 2025'!$D$168:$G$178,1,1),0)</f>
        <v>0</v>
      </c>
      <c r="U174" s="128"/>
    </row>
    <row r="175" spans="5:21" x14ac:dyDescent="0.25">
      <c r="E175" s="127"/>
      <c r="F175" s="123" t="s">
        <v>296</v>
      </c>
      <c r="G175" s="53"/>
      <c r="H175" s="123"/>
      <c r="I175" s="53"/>
      <c r="J175" s="123"/>
      <c r="K175" s="53">
        <f>+K173-K174</f>
        <v>0</v>
      </c>
      <c r="L175" s="128"/>
      <c r="N175" s="127"/>
      <c r="O175" s="123" t="s">
        <v>296</v>
      </c>
      <c r="P175" s="53"/>
      <c r="Q175" s="123"/>
      <c r="R175" s="53"/>
      <c r="S175" s="123"/>
      <c r="T175" s="53">
        <f>+T173-T174</f>
        <v>0</v>
      </c>
      <c r="U175" s="128"/>
    </row>
    <row r="176" spans="5:21" s="133" customFormat="1" x14ac:dyDescent="0.25">
      <c r="E176" s="134"/>
      <c r="F176" s="135" t="s">
        <v>304</v>
      </c>
      <c r="G176" s="136"/>
      <c r="H176" s="135"/>
      <c r="I176" s="136"/>
      <c r="J176" s="135"/>
      <c r="K176" s="136">
        <f>+IFERROR(VLOOKUP(K173,'TARIFAS 2025'!$D$168:$G$178,4,1),0)</f>
        <v>0</v>
      </c>
      <c r="L176" s="137"/>
      <c r="N176" s="134"/>
      <c r="O176" s="135" t="s">
        <v>304</v>
      </c>
      <c r="P176" s="136"/>
      <c r="Q176" s="135"/>
      <c r="R176" s="136"/>
      <c r="S176" s="135"/>
      <c r="T176" s="136">
        <f>+IFERROR(VLOOKUP(T173,'TARIFAS 2025'!$D$168:$G$178,4,1),0)</f>
        <v>0</v>
      </c>
      <c r="U176" s="137"/>
    </row>
    <row r="177" spans="5:21" x14ac:dyDescent="0.25">
      <c r="E177" s="127"/>
      <c r="F177" s="123" t="s">
        <v>297</v>
      </c>
      <c r="G177" s="53"/>
      <c r="H177" s="123"/>
      <c r="I177" s="53"/>
      <c r="J177" s="123"/>
      <c r="K177" s="53">
        <f>+K175*K176</f>
        <v>0</v>
      </c>
      <c r="L177" s="128"/>
      <c r="N177" s="127"/>
      <c r="O177" s="123" t="s">
        <v>297</v>
      </c>
      <c r="P177" s="53"/>
      <c r="Q177" s="123"/>
      <c r="R177" s="53"/>
      <c r="S177" s="123"/>
      <c r="T177" s="53">
        <f>+T175*T176</f>
        <v>0</v>
      </c>
      <c r="U177" s="128"/>
    </row>
    <row r="178" spans="5:21" x14ac:dyDescent="0.25">
      <c r="E178" s="127"/>
      <c r="F178" s="123" t="s">
        <v>305</v>
      </c>
      <c r="G178" s="53"/>
      <c r="H178" s="123"/>
      <c r="I178" s="53"/>
      <c r="J178" s="123"/>
      <c r="K178" s="53">
        <f>+IFERROR(VLOOKUP(K173,'TARIFAS 2025'!D$168:$G$178,3,1),0)</f>
        <v>0</v>
      </c>
      <c r="L178" s="128"/>
      <c r="N178" s="127"/>
      <c r="O178" s="123" t="s">
        <v>305</v>
      </c>
      <c r="P178" s="53"/>
      <c r="Q178" s="123"/>
      <c r="R178" s="53"/>
      <c r="S178" s="123"/>
      <c r="T178" s="53">
        <f>+IFERROR(VLOOKUP(T173,'TARIFAS 2025'!D$168:$G$178,3,1),0)</f>
        <v>0</v>
      </c>
      <c r="U178" s="128"/>
    </row>
    <row r="179" spans="5:21" x14ac:dyDescent="0.25">
      <c r="E179" s="127"/>
      <c r="F179" s="123" t="s">
        <v>306</v>
      </c>
      <c r="G179" s="53">
        <f>+IF('Datos y Resumen '!E60=1,'DATOS PARA AJUSTE'!I31,'ISR '!Q32)</f>
        <v>0</v>
      </c>
      <c r="H179" s="123"/>
      <c r="I179" s="53">
        <f>+IF('Datos y Resumen '!E60=1,K179-G179,0)</f>
        <v>0</v>
      </c>
      <c r="J179" s="123"/>
      <c r="K179" s="53">
        <f>+K177+K178</f>
        <v>0</v>
      </c>
      <c r="L179" s="128"/>
      <c r="N179" s="127"/>
      <c r="O179" s="123" t="s">
        <v>306</v>
      </c>
      <c r="P179" s="53">
        <f>+IF('Datos y Resumen '!E60=1,'DATOS PARA AJUSTE'!I32,'ISR '!Q33)</f>
        <v>0</v>
      </c>
      <c r="Q179" s="123"/>
      <c r="R179" s="53">
        <f>+IF('Datos y Resumen '!E60=1,T179-P179,0)</f>
        <v>0</v>
      </c>
      <c r="S179" s="123"/>
      <c r="T179" s="53">
        <f>+T177+T178</f>
        <v>0</v>
      </c>
      <c r="U179" s="128"/>
    </row>
    <row r="180" spans="5:21" x14ac:dyDescent="0.25">
      <c r="E180" s="127"/>
      <c r="F180" s="123" t="s">
        <v>307</v>
      </c>
      <c r="G180" s="53">
        <f>+IF('Datos y Resumen '!E60=1,'DATOS PARA AJUSTE'!J31,'ISR '!R32)</f>
        <v>0</v>
      </c>
      <c r="H180" s="123"/>
      <c r="I180" s="53">
        <f>IF('Datos y Resumen '!E60=1,IF(K180&gt;=G180,K180-G180,0),0)</f>
        <v>0</v>
      </c>
      <c r="J180" s="123"/>
      <c r="K180" s="53">
        <f>+IFERROR(VLOOKUP(K173,'TARIFAS 2025'!$J$168:$L$178,3,1),0)</f>
        <v>0</v>
      </c>
      <c r="L180" s="128"/>
      <c r="N180" s="127"/>
      <c r="O180" s="123" t="s">
        <v>307</v>
      </c>
      <c r="P180" s="53">
        <f>+IF('Datos y Resumen '!E60=1,'DATOS PARA AJUSTE'!J32,'ISR '!R33)</f>
        <v>0</v>
      </c>
      <c r="Q180" s="123"/>
      <c r="R180" s="53">
        <f>IF('Datos y Resumen '!E60=1,IF(T180&gt;=P180,T180-P180,0),0)</f>
        <v>0</v>
      </c>
      <c r="S180" s="123"/>
      <c r="T180" s="53">
        <f>+IFERROR(VLOOKUP(T173,'TARIFAS 2025'!$J$168:$L$178,3,1),0)</f>
        <v>0</v>
      </c>
      <c r="U180" s="128"/>
    </row>
    <row r="181" spans="5:21" x14ac:dyDescent="0.25">
      <c r="E181" s="127"/>
      <c r="F181" s="123" t="s">
        <v>298</v>
      </c>
      <c r="G181" s="53">
        <f>+IF('Datos y Resumen '!E60=1,'DATOS PARA AJUSTE'!K31,'ISR '!S32)</f>
        <v>0</v>
      </c>
      <c r="H181" s="123"/>
      <c r="I181" s="53">
        <f>+IF(I179&gt;=I180,I179-I180,0)</f>
        <v>0</v>
      </c>
      <c r="J181" s="123"/>
      <c r="K181" s="53">
        <f>+IF(K179&gt;=K180,K179-K180,0)</f>
        <v>0</v>
      </c>
      <c r="L181" s="128"/>
      <c r="N181" s="127"/>
      <c r="O181" s="123" t="s">
        <v>298</v>
      </c>
      <c r="P181" s="53">
        <f>+IF('Datos y Resumen '!E60=1,'DATOS PARA AJUSTE'!K32,'ISR '!S33)</f>
        <v>0</v>
      </c>
      <c r="Q181" s="123"/>
      <c r="R181" s="53">
        <f>+IF(R179&gt;=R180,R179-R180,0)</f>
        <v>0</v>
      </c>
      <c r="S181" s="123"/>
      <c r="T181" s="53">
        <f>+IF(T179&gt;=T180,T179-T180,0)</f>
        <v>0</v>
      </c>
      <c r="U181" s="128"/>
    </row>
    <row r="182" spans="5:21" ht="16.5" thickBot="1" x14ac:dyDescent="0.3">
      <c r="E182" s="129"/>
      <c r="F182" s="130" t="s">
        <v>299</v>
      </c>
      <c r="G182" s="131">
        <f>+IF('Datos y Resumen '!E60=1,'DATOS PARA AJUSTE'!L31,'ISR '!T32)</f>
        <v>0</v>
      </c>
      <c r="H182" s="130"/>
      <c r="I182" s="131">
        <f>+IF(I180&gt;=I179,I180-I179,0)</f>
        <v>0</v>
      </c>
      <c r="J182" s="130"/>
      <c r="K182" s="131">
        <f>+IF(K180&gt;=K179,K180-K179,0)</f>
        <v>0</v>
      </c>
      <c r="L182" s="132"/>
      <c r="N182" s="129"/>
      <c r="O182" s="130" t="s">
        <v>299</v>
      </c>
      <c r="P182" s="131">
        <f>+IF('Datos y Resumen '!E60=1,'DATOS PARA AJUSTE'!L32,'ISR '!T33)</f>
        <v>0</v>
      </c>
      <c r="Q182" s="130"/>
      <c r="R182" s="131">
        <f>+IF(R180&gt;=R179,R180-R179,0)</f>
        <v>0</v>
      </c>
      <c r="S182" s="130"/>
      <c r="T182" s="131">
        <f>+IF(T180&gt;=T179,T180-T179,0)</f>
        <v>0</v>
      </c>
      <c r="U182" s="132"/>
    </row>
    <row r="183" spans="5:21" ht="16.5" thickBot="1" x14ac:dyDescent="0.3"/>
    <row r="184" spans="5:21" ht="23.25" x14ac:dyDescent="0.25">
      <c r="E184" s="380" t="s">
        <v>300</v>
      </c>
      <c r="F184" s="381"/>
      <c r="G184" s="381"/>
      <c r="H184" s="381"/>
      <c r="I184" s="381"/>
      <c r="J184" s="381"/>
      <c r="K184" s="381"/>
      <c r="L184" s="382"/>
      <c r="N184" s="380" t="s">
        <v>300</v>
      </c>
      <c r="O184" s="381"/>
      <c r="P184" s="381"/>
      <c r="Q184" s="381"/>
      <c r="R184" s="381"/>
      <c r="S184" s="381"/>
      <c r="T184" s="381"/>
      <c r="U184" s="382"/>
    </row>
    <row r="185" spans="5:21" ht="16.5" x14ac:dyDescent="0.25">
      <c r="E185" s="69"/>
      <c r="F185" s="68" t="str">
        <f>+'LISTA TRABAJADORES'!E33</f>
        <v>27</v>
      </c>
      <c r="G185" s="379">
        <f>+'LISTA TRABAJADORES'!G33</f>
        <v>0</v>
      </c>
      <c r="H185" s="379"/>
      <c r="I185" s="379"/>
      <c r="J185" s="379"/>
      <c r="K185" s="67"/>
      <c r="L185" s="70"/>
      <c r="N185" s="69"/>
      <c r="O185" s="68" t="str">
        <f>+'LISTA TRABAJADORES'!E34</f>
        <v>28</v>
      </c>
      <c r="P185" s="379">
        <f>+'LISTA TRABAJADORES'!G34</f>
        <v>0</v>
      </c>
      <c r="Q185" s="379"/>
      <c r="R185" s="379"/>
      <c r="S185" s="379"/>
      <c r="T185" s="67"/>
      <c r="U185" s="70"/>
    </row>
    <row r="186" spans="5:21" x14ac:dyDescent="0.25">
      <c r="E186" s="71"/>
      <c r="F186" s="104"/>
      <c r="G186" s="104" t="s">
        <v>301</v>
      </c>
      <c r="H186" s="104"/>
      <c r="I186" s="104" t="s">
        <v>302</v>
      </c>
      <c r="J186" s="104"/>
      <c r="K186" s="104" t="s">
        <v>294</v>
      </c>
      <c r="L186" s="72"/>
      <c r="N186" s="71"/>
      <c r="O186" s="104"/>
      <c r="P186" s="104" t="s">
        <v>301</v>
      </c>
      <c r="Q186" s="104"/>
      <c r="R186" s="104" t="s">
        <v>302</v>
      </c>
      <c r="S186" s="104"/>
      <c r="T186" s="104" t="s">
        <v>294</v>
      </c>
      <c r="U186" s="72"/>
    </row>
    <row r="187" spans="5:21" x14ac:dyDescent="0.25">
      <c r="E187" s="127"/>
      <c r="F187" s="123" t="s">
        <v>303</v>
      </c>
      <c r="G187" s="53">
        <f>+IF('Datos y Resumen '!E60=1,'DATOS PARA AJUSTE'!H33,'ISR '!K34)</f>
        <v>0</v>
      </c>
      <c r="H187" s="123"/>
      <c r="I187" s="53">
        <f>+IF('Datos y Resumen '!E60=1,'ISR '!K34,0)</f>
        <v>0</v>
      </c>
      <c r="J187" s="123"/>
      <c r="K187" s="53">
        <f>+G187+I187</f>
        <v>0</v>
      </c>
      <c r="L187" s="128"/>
      <c r="N187" s="127"/>
      <c r="O187" s="123" t="s">
        <v>303</v>
      </c>
      <c r="P187" s="53">
        <f>+IF('Datos y Resumen '!E60=1,'DATOS PARA AJUSTE'!H34,'ISR '!K35)</f>
        <v>0</v>
      </c>
      <c r="Q187" s="123"/>
      <c r="R187" s="53">
        <f>+IF('Datos y Resumen '!E60=1,'ISR '!K35,0)</f>
        <v>0</v>
      </c>
      <c r="S187" s="123"/>
      <c r="T187" s="53">
        <f>+P187+R187</f>
        <v>0</v>
      </c>
      <c r="U187" s="128"/>
    </row>
    <row r="188" spans="5:21" x14ac:dyDescent="0.25">
      <c r="E188" s="127"/>
      <c r="F188" s="123" t="s">
        <v>295</v>
      </c>
      <c r="G188" s="53"/>
      <c r="H188" s="123"/>
      <c r="I188" s="53"/>
      <c r="J188" s="123"/>
      <c r="K188" s="53">
        <f>+IFERROR(VLOOKUP(K187,'TARIFAS 2025'!$D$168:$G$178,1,1),0)</f>
        <v>0</v>
      </c>
      <c r="L188" s="128"/>
      <c r="N188" s="127"/>
      <c r="O188" s="123" t="s">
        <v>295</v>
      </c>
      <c r="P188" s="53"/>
      <c r="Q188" s="123"/>
      <c r="R188" s="53"/>
      <c r="S188" s="123"/>
      <c r="T188" s="53">
        <f>+IFERROR(VLOOKUP(T187,'TARIFAS 2025'!$D$168:$G$178,1,1),0)</f>
        <v>0</v>
      </c>
      <c r="U188" s="128"/>
    </row>
    <row r="189" spans="5:21" x14ac:dyDescent="0.25">
      <c r="E189" s="127"/>
      <c r="F189" s="123" t="s">
        <v>296</v>
      </c>
      <c r="G189" s="53"/>
      <c r="H189" s="123"/>
      <c r="I189" s="53"/>
      <c r="J189" s="123"/>
      <c r="K189" s="53">
        <f>+K187-K188</f>
        <v>0</v>
      </c>
      <c r="L189" s="128"/>
      <c r="N189" s="127"/>
      <c r="O189" s="123" t="s">
        <v>296</v>
      </c>
      <c r="P189" s="53"/>
      <c r="Q189" s="123"/>
      <c r="R189" s="53"/>
      <c r="S189" s="123"/>
      <c r="T189" s="53">
        <f>+T187-T188</f>
        <v>0</v>
      </c>
      <c r="U189" s="128"/>
    </row>
    <row r="190" spans="5:21" s="133" customFormat="1" x14ac:dyDescent="0.25">
      <c r="E190" s="134"/>
      <c r="F190" s="135" t="s">
        <v>304</v>
      </c>
      <c r="G190" s="136"/>
      <c r="H190" s="135"/>
      <c r="I190" s="136"/>
      <c r="J190" s="135"/>
      <c r="K190" s="136">
        <f>+IFERROR(VLOOKUP(K187,'TARIFAS 2025'!$D$168:$G$178,4,1),0)</f>
        <v>0</v>
      </c>
      <c r="L190" s="137"/>
      <c r="N190" s="134"/>
      <c r="O190" s="135" t="s">
        <v>304</v>
      </c>
      <c r="P190" s="136"/>
      <c r="Q190" s="135"/>
      <c r="R190" s="136"/>
      <c r="S190" s="135"/>
      <c r="T190" s="136">
        <f>+IFERROR(VLOOKUP(T187,'TARIFAS 2025'!$D$168:$G$178,4,1),0)</f>
        <v>0</v>
      </c>
      <c r="U190" s="137"/>
    </row>
    <row r="191" spans="5:21" x14ac:dyDescent="0.25">
      <c r="E191" s="127"/>
      <c r="F191" s="123" t="s">
        <v>297</v>
      </c>
      <c r="G191" s="53"/>
      <c r="H191" s="123"/>
      <c r="I191" s="53"/>
      <c r="J191" s="123"/>
      <c r="K191" s="53">
        <f>+K189*K190</f>
        <v>0</v>
      </c>
      <c r="L191" s="128"/>
      <c r="N191" s="127"/>
      <c r="O191" s="123" t="s">
        <v>297</v>
      </c>
      <c r="P191" s="53"/>
      <c r="Q191" s="123"/>
      <c r="R191" s="53"/>
      <c r="S191" s="123"/>
      <c r="T191" s="53">
        <f>+T189*T190</f>
        <v>0</v>
      </c>
      <c r="U191" s="128"/>
    </row>
    <row r="192" spans="5:21" x14ac:dyDescent="0.25">
      <c r="E192" s="127"/>
      <c r="F192" s="123" t="s">
        <v>305</v>
      </c>
      <c r="G192" s="53"/>
      <c r="H192" s="123"/>
      <c r="I192" s="53"/>
      <c r="J192" s="123"/>
      <c r="K192" s="53">
        <f>+IFERROR(VLOOKUP(K187,'TARIFAS 2025'!D$168:$G$178,3,1),0)</f>
        <v>0</v>
      </c>
      <c r="L192" s="128"/>
      <c r="N192" s="127"/>
      <c r="O192" s="123" t="s">
        <v>305</v>
      </c>
      <c r="P192" s="53"/>
      <c r="Q192" s="123"/>
      <c r="R192" s="53"/>
      <c r="S192" s="123"/>
      <c r="T192" s="53">
        <f>+IFERROR(VLOOKUP(T187,'TARIFAS 2025'!D$168:$G$178,3,1),0)</f>
        <v>0</v>
      </c>
      <c r="U192" s="128"/>
    </row>
    <row r="193" spans="5:21" x14ac:dyDescent="0.25">
      <c r="E193" s="127"/>
      <c r="F193" s="123" t="s">
        <v>306</v>
      </c>
      <c r="G193" s="53">
        <f>+IF('Datos y Resumen '!E60=1,'DATOS PARA AJUSTE'!I33,'ISR '!Q34)</f>
        <v>0</v>
      </c>
      <c r="H193" s="123"/>
      <c r="I193" s="53">
        <f>+IF('Datos y Resumen '!E60=1,K193-G193,0)</f>
        <v>0</v>
      </c>
      <c r="J193" s="123"/>
      <c r="K193" s="53">
        <f>+K191+K192</f>
        <v>0</v>
      </c>
      <c r="L193" s="128"/>
      <c r="N193" s="127"/>
      <c r="O193" s="123" t="s">
        <v>306</v>
      </c>
      <c r="P193" s="53">
        <f>+IF('Datos y Resumen '!E60=1,'DATOS PARA AJUSTE'!I34,'ISR '!Q35)</f>
        <v>0</v>
      </c>
      <c r="Q193" s="123"/>
      <c r="R193" s="53">
        <f>+IF('Datos y Resumen '!E60=1,T193-P193,0)</f>
        <v>0</v>
      </c>
      <c r="S193" s="123"/>
      <c r="T193" s="53">
        <f>+T191+T192</f>
        <v>0</v>
      </c>
      <c r="U193" s="128"/>
    </row>
    <row r="194" spans="5:21" x14ac:dyDescent="0.25">
      <c r="E194" s="127"/>
      <c r="F194" s="123" t="s">
        <v>307</v>
      </c>
      <c r="G194" s="53">
        <f>+IF('Datos y Resumen '!E60=1,'DATOS PARA AJUSTE'!J33,'ISR '!R34)</f>
        <v>0</v>
      </c>
      <c r="H194" s="123"/>
      <c r="I194" s="53">
        <f>IF('Datos y Resumen '!E60=1,IF(K194&gt;=G194,K194-G194,0),0)</f>
        <v>0</v>
      </c>
      <c r="J194" s="123"/>
      <c r="K194" s="53">
        <f>+IFERROR(VLOOKUP(K187,'TARIFAS 2025'!$J$168:$L$178,3,1),0)</f>
        <v>0</v>
      </c>
      <c r="L194" s="128"/>
      <c r="N194" s="127"/>
      <c r="O194" s="123" t="s">
        <v>307</v>
      </c>
      <c r="P194" s="53">
        <f>+IF('Datos y Resumen '!E60=1,'DATOS PARA AJUSTE'!J34,'ISR '!R35)</f>
        <v>0</v>
      </c>
      <c r="Q194" s="123"/>
      <c r="R194" s="53">
        <f>IF('Datos y Resumen '!E60=1,IF(T194&gt;=P194,T194-P194,0),0)</f>
        <v>0</v>
      </c>
      <c r="S194" s="123"/>
      <c r="T194" s="53">
        <f>+IFERROR(VLOOKUP(T187,'TARIFAS 2025'!$J$168:$L$178,3,1),0)</f>
        <v>0</v>
      </c>
      <c r="U194" s="128"/>
    </row>
    <row r="195" spans="5:21" x14ac:dyDescent="0.25">
      <c r="E195" s="127"/>
      <c r="F195" s="123" t="s">
        <v>298</v>
      </c>
      <c r="G195" s="53">
        <f>+IF('Datos y Resumen '!E60=1,'DATOS PARA AJUSTE'!K33,'ISR '!S34)</f>
        <v>0</v>
      </c>
      <c r="H195" s="123"/>
      <c r="I195" s="53">
        <f>+IF(I193&gt;=I194,I193-I194,0)</f>
        <v>0</v>
      </c>
      <c r="J195" s="123"/>
      <c r="K195" s="53">
        <f>+IF(K193&gt;=K194,K193-K194,0)</f>
        <v>0</v>
      </c>
      <c r="L195" s="128"/>
      <c r="N195" s="127"/>
      <c r="O195" s="123" t="s">
        <v>298</v>
      </c>
      <c r="P195" s="53">
        <f>+IF('Datos y Resumen '!E60=1,'DATOS PARA AJUSTE'!K34,'ISR '!S35)</f>
        <v>0</v>
      </c>
      <c r="Q195" s="123"/>
      <c r="R195" s="53">
        <f>+IF(R193&gt;=R194,R193-R194,0)</f>
        <v>0</v>
      </c>
      <c r="S195" s="123"/>
      <c r="T195" s="53">
        <f>+IF(T193&gt;=T194,T193-T194,0)</f>
        <v>0</v>
      </c>
      <c r="U195" s="128"/>
    </row>
    <row r="196" spans="5:21" ht="16.5" thickBot="1" x14ac:dyDescent="0.3">
      <c r="E196" s="129"/>
      <c r="F196" s="130" t="s">
        <v>299</v>
      </c>
      <c r="G196" s="131">
        <f>+IF('Datos y Resumen '!E60=1,'DATOS PARA AJUSTE'!L33,'ISR '!T34)</f>
        <v>0</v>
      </c>
      <c r="H196" s="130"/>
      <c r="I196" s="131">
        <f>+IF(I194&gt;=I193,I194-I193,0)</f>
        <v>0</v>
      </c>
      <c r="J196" s="130"/>
      <c r="K196" s="131">
        <f>+IF(K194&gt;=K193,K194-K193,0)</f>
        <v>0</v>
      </c>
      <c r="L196" s="132"/>
      <c r="N196" s="129"/>
      <c r="O196" s="130" t="s">
        <v>299</v>
      </c>
      <c r="P196" s="131">
        <f>+IF('Datos y Resumen '!E60=1,'DATOS PARA AJUSTE'!L34,'ISR '!T35)</f>
        <v>0</v>
      </c>
      <c r="Q196" s="130"/>
      <c r="R196" s="131">
        <f>+IF(R194&gt;=R193,R194-R193,0)</f>
        <v>0</v>
      </c>
      <c r="S196" s="130"/>
      <c r="T196" s="131">
        <f>+IF(T194&gt;=T193,T194-T193,0)</f>
        <v>0</v>
      </c>
      <c r="U196" s="132"/>
    </row>
    <row r="197" spans="5:21" ht="16.5" thickBot="1" x14ac:dyDescent="0.3"/>
    <row r="198" spans="5:21" ht="23.25" x14ac:dyDescent="0.25">
      <c r="E198" s="380" t="s">
        <v>300</v>
      </c>
      <c r="F198" s="381"/>
      <c r="G198" s="381"/>
      <c r="H198" s="381"/>
      <c r="I198" s="381"/>
      <c r="J198" s="381"/>
      <c r="K198" s="381"/>
      <c r="L198" s="382"/>
      <c r="N198" s="380" t="s">
        <v>300</v>
      </c>
      <c r="O198" s="381"/>
      <c r="P198" s="381"/>
      <c r="Q198" s="381"/>
      <c r="R198" s="381"/>
      <c r="S198" s="381"/>
      <c r="T198" s="381"/>
      <c r="U198" s="382"/>
    </row>
    <row r="199" spans="5:21" ht="16.5" x14ac:dyDescent="0.25">
      <c r="E199" s="69"/>
      <c r="F199" s="68" t="str">
        <f>+'LISTA TRABAJADORES'!E35</f>
        <v>29</v>
      </c>
      <c r="G199" s="379">
        <f>+'LISTA TRABAJADORES'!G35</f>
        <v>0</v>
      </c>
      <c r="H199" s="379"/>
      <c r="I199" s="379"/>
      <c r="J199" s="379"/>
      <c r="K199" s="67"/>
      <c r="L199" s="70"/>
      <c r="N199" s="69"/>
      <c r="O199" s="68" t="str">
        <f>+'LISTA TRABAJADORES'!E36</f>
        <v>30</v>
      </c>
      <c r="P199" s="379">
        <f>+'LISTA TRABAJADORES'!G36</f>
        <v>0</v>
      </c>
      <c r="Q199" s="379"/>
      <c r="R199" s="379"/>
      <c r="S199" s="379"/>
      <c r="T199" s="67"/>
      <c r="U199" s="70"/>
    </row>
    <row r="200" spans="5:21" x14ac:dyDescent="0.25">
      <c r="E200" s="71"/>
      <c r="F200" s="104"/>
      <c r="G200" s="104" t="s">
        <v>301</v>
      </c>
      <c r="H200" s="104"/>
      <c r="I200" s="104" t="s">
        <v>302</v>
      </c>
      <c r="J200" s="104"/>
      <c r="K200" s="104" t="s">
        <v>294</v>
      </c>
      <c r="L200" s="72"/>
      <c r="N200" s="71"/>
      <c r="O200" s="104"/>
      <c r="P200" s="104" t="s">
        <v>301</v>
      </c>
      <c r="Q200" s="104"/>
      <c r="R200" s="104" t="s">
        <v>302</v>
      </c>
      <c r="S200" s="104"/>
      <c r="T200" s="104" t="s">
        <v>294</v>
      </c>
      <c r="U200" s="72"/>
    </row>
    <row r="201" spans="5:21" x14ac:dyDescent="0.25">
      <c r="E201" s="127"/>
      <c r="F201" s="123" t="s">
        <v>303</v>
      </c>
      <c r="G201" s="53">
        <f>+IF('Datos y Resumen '!E60=1,'DATOS PARA AJUSTE'!H35,'ISR '!K36)</f>
        <v>0</v>
      </c>
      <c r="H201" s="123"/>
      <c r="I201" s="53">
        <f>+IF('Datos y Resumen '!E60=1,'ISR '!K36,0)</f>
        <v>0</v>
      </c>
      <c r="J201" s="123"/>
      <c r="K201" s="53">
        <f>+G201+I201</f>
        <v>0</v>
      </c>
      <c r="L201" s="128"/>
      <c r="N201" s="127"/>
      <c r="O201" s="123" t="s">
        <v>303</v>
      </c>
      <c r="P201" s="53">
        <f>+IF('Datos y Resumen '!E60=1,'DATOS PARA AJUSTE'!H36,'ISR '!K37)</f>
        <v>0</v>
      </c>
      <c r="Q201" s="123"/>
      <c r="R201" s="53">
        <f>+IF('Datos y Resumen '!E60=1,'ISR '!K37,0)</f>
        <v>0</v>
      </c>
      <c r="S201" s="123"/>
      <c r="T201" s="53">
        <f>+P201+R201</f>
        <v>0</v>
      </c>
      <c r="U201" s="128"/>
    </row>
    <row r="202" spans="5:21" x14ac:dyDescent="0.25">
      <c r="E202" s="127"/>
      <c r="F202" s="123" t="s">
        <v>295</v>
      </c>
      <c r="G202" s="53"/>
      <c r="H202" s="123"/>
      <c r="I202" s="53"/>
      <c r="J202" s="123"/>
      <c r="K202" s="53">
        <f>+IFERROR(VLOOKUP(K201,'TARIFAS 2025'!$D$168:$G$178,1,1),0)</f>
        <v>0</v>
      </c>
      <c r="L202" s="128"/>
      <c r="N202" s="127"/>
      <c r="O202" s="123" t="s">
        <v>295</v>
      </c>
      <c r="P202" s="53"/>
      <c r="Q202" s="123"/>
      <c r="R202" s="53"/>
      <c r="S202" s="123"/>
      <c r="T202" s="53">
        <f>+IFERROR(VLOOKUP(T201,'TARIFAS 2025'!$D$168:$G$178,1,1),0)</f>
        <v>0</v>
      </c>
      <c r="U202" s="128"/>
    </row>
    <row r="203" spans="5:21" x14ac:dyDescent="0.25">
      <c r="E203" s="127"/>
      <c r="F203" s="123" t="s">
        <v>296</v>
      </c>
      <c r="G203" s="53"/>
      <c r="H203" s="123"/>
      <c r="I203" s="53"/>
      <c r="J203" s="123"/>
      <c r="K203" s="53">
        <f>+K201-K202</f>
        <v>0</v>
      </c>
      <c r="L203" s="128"/>
      <c r="N203" s="127"/>
      <c r="O203" s="123" t="s">
        <v>296</v>
      </c>
      <c r="P203" s="53"/>
      <c r="Q203" s="123"/>
      <c r="R203" s="53"/>
      <c r="S203" s="123"/>
      <c r="T203" s="53">
        <f>+T201-T202</f>
        <v>0</v>
      </c>
      <c r="U203" s="128"/>
    </row>
    <row r="204" spans="5:21" s="133" customFormat="1" x14ac:dyDescent="0.25">
      <c r="E204" s="134"/>
      <c r="F204" s="135" t="s">
        <v>304</v>
      </c>
      <c r="G204" s="136"/>
      <c r="H204" s="135"/>
      <c r="I204" s="136"/>
      <c r="J204" s="135"/>
      <c r="K204" s="136">
        <f>+IFERROR(VLOOKUP(K201,'TARIFAS 2025'!$D$168:$G$178,4,1),0)</f>
        <v>0</v>
      </c>
      <c r="L204" s="137"/>
      <c r="N204" s="134"/>
      <c r="O204" s="135" t="s">
        <v>304</v>
      </c>
      <c r="P204" s="136"/>
      <c r="Q204" s="135"/>
      <c r="R204" s="136"/>
      <c r="S204" s="135"/>
      <c r="T204" s="136">
        <f>+IFERROR(VLOOKUP(T201,'TARIFAS 2025'!$D$168:$G$178,4,1),0)</f>
        <v>0</v>
      </c>
      <c r="U204" s="137"/>
    </row>
    <row r="205" spans="5:21" x14ac:dyDescent="0.25">
      <c r="E205" s="127"/>
      <c r="F205" s="123" t="s">
        <v>297</v>
      </c>
      <c r="G205" s="53"/>
      <c r="H205" s="123"/>
      <c r="I205" s="53"/>
      <c r="J205" s="123"/>
      <c r="K205" s="53">
        <f>+K203*K204</f>
        <v>0</v>
      </c>
      <c r="L205" s="128"/>
      <c r="N205" s="127"/>
      <c r="O205" s="123" t="s">
        <v>297</v>
      </c>
      <c r="P205" s="53"/>
      <c r="Q205" s="123"/>
      <c r="R205" s="53"/>
      <c r="S205" s="123"/>
      <c r="T205" s="53">
        <f>+T203*T204</f>
        <v>0</v>
      </c>
      <c r="U205" s="128"/>
    </row>
    <row r="206" spans="5:21" x14ac:dyDescent="0.25">
      <c r="E206" s="127"/>
      <c r="F206" s="123" t="s">
        <v>305</v>
      </c>
      <c r="G206" s="53"/>
      <c r="H206" s="123"/>
      <c r="I206" s="53"/>
      <c r="J206" s="123"/>
      <c r="K206" s="53">
        <f>+IFERROR(VLOOKUP(K201,'TARIFAS 2025'!D$168:$G$178,3,1),0)</f>
        <v>0</v>
      </c>
      <c r="L206" s="128"/>
      <c r="N206" s="127"/>
      <c r="O206" s="123" t="s">
        <v>305</v>
      </c>
      <c r="P206" s="53"/>
      <c r="Q206" s="123"/>
      <c r="R206" s="53"/>
      <c r="S206" s="123"/>
      <c r="T206" s="53">
        <f>+IFERROR(VLOOKUP(T201,'TARIFAS 2025'!D$168:$G$178,3,1),0)</f>
        <v>0</v>
      </c>
      <c r="U206" s="128"/>
    </row>
    <row r="207" spans="5:21" x14ac:dyDescent="0.25">
      <c r="E207" s="127"/>
      <c r="F207" s="123" t="s">
        <v>306</v>
      </c>
      <c r="G207" s="53">
        <f>+IF('Datos y Resumen '!E60=1,'DATOS PARA AJUSTE'!I35,'ISR '!Q36)</f>
        <v>0</v>
      </c>
      <c r="H207" s="123"/>
      <c r="I207" s="53">
        <f>+IF('Datos y Resumen '!E60=1,K207-G207,0)</f>
        <v>0</v>
      </c>
      <c r="J207" s="123"/>
      <c r="K207" s="53">
        <f>+K205+K206</f>
        <v>0</v>
      </c>
      <c r="L207" s="128"/>
      <c r="N207" s="127"/>
      <c r="O207" s="123" t="s">
        <v>306</v>
      </c>
      <c r="P207" s="53">
        <f>+IF('Datos y Resumen '!E60=1,'DATOS PARA AJUSTE'!I36,'ISR '!Q37)</f>
        <v>0</v>
      </c>
      <c r="Q207" s="123"/>
      <c r="R207" s="53">
        <f>+IF('Datos y Resumen '!E60=1,T207-P207,0)</f>
        <v>0</v>
      </c>
      <c r="S207" s="123"/>
      <c r="T207" s="53">
        <f>+T205+T206</f>
        <v>0</v>
      </c>
      <c r="U207" s="128"/>
    </row>
    <row r="208" spans="5:21" x14ac:dyDescent="0.25">
      <c r="E208" s="127"/>
      <c r="F208" s="123" t="s">
        <v>307</v>
      </c>
      <c r="G208" s="53">
        <f>+IF('Datos y Resumen '!E60=1,'DATOS PARA AJUSTE'!J35,'ISR '!R36)</f>
        <v>0</v>
      </c>
      <c r="H208" s="123"/>
      <c r="I208" s="53">
        <f>IF('Datos y Resumen '!E60=1,IF(K208&gt;=G208,K208-G208,0),0)</f>
        <v>0</v>
      </c>
      <c r="J208" s="123"/>
      <c r="K208" s="53">
        <f>+IFERROR(VLOOKUP(K201,'TARIFAS 2025'!$J$168:$L$178,3,1),0)</f>
        <v>0</v>
      </c>
      <c r="L208" s="128"/>
      <c r="N208" s="127"/>
      <c r="O208" s="123" t="s">
        <v>307</v>
      </c>
      <c r="P208" s="53">
        <f>+IF('Datos y Resumen '!E60=1,'DATOS PARA AJUSTE'!J36,'ISR '!R37)</f>
        <v>0</v>
      </c>
      <c r="Q208" s="123"/>
      <c r="R208" s="53">
        <f>IF('Datos y Resumen '!E60=1,IF(T208&gt;=P208,T208-P208,0),0)</f>
        <v>0</v>
      </c>
      <c r="S208" s="123"/>
      <c r="T208" s="53">
        <f>+IFERROR(VLOOKUP(T201,'TARIFAS 2025'!$J$168:$L$178,3,1),0)</f>
        <v>0</v>
      </c>
      <c r="U208" s="128"/>
    </row>
    <row r="209" spans="5:21" x14ac:dyDescent="0.25">
      <c r="E209" s="127"/>
      <c r="F209" s="123" t="s">
        <v>298</v>
      </c>
      <c r="G209" s="53">
        <f>+IF('Datos y Resumen '!E60=1,'DATOS PARA AJUSTE'!K35,'ISR '!S36)</f>
        <v>0</v>
      </c>
      <c r="H209" s="123"/>
      <c r="I209" s="53">
        <f>+IF(I207&gt;=I208,I207-I208,0)</f>
        <v>0</v>
      </c>
      <c r="J209" s="123"/>
      <c r="K209" s="53">
        <f>+IF(K207&gt;=K208,K207-K208,0)</f>
        <v>0</v>
      </c>
      <c r="L209" s="128"/>
      <c r="N209" s="127"/>
      <c r="O209" s="123" t="s">
        <v>298</v>
      </c>
      <c r="P209" s="53">
        <f>+IF('Datos y Resumen '!E60=1,'DATOS PARA AJUSTE'!K36,'ISR '!S37)</f>
        <v>0</v>
      </c>
      <c r="Q209" s="123"/>
      <c r="R209" s="53">
        <f>+IF(R207&gt;=R208,R207-R208,0)</f>
        <v>0</v>
      </c>
      <c r="S209" s="123"/>
      <c r="T209" s="53">
        <f>+IF(T207&gt;=T208,T207-T208,0)</f>
        <v>0</v>
      </c>
      <c r="U209" s="128"/>
    </row>
    <row r="210" spans="5:21" ht="16.5" thickBot="1" x14ac:dyDescent="0.3">
      <c r="E210" s="129"/>
      <c r="F210" s="130" t="s">
        <v>299</v>
      </c>
      <c r="G210" s="131">
        <f>+IF('Datos y Resumen '!E60=1,'DATOS PARA AJUSTE'!L35,'ISR '!T36)</f>
        <v>0</v>
      </c>
      <c r="H210" s="130"/>
      <c r="I210" s="131">
        <f>+IF(I208&gt;=I207,I208-I207,0)</f>
        <v>0</v>
      </c>
      <c r="J210" s="130"/>
      <c r="K210" s="131">
        <f>+IF(K208&gt;=K207,K208-K207,0)</f>
        <v>0</v>
      </c>
      <c r="L210" s="132"/>
      <c r="N210" s="129"/>
      <c r="O210" s="130" t="s">
        <v>299</v>
      </c>
      <c r="P210" s="131">
        <f>+IF('Datos y Resumen '!E60=1,'DATOS PARA AJUSTE'!L36,'ISR '!T37)</f>
        <v>0</v>
      </c>
      <c r="Q210" s="130"/>
      <c r="R210" s="131">
        <f>+IF(R208&gt;=R207,R208-R207,0)</f>
        <v>0</v>
      </c>
      <c r="S210" s="130"/>
      <c r="T210" s="131">
        <f>+IF(T208&gt;=T207,T208-T207,0)</f>
        <v>0</v>
      </c>
      <c r="U210" s="132"/>
    </row>
    <row r="211" spans="5:21" ht="16.5" thickBot="1" x14ac:dyDescent="0.3"/>
    <row r="212" spans="5:21" ht="23.25" x14ac:dyDescent="0.25">
      <c r="E212" s="380" t="s">
        <v>300</v>
      </c>
      <c r="F212" s="381"/>
      <c r="G212" s="381"/>
      <c r="H212" s="381"/>
      <c r="I212" s="381"/>
      <c r="J212" s="381"/>
      <c r="K212" s="381"/>
      <c r="L212" s="382"/>
      <c r="N212" s="380" t="s">
        <v>300</v>
      </c>
      <c r="O212" s="381"/>
      <c r="P212" s="381"/>
      <c r="Q212" s="381"/>
      <c r="R212" s="381"/>
      <c r="S212" s="381"/>
      <c r="T212" s="381"/>
      <c r="U212" s="382"/>
    </row>
    <row r="213" spans="5:21" ht="16.5" x14ac:dyDescent="0.25">
      <c r="E213" s="69"/>
      <c r="F213" s="68" t="str">
        <f>+'LISTA TRABAJADORES'!E37</f>
        <v>31</v>
      </c>
      <c r="G213" s="379">
        <f>+'LISTA TRABAJADORES'!G37</f>
        <v>0</v>
      </c>
      <c r="H213" s="379"/>
      <c r="I213" s="379"/>
      <c r="J213" s="379"/>
      <c r="K213" s="67"/>
      <c r="L213" s="70"/>
      <c r="N213" s="69"/>
      <c r="O213" s="68" t="str">
        <f>+'LISTA TRABAJADORES'!E38</f>
        <v>32</v>
      </c>
      <c r="P213" s="379">
        <f>+'LISTA TRABAJADORES'!G38</f>
        <v>0</v>
      </c>
      <c r="Q213" s="379"/>
      <c r="R213" s="379"/>
      <c r="S213" s="379"/>
      <c r="T213" s="67"/>
      <c r="U213" s="70"/>
    </row>
    <row r="214" spans="5:21" x14ac:dyDescent="0.25">
      <c r="E214" s="71"/>
      <c r="F214" s="104"/>
      <c r="G214" s="104" t="s">
        <v>301</v>
      </c>
      <c r="H214" s="104"/>
      <c r="I214" s="104" t="s">
        <v>302</v>
      </c>
      <c r="J214" s="104"/>
      <c r="K214" s="104" t="s">
        <v>294</v>
      </c>
      <c r="L214" s="72"/>
      <c r="N214" s="71"/>
      <c r="O214" s="104"/>
      <c r="P214" s="104" t="s">
        <v>301</v>
      </c>
      <c r="Q214" s="104"/>
      <c r="R214" s="104" t="s">
        <v>302</v>
      </c>
      <c r="S214" s="104"/>
      <c r="T214" s="104" t="s">
        <v>294</v>
      </c>
      <c r="U214" s="72"/>
    </row>
    <row r="215" spans="5:21" x14ac:dyDescent="0.25">
      <c r="E215" s="127"/>
      <c r="F215" s="123" t="s">
        <v>303</v>
      </c>
      <c r="G215" s="53">
        <f>+IF('Datos y Resumen '!E60=1,'DATOS PARA AJUSTE'!H37,'ISR '!K38)</f>
        <v>0</v>
      </c>
      <c r="H215" s="123"/>
      <c r="I215" s="53">
        <f>+IF('Datos y Resumen '!E60=1,'ISR '!K38,0)</f>
        <v>0</v>
      </c>
      <c r="J215" s="123"/>
      <c r="K215" s="53">
        <f>+G215+I215</f>
        <v>0</v>
      </c>
      <c r="L215" s="128"/>
      <c r="N215" s="127"/>
      <c r="O215" s="123" t="s">
        <v>303</v>
      </c>
      <c r="P215" s="53">
        <f>+IF('Datos y Resumen '!E60=1,'DATOS PARA AJUSTE'!H38,'ISR '!K39)</f>
        <v>0</v>
      </c>
      <c r="Q215" s="123"/>
      <c r="R215" s="53">
        <f>+IF('Datos y Resumen '!E60=1,'ISR '!K39,0)</f>
        <v>0</v>
      </c>
      <c r="S215" s="123"/>
      <c r="T215" s="53">
        <f>+P215+R215</f>
        <v>0</v>
      </c>
      <c r="U215" s="128"/>
    </row>
    <row r="216" spans="5:21" x14ac:dyDescent="0.25">
      <c r="E216" s="127"/>
      <c r="F216" s="123" t="s">
        <v>295</v>
      </c>
      <c r="G216" s="53"/>
      <c r="H216" s="123"/>
      <c r="I216" s="53"/>
      <c r="J216" s="123"/>
      <c r="K216" s="53">
        <f>+IFERROR(VLOOKUP(K215,'TARIFAS 2025'!$D$168:$G$178,1,1),0)</f>
        <v>0</v>
      </c>
      <c r="L216" s="128"/>
      <c r="N216" s="127"/>
      <c r="O216" s="123" t="s">
        <v>295</v>
      </c>
      <c r="P216" s="53"/>
      <c r="Q216" s="123"/>
      <c r="R216" s="53"/>
      <c r="S216" s="123"/>
      <c r="T216" s="53">
        <f>+IFERROR(VLOOKUP(T215,'TARIFAS 2025'!$D$168:$G$178,1,1),0)</f>
        <v>0</v>
      </c>
      <c r="U216" s="128"/>
    </row>
    <row r="217" spans="5:21" x14ac:dyDescent="0.25">
      <c r="E217" s="127"/>
      <c r="F217" s="123" t="s">
        <v>296</v>
      </c>
      <c r="G217" s="53"/>
      <c r="H217" s="123"/>
      <c r="I217" s="53"/>
      <c r="J217" s="123"/>
      <c r="K217" s="53">
        <f>+K215-K216</f>
        <v>0</v>
      </c>
      <c r="L217" s="128"/>
      <c r="N217" s="127"/>
      <c r="O217" s="123" t="s">
        <v>296</v>
      </c>
      <c r="P217" s="53"/>
      <c r="Q217" s="123"/>
      <c r="R217" s="53"/>
      <c r="S217" s="123"/>
      <c r="T217" s="53">
        <f>+T215-T216</f>
        <v>0</v>
      </c>
      <c r="U217" s="128"/>
    </row>
    <row r="218" spans="5:21" s="133" customFormat="1" x14ac:dyDescent="0.25">
      <c r="E218" s="134"/>
      <c r="F218" s="135" t="s">
        <v>304</v>
      </c>
      <c r="G218" s="136"/>
      <c r="H218" s="135"/>
      <c r="I218" s="136"/>
      <c r="J218" s="135"/>
      <c r="K218" s="136">
        <f>+IFERROR(VLOOKUP(K215,'TARIFAS 2025'!$D$168:$G$178,4,1),0)</f>
        <v>0</v>
      </c>
      <c r="L218" s="137"/>
      <c r="N218" s="134"/>
      <c r="O218" s="135" t="s">
        <v>304</v>
      </c>
      <c r="P218" s="136"/>
      <c r="Q218" s="135"/>
      <c r="R218" s="136"/>
      <c r="S218" s="135"/>
      <c r="T218" s="136">
        <f>+IFERROR(VLOOKUP(T215,'TARIFAS 2025'!$D$168:$G$178,4,1),0)</f>
        <v>0</v>
      </c>
      <c r="U218" s="137"/>
    </row>
    <row r="219" spans="5:21" x14ac:dyDescent="0.25">
      <c r="E219" s="127"/>
      <c r="F219" s="123" t="s">
        <v>297</v>
      </c>
      <c r="G219" s="53"/>
      <c r="H219" s="123"/>
      <c r="I219" s="53"/>
      <c r="J219" s="123"/>
      <c r="K219" s="53">
        <f>+K217*K218</f>
        <v>0</v>
      </c>
      <c r="L219" s="128"/>
      <c r="N219" s="127"/>
      <c r="O219" s="123" t="s">
        <v>297</v>
      </c>
      <c r="P219" s="53"/>
      <c r="Q219" s="123"/>
      <c r="R219" s="53"/>
      <c r="S219" s="123"/>
      <c r="T219" s="53">
        <f>+T217*T218</f>
        <v>0</v>
      </c>
      <c r="U219" s="128"/>
    </row>
    <row r="220" spans="5:21" x14ac:dyDescent="0.25">
      <c r="E220" s="127"/>
      <c r="F220" s="123" t="s">
        <v>305</v>
      </c>
      <c r="G220" s="53"/>
      <c r="H220" s="123"/>
      <c r="I220" s="53"/>
      <c r="J220" s="123"/>
      <c r="K220" s="53">
        <f>+IFERROR(VLOOKUP(K215,'TARIFAS 2025'!D$168:$G$178,3,1),0)</f>
        <v>0</v>
      </c>
      <c r="L220" s="128"/>
      <c r="N220" s="127"/>
      <c r="O220" s="123" t="s">
        <v>305</v>
      </c>
      <c r="P220" s="53"/>
      <c r="Q220" s="123"/>
      <c r="R220" s="53"/>
      <c r="S220" s="123"/>
      <c r="T220" s="53">
        <f>+IFERROR(VLOOKUP(T215,'TARIFAS 2025'!D$168:$G$178,3,1),0)</f>
        <v>0</v>
      </c>
      <c r="U220" s="128"/>
    </row>
    <row r="221" spans="5:21" x14ac:dyDescent="0.25">
      <c r="E221" s="127"/>
      <c r="F221" s="123" t="s">
        <v>306</v>
      </c>
      <c r="G221" s="53">
        <f>+IF('Datos y Resumen '!E60=1,'DATOS PARA AJUSTE'!I37,'ISR '!Q38)</f>
        <v>0</v>
      </c>
      <c r="H221" s="123"/>
      <c r="I221" s="53">
        <f>+IF('Datos y Resumen '!E60=1,K221-G221,0)</f>
        <v>0</v>
      </c>
      <c r="J221" s="123"/>
      <c r="K221" s="53">
        <f>+K219+K220</f>
        <v>0</v>
      </c>
      <c r="L221" s="128"/>
      <c r="N221" s="127"/>
      <c r="O221" s="123" t="s">
        <v>306</v>
      </c>
      <c r="P221" s="53">
        <f>+IF('Datos y Resumen '!E60=1,'DATOS PARA AJUSTE'!I38,'ISR '!Q39)</f>
        <v>0</v>
      </c>
      <c r="Q221" s="123"/>
      <c r="R221" s="53">
        <f>+IF('Datos y Resumen '!E60=1,T221-P221,0)</f>
        <v>0</v>
      </c>
      <c r="S221" s="123"/>
      <c r="T221" s="53">
        <f>+T219+T220</f>
        <v>0</v>
      </c>
      <c r="U221" s="128"/>
    </row>
    <row r="222" spans="5:21" x14ac:dyDescent="0.25">
      <c r="E222" s="127"/>
      <c r="F222" s="123" t="s">
        <v>307</v>
      </c>
      <c r="G222" s="53">
        <f>+IF('Datos y Resumen '!E60=1,'DATOS PARA AJUSTE'!J37,'ISR '!R38)</f>
        <v>0</v>
      </c>
      <c r="H222" s="123"/>
      <c r="I222" s="53">
        <f>IF('Datos y Resumen '!E60=1,IF(K222&gt;=G222,K222-G222,0),0)</f>
        <v>0</v>
      </c>
      <c r="J222" s="123"/>
      <c r="K222" s="53">
        <f>+IFERROR(VLOOKUP(K215,'TARIFAS 2025'!$J$168:$L$178,3,1),0)</f>
        <v>0</v>
      </c>
      <c r="L222" s="128"/>
      <c r="N222" s="127"/>
      <c r="O222" s="123" t="s">
        <v>307</v>
      </c>
      <c r="P222" s="53">
        <f>+IF('Datos y Resumen '!E60=1,'DATOS PARA AJUSTE'!J38,'ISR '!R39)</f>
        <v>0</v>
      </c>
      <c r="Q222" s="123"/>
      <c r="R222" s="53">
        <f>IF('Datos y Resumen '!E60=1,IF(T222&gt;=P222,T222-P222,0),0)</f>
        <v>0</v>
      </c>
      <c r="S222" s="123"/>
      <c r="T222" s="53">
        <f>+IFERROR(VLOOKUP(T215,'TARIFAS 2025'!$J$168:$L$178,3,1),0)</f>
        <v>0</v>
      </c>
      <c r="U222" s="128"/>
    </row>
    <row r="223" spans="5:21" x14ac:dyDescent="0.25">
      <c r="E223" s="127"/>
      <c r="F223" s="123" t="s">
        <v>298</v>
      </c>
      <c r="G223" s="53">
        <f>+IF('Datos y Resumen '!E60=1,'DATOS PARA AJUSTE'!K37,'ISR '!S38)</f>
        <v>0</v>
      </c>
      <c r="H223" s="123"/>
      <c r="I223" s="53">
        <f>+IF(I221&gt;=I222,I221-I222,0)</f>
        <v>0</v>
      </c>
      <c r="J223" s="123"/>
      <c r="K223" s="53">
        <f>+IF(K221&gt;=K222,K221-K222,0)</f>
        <v>0</v>
      </c>
      <c r="L223" s="128"/>
      <c r="N223" s="127"/>
      <c r="O223" s="123" t="s">
        <v>298</v>
      </c>
      <c r="P223" s="53">
        <f>+IF('Datos y Resumen '!E60=1,'DATOS PARA AJUSTE'!K38,'ISR '!S39)</f>
        <v>0</v>
      </c>
      <c r="Q223" s="123"/>
      <c r="R223" s="53">
        <f>+IF(R221&gt;=R222,R221-R222,0)</f>
        <v>0</v>
      </c>
      <c r="S223" s="123"/>
      <c r="T223" s="53">
        <f>+IF(T221&gt;=T222,T221-T222,0)</f>
        <v>0</v>
      </c>
      <c r="U223" s="128"/>
    </row>
    <row r="224" spans="5:21" ht="16.5" thickBot="1" x14ac:dyDescent="0.3">
      <c r="E224" s="129"/>
      <c r="F224" s="130" t="s">
        <v>299</v>
      </c>
      <c r="G224" s="131">
        <f>+IF('Datos y Resumen '!E60=1,'DATOS PARA AJUSTE'!L37,'ISR '!T38)</f>
        <v>0</v>
      </c>
      <c r="H224" s="130"/>
      <c r="I224" s="131">
        <f>+IF(I222&gt;=I221,I222-I221,0)</f>
        <v>0</v>
      </c>
      <c r="J224" s="130"/>
      <c r="K224" s="131">
        <f>+IF(K222&gt;=K221,K222-K221,0)</f>
        <v>0</v>
      </c>
      <c r="L224" s="132"/>
      <c r="N224" s="129"/>
      <c r="O224" s="130" t="s">
        <v>299</v>
      </c>
      <c r="P224" s="131">
        <f>+IF('Datos y Resumen '!E60=1,'DATOS PARA AJUSTE'!L38,'ISR '!T39)</f>
        <v>0</v>
      </c>
      <c r="Q224" s="130"/>
      <c r="R224" s="131">
        <f>+IF(R222&gt;=R221,R222-R221,0)</f>
        <v>0</v>
      </c>
      <c r="S224" s="130"/>
      <c r="T224" s="131">
        <f>+IF(T222&gt;=T221,T222-T221,0)</f>
        <v>0</v>
      </c>
      <c r="U224" s="132"/>
    </row>
    <row r="225" spans="5:21" ht="16.5" thickBot="1" x14ac:dyDescent="0.3"/>
    <row r="226" spans="5:21" ht="23.25" x14ac:dyDescent="0.25">
      <c r="E226" s="380" t="s">
        <v>300</v>
      </c>
      <c r="F226" s="381"/>
      <c r="G226" s="381"/>
      <c r="H226" s="381"/>
      <c r="I226" s="381"/>
      <c r="J226" s="381"/>
      <c r="K226" s="381"/>
      <c r="L226" s="382"/>
      <c r="N226" s="380" t="s">
        <v>300</v>
      </c>
      <c r="O226" s="381"/>
      <c r="P226" s="381"/>
      <c r="Q226" s="381"/>
      <c r="R226" s="381"/>
      <c r="S226" s="381"/>
      <c r="T226" s="381"/>
      <c r="U226" s="382"/>
    </row>
    <row r="227" spans="5:21" ht="16.5" x14ac:dyDescent="0.25">
      <c r="E227" s="69"/>
      <c r="F227" s="68" t="str">
        <f>+'LISTA TRABAJADORES'!E39</f>
        <v>33</v>
      </c>
      <c r="G227" s="379">
        <f>+'LISTA TRABAJADORES'!G39</f>
        <v>0</v>
      </c>
      <c r="H227" s="379"/>
      <c r="I227" s="379"/>
      <c r="J227" s="379"/>
      <c r="K227" s="67"/>
      <c r="L227" s="70"/>
      <c r="N227" s="69"/>
      <c r="O227" s="68" t="str">
        <f>+'LISTA TRABAJADORES'!E40</f>
        <v>34</v>
      </c>
      <c r="P227" s="379">
        <f>+'LISTA TRABAJADORES'!G40</f>
        <v>0</v>
      </c>
      <c r="Q227" s="379"/>
      <c r="R227" s="379"/>
      <c r="S227" s="379"/>
      <c r="T227" s="67"/>
      <c r="U227" s="70"/>
    </row>
    <row r="228" spans="5:21" x14ac:dyDescent="0.25">
      <c r="E228" s="71"/>
      <c r="F228" s="104"/>
      <c r="G228" s="104" t="s">
        <v>301</v>
      </c>
      <c r="H228" s="104"/>
      <c r="I228" s="104" t="s">
        <v>302</v>
      </c>
      <c r="J228" s="104"/>
      <c r="K228" s="104" t="s">
        <v>294</v>
      </c>
      <c r="L228" s="72"/>
      <c r="N228" s="71"/>
      <c r="O228" s="104"/>
      <c r="P228" s="104" t="s">
        <v>301</v>
      </c>
      <c r="Q228" s="104"/>
      <c r="R228" s="104" t="s">
        <v>302</v>
      </c>
      <c r="S228" s="104"/>
      <c r="T228" s="104" t="s">
        <v>294</v>
      </c>
      <c r="U228" s="72"/>
    </row>
    <row r="229" spans="5:21" x14ac:dyDescent="0.25">
      <c r="E229" s="127"/>
      <c r="F229" s="123" t="s">
        <v>303</v>
      </c>
      <c r="G229" s="53">
        <f>+IF('Datos y Resumen '!E60=1,'DATOS PARA AJUSTE'!H39,'ISR '!K40)</f>
        <v>0</v>
      </c>
      <c r="H229" s="123"/>
      <c r="I229" s="53">
        <f>+IF('Datos y Resumen '!E60=1,'ISR '!K40,0)</f>
        <v>0</v>
      </c>
      <c r="J229" s="123"/>
      <c r="K229" s="53">
        <f>+G229+I229</f>
        <v>0</v>
      </c>
      <c r="L229" s="128"/>
      <c r="N229" s="127"/>
      <c r="O229" s="123" t="s">
        <v>303</v>
      </c>
      <c r="P229" s="53">
        <f>+IF('Datos y Resumen '!E60=1,'DATOS PARA AJUSTE'!H40,'ISR '!K41)</f>
        <v>0</v>
      </c>
      <c r="Q229" s="123"/>
      <c r="R229" s="53">
        <f>+IF('Datos y Resumen '!E60=1,'ISR '!K41,0)</f>
        <v>0</v>
      </c>
      <c r="S229" s="123"/>
      <c r="T229" s="53">
        <f>+P229+R229</f>
        <v>0</v>
      </c>
      <c r="U229" s="128"/>
    </row>
    <row r="230" spans="5:21" x14ac:dyDescent="0.25">
      <c r="E230" s="127"/>
      <c r="F230" s="123" t="s">
        <v>295</v>
      </c>
      <c r="G230" s="53"/>
      <c r="H230" s="123"/>
      <c r="I230" s="53"/>
      <c r="J230" s="123"/>
      <c r="K230" s="53">
        <f>+IFERROR(VLOOKUP(K229,'TARIFAS 2025'!$D$168:$G$178,1,1),0)</f>
        <v>0</v>
      </c>
      <c r="L230" s="128"/>
      <c r="N230" s="127"/>
      <c r="O230" s="123" t="s">
        <v>295</v>
      </c>
      <c r="P230" s="53"/>
      <c r="Q230" s="123"/>
      <c r="R230" s="53"/>
      <c r="S230" s="123"/>
      <c r="T230" s="53">
        <f>+IFERROR(VLOOKUP(T229,'TARIFAS 2025'!$D$168:$G$178,1,1),0)</f>
        <v>0</v>
      </c>
      <c r="U230" s="128"/>
    </row>
    <row r="231" spans="5:21" x14ac:dyDescent="0.25">
      <c r="E231" s="127"/>
      <c r="F231" s="123" t="s">
        <v>296</v>
      </c>
      <c r="G231" s="53"/>
      <c r="H231" s="123"/>
      <c r="I231" s="53"/>
      <c r="J231" s="123"/>
      <c r="K231" s="53">
        <f>+K229-K230</f>
        <v>0</v>
      </c>
      <c r="L231" s="128"/>
      <c r="N231" s="127"/>
      <c r="O231" s="123" t="s">
        <v>296</v>
      </c>
      <c r="P231" s="53"/>
      <c r="Q231" s="123"/>
      <c r="R231" s="53"/>
      <c r="S231" s="123"/>
      <c r="T231" s="53">
        <f>+T229-T230</f>
        <v>0</v>
      </c>
      <c r="U231" s="128"/>
    </row>
    <row r="232" spans="5:21" s="133" customFormat="1" x14ac:dyDescent="0.25">
      <c r="E232" s="134"/>
      <c r="F232" s="135" t="s">
        <v>304</v>
      </c>
      <c r="G232" s="136"/>
      <c r="H232" s="135"/>
      <c r="I232" s="136"/>
      <c r="J232" s="135"/>
      <c r="K232" s="136">
        <f>+IFERROR(VLOOKUP(K229,'TARIFAS 2025'!$D$168:$G$178,4,1),0)</f>
        <v>0</v>
      </c>
      <c r="L232" s="137"/>
      <c r="N232" s="134"/>
      <c r="O232" s="135" t="s">
        <v>304</v>
      </c>
      <c r="P232" s="136"/>
      <c r="Q232" s="135"/>
      <c r="R232" s="136"/>
      <c r="S232" s="135"/>
      <c r="T232" s="136">
        <f>+IFERROR(VLOOKUP(T229,'TARIFAS 2025'!$D$168:$G$178,4,1),0)</f>
        <v>0</v>
      </c>
      <c r="U232" s="137"/>
    </row>
    <row r="233" spans="5:21" x14ac:dyDescent="0.25">
      <c r="E233" s="127"/>
      <c r="F233" s="123" t="s">
        <v>297</v>
      </c>
      <c r="G233" s="53"/>
      <c r="H233" s="123"/>
      <c r="I233" s="53"/>
      <c r="J233" s="123"/>
      <c r="K233" s="53">
        <f>+K231*K232</f>
        <v>0</v>
      </c>
      <c r="L233" s="128"/>
      <c r="N233" s="127"/>
      <c r="O233" s="123" t="s">
        <v>297</v>
      </c>
      <c r="P233" s="53"/>
      <c r="Q233" s="123"/>
      <c r="R233" s="53"/>
      <c r="S233" s="123"/>
      <c r="T233" s="53">
        <f>+T231*T232</f>
        <v>0</v>
      </c>
      <c r="U233" s="128"/>
    </row>
    <row r="234" spans="5:21" x14ac:dyDescent="0.25">
      <c r="E234" s="127"/>
      <c r="F234" s="123" t="s">
        <v>305</v>
      </c>
      <c r="G234" s="53"/>
      <c r="H234" s="123"/>
      <c r="I234" s="53"/>
      <c r="J234" s="123"/>
      <c r="K234" s="53">
        <f>+IFERROR(VLOOKUP(K229,'TARIFAS 2025'!D$168:$G$178,3,1),0)</f>
        <v>0</v>
      </c>
      <c r="L234" s="128"/>
      <c r="N234" s="127"/>
      <c r="O234" s="123" t="s">
        <v>305</v>
      </c>
      <c r="P234" s="53"/>
      <c r="Q234" s="123"/>
      <c r="R234" s="53"/>
      <c r="S234" s="123"/>
      <c r="T234" s="53">
        <f>+IFERROR(VLOOKUP(T229,'TARIFAS 2025'!D$168:$G$178,3,1),0)</f>
        <v>0</v>
      </c>
      <c r="U234" s="128"/>
    </row>
    <row r="235" spans="5:21" x14ac:dyDescent="0.25">
      <c r="E235" s="127"/>
      <c r="F235" s="123" t="s">
        <v>306</v>
      </c>
      <c r="G235" s="53">
        <f>+IF('Datos y Resumen '!E60=1,'DATOS PARA AJUSTE'!I39,'ISR '!Q40)</f>
        <v>0</v>
      </c>
      <c r="H235" s="123"/>
      <c r="I235" s="53">
        <f>+IF('Datos y Resumen '!E60=1,K235-G235,0)</f>
        <v>0</v>
      </c>
      <c r="J235" s="123"/>
      <c r="K235" s="53">
        <f>+K233+K234</f>
        <v>0</v>
      </c>
      <c r="L235" s="128"/>
      <c r="N235" s="127"/>
      <c r="O235" s="123" t="s">
        <v>306</v>
      </c>
      <c r="P235" s="53">
        <f>+IF('Datos y Resumen '!E60=1,'DATOS PARA AJUSTE'!I40,'ISR '!Q41)</f>
        <v>0</v>
      </c>
      <c r="Q235" s="123"/>
      <c r="R235" s="53">
        <f>+IF('Datos y Resumen '!E60=1,T235-P235,0)</f>
        <v>0</v>
      </c>
      <c r="S235" s="123"/>
      <c r="T235" s="53">
        <f>+T233+T234</f>
        <v>0</v>
      </c>
      <c r="U235" s="128"/>
    </row>
    <row r="236" spans="5:21" x14ac:dyDescent="0.25">
      <c r="E236" s="127"/>
      <c r="F236" s="123" t="s">
        <v>307</v>
      </c>
      <c r="G236" s="53">
        <f>+IF('Datos y Resumen '!E60=1,'DATOS PARA AJUSTE'!J39,'ISR '!R40)</f>
        <v>0</v>
      </c>
      <c r="H236" s="123"/>
      <c r="I236" s="53">
        <f>IF('Datos y Resumen '!E60=1,IF(K236&gt;=G236,K236-G236,0),0)</f>
        <v>0</v>
      </c>
      <c r="J236" s="123"/>
      <c r="K236" s="53">
        <f>+IFERROR(VLOOKUP(K229,'TARIFAS 2025'!$J$168:$L$178,3,1),0)</f>
        <v>0</v>
      </c>
      <c r="L236" s="128"/>
      <c r="N236" s="127"/>
      <c r="O236" s="123" t="s">
        <v>307</v>
      </c>
      <c r="P236" s="53">
        <f>+IF('Datos y Resumen '!E60=1,'DATOS PARA AJUSTE'!J40,'ISR '!R41)</f>
        <v>0</v>
      </c>
      <c r="Q236" s="123"/>
      <c r="R236" s="53">
        <f>IF('Datos y Resumen '!E60=1,IF(T236&gt;=P236,T236-P236,0),0)</f>
        <v>0</v>
      </c>
      <c r="S236" s="123"/>
      <c r="T236" s="53">
        <f>+IFERROR(VLOOKUP(T229,'TARIFAS 2025'!$J$168:$L$178,3,1),0)</f>
        <v>0</v>
      </c>
      <c r="U236" s="128"/>
    </row>
    <row r="237" spans="5:21" x14ac:dyDescent="0.25">
      <c r="E237" s="127"/>
      <c r="F237" s="123" t="s">
        <v>298</v>
      </c>
      <c r="G237" s="53">
        <f>+IF('Datos y Resumen '!E60=1,'DATOS PARA AJUSTE'!K39,'ISR '!S40)</f>
        <v>0</v>
      </c>
      <c r="H237" s="123"/>
      <c r="I237" s="53">
        <f>+IF(I235&gt;=I236,I235-I236,0)</f>
        <v>0</v>
      </c>
      <c r="J237" s="123"/>
      <c r="K237" s="53">
        <f>+IF(K235&gt;=K236,K235-K236,0)</f>
        <v>0</v>
      </c>
      <c r="L237" s="128"/>
      <c r="N237" s="127"/>
      <c r="O237" s="123" t="s">
        <v>298</v>
      </c>
      <c r="P237" s="53">
        <f>+IF('Datos y Resumen '!E60=1,'DATOS PARA AJUSTE'!K40,'ISR '!S41)</f>
        <v>0</v>
      </c>
      <c r="Q237" s="123"/>
      <c r="R237" s="53">
        <f>+IF(R235&gt;=R236,R235-R236,0)</f>
        <v>0</v>
      </c>
      <c r="S237" s="123"/>
      <c r="T237" s="53">
        <f>+IF(T235&gt;=T236,T235-T236,0)</f>
        <v>0</v>
      </c>
      <c r="U237" s="128"/>
    </row>
    <row r="238" spans="5:21" ht="16.5" thickBot="1" x14ac:dyDescent="0.3">
      <c r="E238" s="129"/>
      <c r="F238" s="130" t="s">
        <v>299</v>
      </c>
      <c r="G238" s="131">
        <f>+IF('Datos y Resumen '!E60=1,'DATOS PARA AJUSTE'!L39,'ISR '!T40)</f>
        <v>0</v>
      </c>
      <c r="H238" s="130"/>
      <c r="I238" s="131">
        <f>+IF(I236&gt;=I235,I236-I235,0)</f>
        <v>0</v>
      </c>
      <c r="J238" s="130"/>
      <c r="K238" s="131">
        <f>+IF(K236&gt;=K235,K236-K235,0)</f>
        <v>0</v>
      </c>
      <c r="L238" s="132"/>
      <c r="N238" s="129"/>
      <c r="O238" s="130" t="s">
        <v>299</v>
      </c>
      <c r="P238" s="131">
        <f>+IF('Datos y Resumen '!E60=1,'DATOS PARA AJUSTE'!L40,'ISR '!T41)</f>
        <v>0</v>
      </c>
      <c r="Q238" s="130"/>
      <c r="R238" s="131">
        <f>+IF(R236&gt;=R235,R236-R235,0)</f>
        <v>0</v>
      </c>
      <c r="S238" s="130"/>
      <c r="T238" s="131">
        <f>+IF(T236&gt;=T235,T236-T235,0)</f>
        <v>0</v>
      </c>
      <c r="U238" s="132"/>
    </row>
    <row r="239" spans="5:21" ht="16.5" thickBot="1" x14ac:dyDescent="0.3"/>
    <row r="240" spans="5:21" ht="23.25" x14ac:dyDescent="0.25">
      <c r="E240" s="380" t="s">
        <v>300</v>
      </c>
      <c r="F240" s="381"/>
      <c r="G240" s="381"/>
      <c r="H240" s="381"/>
      <c r="I240" s="381"/>
      <c r="J240" s="381"/>
      <c r="K240" s="381"/>
      <c r="L240" s="382"/>
      <c r="N240" s="380" t="s">
        <v>300</v>
      </c>
      <c r="O240" s="381"/>
      <c r="P240" s="381"/>
      <c r="Q240" s="381"/>
      <c r="R240" s="381"/>
      <c r="S240" s="381"/>
      <c r="T240" s="381"/>
      <c r="U240" s="382"/>
    </row>
    <row r="241" spans="5:21" ht="16.5" x14ac:dyDescent="0.25">
      <c r="E241" s="69"/>
      <c r="F241" s="68" t="str">
        <f>+'LISTA TRABAJADORES'!E41</f>
        <v>35</v>
      </c>
      <c r="G241" s="379">
        <f>+'LISTA TRABAJADORES'!G41</f>
        <v>0</v>
      </c>
      <c r="H241" s="379"/>
      <c r="I241" s="379"/>
      <c r="J241" s="379"/>
      <c r="K241" s="67"/>
      <c r="L241" s="70"/>
      <c r="N241" s="69"/>
      <c r="O241" s="68" t="str">
        <f>+'LISTA TRABAJADORES'!E42</f>
        <v>36</v>
      </c>
      <c r="P241" s="379">
        <f>+'LISTA TRABAJADORES'!G42</f>
        <v>0</v>
      </c>
      <c r="Q241" s="379"/>
      <c r="R241" s="379"/>
      <c r="S241" s="379"/>
      <c r="T241" s="67"/>
      <c r="U241" s="70"/>
    </row>
    <row r="242" spans="5:21" x14ac:dyDescent="0.25">
      <c r="E242" s="71"/>
      <c r="F242" s="104"/>
      <c r="G242" s="104" t="s">
        <v>301</v>
      </c>
      <c r="H242" s="104"/>
      <c r="I242" s="104" t="s">
        <v>302</v>
      </c>
      <c r="J242" s="104"/>
      <c r="K242" s="104" t="s">
        <v>294</v>
      </c>
      <c r="L242" s="72"/>
      <c r="N242" s="71"/>
      <c r="O242" s="104"/>
      <c r="P242" s="104" t="s">
        <v>301</v>
      </c>
      <c r="Q242" s="104"/>
      <c r="R242" s="104" t="s">
        <v>302</v>
      </c>
      <c r="S242" s="104"/>
      <c r="T242" s="104" t="s">
        <v>294</v>
      </c>
      <c r="U242" s="72"/>
    </row>
    <row r="243" spans="5:21" x14ac:dyDescent="0.25">
      <c r="E243" s="127"/>
      <c r="F243" s="123" t="s">
        <v>303</v>
      </c>
      <c r="G243" s="53">
        <f>+IF('Datos y Resumen '!E60=1,'DATOS PARA AJUSTE'!H41,'ISR '!K42)</f>
        <v>0</v>
      </c>
      <c r="H243" s="123"/>
      <c r="I243" s="53">
        <f>+IF('Datos y Resumen '!E60=1,'ISR '!K42,0)</f>
        <v>0</v>
      </c>
      <c r="J243" s="123"/>
      <c r="K243" s="53">
        <f>+G243+I243</f>
        <v>0</v>
      </c>
      <c r="L243" s="128"/>
      <c r="N243" s="127"/>
      <c r="O243" s="123" t="s">
        <v>303</v>
      </c>
      <c r="P243" s="53">
        <f>+IF('Datos y Resumen '!E60=1,'DATOS PARA AJUSTE'!H42,'ISR '!K43)</f>
        <v>0</v>
      </c>
      <c r="Q243" s="123"/>
      <c r="R243" s="53">
        <f>+IF('Datos y Resumen '!E60=1,'ISR '!K43,0)</f>
        <v>0</v>
      </c>
      <c r="S243" s="123"/>
      <c r="T243" s="53">
        <f>+P243+R243</f>
        <v>0</v>
      </c>
      <c r="U243" s="128"/>
    </row>
    <row r="244" spans="5:21" x14ac:dyDescent="0.25">
      <c r="E244" s="127"/>
      <c r="F244" s="123" t="s">
        <v>295</v>
      </c>
      <c r="G244" s="53"/>
      <c r="H244" s="123"/>
      <c r="I244" s="53"/>
      <c r="J244" s="123"/>
      <c r="K244" s="53">
        <f>+IFERROR(VLOOKUP(K243,'TARIFAS 2025'!$D$168:$G$178,1,1),0)</f>
        <v>0</v>
      </c>
      <c r="L244" s="128"/>
      <c r="N244" s="127"/>
      <c r="O244" s="123" t="s">
        <v>295</v>
      </c>
      <c r="P244" s="53"/>
      <c r="Q244" s="123"/>
      <c r="R244" s="53"/>
      <c r="S244" s="123"/>
      <c r="T244" s="53">
        <f>+IFERROR(VLOOKUP(T243,'TARIFAS 2025'!$D$168:$G$178,1,1),0)</f>
        <v>0</v>
      </c>
      <c r="U244" s="128"/>
    </row>
    <row r="245" spans="5:21" x14ac:dyDescent="0.25">
      <c r="E245" s="127"/>
      <c r="F245" s="123" t="s">
        <v>296</v>
      </c>
      <c r="G245" s="53"/>
      <c r="H245" s="123"/>
      <c r="I245" s="53"/>
      <c r="J245" s="123"/>
      <c r="K245" s="53">
        <f>+K243-K244</f>
        <v>0</v>
      </c>
      <c r="L245" s="128"/>
      <c r="N245" s="127"/>
      <c r="O245" s="123" t="s">
        <v>296</v>
      </c>
      <c r="P245" s="53"/>
      <c r="Q245" s="123"/>
      <c r="R245" s="53"/>
      <c r="S245" s="123"/>
      <c r="T245" s="53">
        <f>+T243-T244</f>
        <v>0</v>
      </c>
      <c r="U245" s="128"/>
    </row>
    <row r="246" spans="5:21" s="133" customFormat="1" x14ac:dyDescent="0.25">
      <c r="E246" s="134"/>
      <c r="F246" s="135" t="s">
        <v>304</v>
      </c>
      <c r="G246" s="136"/>
      <c r="H246" s="135"/>
      <c r="I246" s="136"/>
      <c r="J246" s="135"/>
      <c r="K246" s="136">
        <f>+IFERROR(VLOOKUP(K243,'TARIFAS 2025'!$D$168:$G$178,4,1),0)</f>
        <v>0</v>
      </c>
      <c r="L246" s="137"/>
      <c r="N246" s="134"/>
      <c r="O246" s="135" t="s">
        <v>304</v>
      </c>
      <c r="P246" s="136"/>
      <c r="Q246" s="135"/>
      <c r="R246" s="136"/>
      <c r="S246" s="135"/>
      <c r="T246" s="136">
        <f>+IFERROR(VLOOKUP(T243,'TARIFAS 2025'!$D$168:$G$178,4,1),0)</f>
        <v>0</v>
      </c>
      <c r="U246" s="137"/>
    </row>
    <row r="247" spans="5:21" x14ac:dyDescent="0.25">
      <c r="E247" s="127"/>
      <c r="F247" s="123" t="s">
        <v>297</v>
      </c>
      <c r="G247" s="53"/>
      <c r="H247" s="123"/>
      <c r="I247" s="53"/>
      <c r="J247" s="123"/>
      <c r="K247" s="53">
        <f>+K245*K246</f>
        <v>0</v>
      </c>
      <c r="L247" s="128"/>
      <c r="N247" s="127"/>
      <c r="O247" s="123" t="s">
        <v>297</v>
      </c>
      <c r="P247" s="53"/>
      <c r="Q247" s="123"/>
      <c r="R247" s="53"/>
      <c r="S247" s="123"/>
      <c r="T247" s="53">
        <f>+T245*T246</f>
        <v>0</v>
      </c>
      <c r="U247" s="128"/>
    </row>
    <row r="248" spans="5:21" x14ac:dyDescent="0.25">
      <c r="E248" s="127"/>
      <c r="F248" s="123" t="s">
        <v>305</v>
      </c>
      <c r="G248" s="53"/>
      <c r="H248" s="123"/>
      <c r="I248" s="53"/>
      <c r="J248" s="123"/>
      <c r="K248" s="53">
        <f>+IFERROR(VLOOKUP(K243,'TARIFAS 2025'!D$168:$G$178,3,1),0)</f>
        <v>0</v>
      </c>
      <c r="L248" s="128"/>
      <c r="N248" s="127"/>
      <c r="O248" s="123" t="s">
        <v>305</v>
      </c>
      <c r="P248" s="53"/>
      <c r="Q248" s="123"/>
      <c r="R248" s="53"/>
      <c r="S248" s="123"/>
      <c r="T248" s="53">
        <f>+IFERROR(VLOOKUP(T243,'TARIFAS 2025'!D$168:$G$178,3,1),0)</f>
        <v>0</v>
      </c>
      <c r="U248" s="128"/>
    </row>
    <row r="249" spans="5:21" x14ac:dyDescent="0.25">
      <c r="E249" s="127"/>
      <c r="F249" s="123" t="s">
        <v>306</v>
      </c>
      <c r="G249" s="53">
        <f>+IF('Datos y Resumen '!E60=1,'DATOS PARA AJUSTE'!I41,'ISR '!Q42)</f>
        <v>0</v>
      </c>
      <c r="H249" s="123"/>
      <c r="I249" s="53">
        <f>+IF('Datos y Resumen '!E60=1,K249-G249,0)</f>
        <v>0</v>
      </c>
      <c r="J249" s="123"/>
      <c r="K249" s="53">
        <f>+K247+K248</f>
        <v>0</v>
      </c>
      <c r="L249" s="128"/>
      <c r="N249" s="127"/>
      <c r="O249" s="123" t="s">
        <v>306</v>
      </c>
      <c r="P249" s="53">
        <f>+IF('Datos y Resumen '!E60=1,'DATOS PARA AJUSTE'!I42,'ISR '!Q43)</f>
        <v>0</v>
      </c>
      <c r="Q249" s="123"/>
      <c r="R249" s="53">
        <f>+IF('Datos y Resumen '!E60=1,T249-P249,0)</f>
        <v>0</v>
      </c>
      <c r="S249" s="123"/>
      <c r="T249" s="53">
        <f>+T247+T248</f>
        <v>0</v>
      </c>
      <c r="U249" s="128"/>
    </row>
    <row r="250" spans="5:21" x14ac:dyDescent="0.25">
      <c r="E250" s="127"/>
      <c r="F250" s="123" t="s">
        <v>307</v>
      </c>
      <c r="G250" s="53">
        <f>+IF('Datos y Resumen '!E60=1,'DATOS PARA AJUSTE'!J41,'ISR '!R42)</f>
        <v>0</v>
      </c>
      <c r="H250" s="123"/>
      <c r="I250" s="53">
        <f>IF('Datos y Resumen '!E60=1,IF(K250&gt;=G250,K250-G250,0),0)</f>
        <v>0</v>
      </c>
      <c r="J250" s="123"/>
      <c r="K250" s="53">
        <f>+IFERROR(VLOOKUP(K243,'TARIFAS 2025'!$J$168:$L$178,3,1),0)</f>
        <v>0</v>
      </c>
      <c r="L250" s="128"/>
      <c r="N250" s="127"/>
      <c r="O250" s="123" t="s">
        <v>307</v>
      </c>
      <c r="P250" s="53">
        <f>+IF('Datos y Resumen '!E60=1,'DATOS PARA AJUSTE'!J42,'ISR '!R43)</f>
        <v>0</v>
      </c>
      <c r="Q250" s="123"/>
      <c r="R250" s="53">
        <f>IF('Datos y Resumen '!E60=1,IF(T250&gt;=P250,T250-P250,0),0)</f>
        <v>0</v>
      </c>
      <c r="S250" s="123"/>
      <c r="T250" s="53">
        <f>+IFERROR(VLOOKUP(T243,'TARIFAS 2025'!$J$168:$L$178,3,1),0)</f>
        <v>0</v>
      </c>
      <c r="U250" s="128"/>
    </row>
    <row r="251" spans="5:21" x14ac:dyDescent="0.25">
      <c r="E251" s="127"/>
      <c r="F251" s="123" t="s">
        <v>298</v>
      </c>
      <c r="G251" s="53">
        <f>+IF('Datos y Resumen '!E60=1,'DATOS PARA AJUSTE'!K41,'ISR '!S42)</f>
        <v>0</v>
      </c>
      <c r="H251" s="123"/>
      <c r="I251" s="53">
        <f>+IF(I249&gt;=I250,I249-I250,0)</f>
        <v>0</v>
      </c>
      <c r="J251" s="123"/>
      <c r="K251" s="53">
        <f>+IF(K249&gt;=K250,K249-K250,0)</f>
        <v>0</v>
      </c>
      <c r="L251" s="128"/>
      <c r="N251" s="127"/>
      <c r="O251" s="123" t="s">
        <v>298</v>
      </c>
      <c r="P251" s="53">
        <f>+IF('Datos y Resumen '!E60=1,'DATOS PARA AJUSTE'!K42,'ISR '!S43)</f>
        <v>0</v>
      </c>
      <c r="Q251" s="123"/>
      <c r="R251" s="53">
        <f>+IF(R249&gt;=R250,R249-R250,0)</f>
        <v>0</v>
      </c>
      <c r="S251" s="123"/>
      <c r="T251" s="53">
        <f>+IF(T249&gt;=T250,T249-T250,0)</f>
        <v>0</v>
      </c>
      <c r="U251" s="128"/>
    </row>
    <row r="252" spans="5:21" ht="16.5" thickBot="1" x14ac:dyDescent="0.3">
      <c r="E252" s="129"/>
      <c r="F252" s="130" t="s">
        <v>299</v>
      </c>
      <c r="G252" s="131">
        <f>+IF('Datos y Resumen '!E60=1,'DATOS PARA AJUSTE'!L41,'ISR '!T42)</f>
        <v>0</v>
      </c>
      <c r="H252" s="130"/>
      <c r="I252" s="131">
        <f>+IF(I250&gt;=I249,I250-I249,0)</f>
        <v>0</v>
      </c>
      <c r="J252" s="130"/>
      <c r="K252" s="131">
        <f>+IF(K250&gt;=K249,K250-K249,0)</f>
        <v>0</v>
      </c>
      <c r="L252" s="132"/>
      <c r="N252" s="129"/>
      <c r="O252" s="130" t="s">
        <v>299</v>
      </c>
      <c r="P252" s="131">
        <f>+IF('Datos y Resumen '!E60=1,'DATOS PARA AJUSTE'!L42,'ISR '!T43)</f>
        <v>0</v>
      </c>
      <c r="Q252" s="130"/>
      <c r="R252" s="131">
        <f>+IF(R250&gt;=R249,R250-R249,0)</f>
        <v>0</v>
      </c>
      <c r="S252" s="130"/>
      <c r="T252" s="131">
        <f>+IF(T250&gt;=T249,T250-T249,0)</f>
        <v>0</v>
      </c>
      <c r="U252" s="132"/>
    </row>
    <row r="253" spans="5:21" ht="16.5" thickBot="1" x14ac:dyDescent="0.3"/>
    <row r="254" spans="5:21" ht="23.25" x14ac:dyDescent="0.25">
      <c r="E254" s="380" t="s">
        <v>300</v>
      </c>
      <c r="F254" s="381"/>
      <c r="G254" s="381"/>
      <c r="H254" s="381"/>
      <c r="I254" s="381"/>
      <c r="J254" s="381"/>
      <c r="K254" s="381"/>
      <c r="L254" s="382"/>
      <c r="N254" s="380" t="s">
        <v>300</v>
      </c>
      <c r="O254" s="381"/>
      <c r="P254" s="381"/>
      <c r="Q254" s="381"/>
      <c r="R254" s="381"/>
      <c r="S254" s="381"/>
      <c r="T254" s="381"/>
      <c r="U254" s="382"/>
    </row>
    <row r="255" spans="5:21" ht="16.5" x14ac:dyDescent="0.25">
      <c r="E255" s="69"/>
      <c r="F255" s="68" t="str">
        <f>+'LISTA TRABAJADORES'!E43</f>
        <v>37</v>
      </c>
      <c r="G255" s="379">
        <f>+'LISTA TRABAJADORES'!G43</f>
        <v>0</v>
      </c>
      <c r="H255" s="379"/>
      <c r="I255" s="379"/>
      <c r="J255" s="379"/>
      <c r="K255" s="67"/>
      <c r="L255" s="70"/>
      <c r="N255" s="69"/>
      <c r="O255" s="68" t="str">
        <f>+'LISTA TRABAJADORES'!E44</f>
        <v>38</v>
      </c>
      <c r="P255" s="379">
        <f>+'LISTA TRABAJADORES'!G44</f>
        <v>0</v>
      </c>
      <c r="Q255" s="379"/>
      <c r="R255" s="379"/>
      <c r="S255" s="379"/>
      <c r="T255" s="67"/>
      <c r="U255" s="70"/>
    </row>
    <row r="256" spans="5:21" x14ac:dyDescent="0.25">
      <c r="E256" s="71"/>
      <c r="F256" s="104"/>
      <c r="G256" s="104" t="s">
        <v>301</v>
      </c>
      <c r="H256" s="104"/>
      <c r="I256" s="104" t="s">
        <v>302</v>
      </c>
      <c r="J256" s="104"/>
      <c r="K256" s="104" t="s">
        <v>294</v>
      </c>
      <c r="L256" s="72"/>
      <c r="N256" s="71"/>
      <c r="O256" s="104"/>
      <c r="P256" s="104" t="s">
        <v>301</v>
      </c>
      <c r="Q256" s="104"/>
      <c r="R256" s="104" t="s">
        <v>302</v>
      </c>
      <c r="S256" s="104"/>
      <c r="T256" s="104" t="s">
        <v>294</v>
      </c>
      <c r="U256" s="72"/>
    </row>
    <row r="257" spans="5:21" x14ac:dyDescent="0.25">
      <c r="E257" s="127"/>
      <c r="F257" s="123" t="s">
        <v>303</v>
      </c>
      <c r="G257" s="53">
        <f>+IF('Datos y Resumen '!E60=1,'DATOS PARA AJUSTE'!H43,'ISR '!K44)</f>
        <v>0</v>
      </c>
      <c r="H257" s="123"/>
      <c r="I257" s="53">
        <f>+IF('Datos y Resumen '!E60=1,'ISR '!K44,0)</f>
        <v>0</v>
      </c>
      <c r="J257" s="123"/>
      <c r="K257" s="53">
        <f>+G257+I257</f>
        <v>0</v>
      </c>
      <c r="L257" s="128"/>
      <c r="N257" s="127"/>
      <c r="O257" s="123" t="s">
        <v>303</v>
      </c>
      <c r="P257" s="53">
        <f>+IF('Datos y Resumen '!E60=1,'DATOS PARA AJUSTE'!H44,'ISR '!K45)</f>
        <v>0</v>
      </c>
      <c r="Q257" s="123"/>
      <c r="R257" s="53">
        <f>+IF('Datos y Resumen '!E60=1,'ISR '!K45,0)</f>
        <v>0</v>
      </c>
      <c r="S257" s="123"/>
      <c r="T257" s="53">
        <f>+P257+R257</f>
        <v>0</v>
      </c>
      <c r="U257" s="128"/>
    </row>
    <row r="258" spans="5:21" x14ac:dyDescent="0.25">
      <c r="E258" s="127"/>
      <c r="F258" s="123" t="s">
        <v>295</v>
      </c>
      <c r="G258" s="53"/>
      <c r="H258" s="123"/>
      <c r="I258" s="53"/>
      <c r="J258" s="123"/>
      <c r="K258" s="53">
        <f>+IFERROR(VLOOKUP(K257,'TARIFAS 2025'!$D$168:$G$178,1,1),0)</f>
        <v>0</v>
      </c>
      <c r="L258" s="128"/>
      <c r="N258" s="127"/>
      <c r="O258" s="123" t="s">
        <v>295</v>
      </c>
      <c r="P258" s="53"/>
      <c r="Q258" s="123"/>
      <c r="R258" s="53"/>
      <c r="S258" s="123"/>
      <c r="T258" s="53">
        <f>+IFERROR(VLOOKUP(T257,'TARIFAS 2025'!$D$168:$G$178,1,1),0)</f>
        <v>0</v>
      </c>
      <c r="U258" s="128"/>
    </row>
    <row r="259" spans="5:21" x14ac:dyDescent="0.25">
      <c r="E259" s="127"/>
      <c r="F259" s="123" t="s">
        <v>296</v>
      </c>
      <c r="G259" s="53"/>
      <c r="H259" s="123"/>
      <c r="I259" s="53"/>
      <c r="J259" s="123"/>
      <c r="K259" s="53">
        <f>+K257-K258</f>
        <v>0</v>
      </c>
      <c r="L259" s="128"/>
      <c r="N259" s="127"/>
      <c r="O259" s="123" t="s">
        <v>296</v>
      </c>
      <c r="P259" s="53"/>
      <c r="Q259" s="123"/>
      <c r="R259" s="53"/>
      <c r="S259" s="123"/>
      <c r="T259" s="53">
        <f>+T257-T258</f>
        <v>0</v>
      </c>
      <c r="U259" s="128"/>
    </row>
    <row r="260" spans="5:21" s="133" customFormat="1" x14ac:dyDescent="0.25">
      <c r="E260" s="134"/>
      <c r="F260" s="135" t="s">
        <v>304</v>
      </c>
      <c r="G260" s="136"/>
      <c r="H260" s="135"/>
      <c r="I260" s="136" t="s">
        <v>321</v>
      </c>
      <c r="J260" s="135"/>
      <c r="K260" s="136">
        <f>+IFERROR(VLOOKUP(K257,'TARIFAS 2025'!$D$168:$G$178,4,1),0)</f>
        <v>0</v>
      </c>
      <c r="L260" s="137"/>
      <c r="N260" s="134"/>
      <c r="O260" s="135" t="s">
        <v>304</v>
      </c>
      <c r="P260" s="136"/>
      <c r="Q260" s="135"/>
      <c r="R260" s="136"/>
      <c r="S260" s="135"/>
      <c r="T260" s="136">
        <f>+IFERROR(VLOOKUP(T257,'TARIFAS 2025'!$D$168:$G$178,4,1),0)</f>
        <v>0</v>
      </c>
      <c r="U260" s="137"/>
    </row>
    <row r="261" spans="5:21" x14ac:dyDescent="0.25">
      <c r="E261" s="127"/>
      <c r="F261" s="123" t="s">
        <v>297</v>
      </c>
      <c r="G261" s="53"/>
      <c r="H261" s="123"/>
      <c r="I261" s="53"/>
      <c r="J261" s="123"/>
      <c r="K261" s="53">
        <f>+K259*K260</f>
        <v>0</v>
      </c>
      <c r="L261" s="128"/>
      <c r="N261" s="127"/>
      <c r="O261" s="123" t="s">
        <v>297</v>
      </c>
      <c r="P261" s="53"/>
      <c r="Q261" s="123"/>
      <c r="R261" s="53"/>
      <c r="S261" s="123"/>
      <c r="T261" s="53">
        <f>+T259*T260</f>
        <v>0</v>
      </c>
      <c r="U261" s="128"/>
    </row>
    <row r="262" spans="5:21" x14ac:dyDescent="0.25">
      <c r="E262" s="127"/>
      <c r="F262" s="123" t="s">
        <v>305</v>
      </c>
      <c r="G262" s="53"/>
      <c r="H262" s="123"/>
      <c r="I262" s="53"/>
      <c r="J262" s="123"/>
      <c r="K262" s="53">
        <f>+IFERROR(VLOOKUP(K257,'TARIFAS 2025'!D$168:$G$178,3,1),0)</f>
        <v>0</v>
      </c>
      <c r="L262" s="128"/>
      <c r="N262" s="127"/>
      <c r="O262" s="123" t="s">
        <v>305</v>
      </c>
      <c r="P262" s="53"/>
      <c r="Q262" s="123"/>
      <c r="R262" s="53"/>
      <c r="S262" s="123"/>
      <c r="T262" s="53">
        <f>+IFERROR(VLOOKUP(T257,'TARIFAS 2025'!D$168:$G$178,3,1),0)</f>
        <v>0</v>
      </c>
      <c r="U262" s="128"/>
    </row>
    <row r="263" spans="5:21" x14ac:dyDescent="0.25">
      <c r="E263" s="127"/>
      <c r="F263" s="123" t="s">
        <v>306</v>
      </c>
      <c r="G263" s="53">
        <f>+IF('Datos y Resumen '!E60=1,'DATOS PARA AJUSTE'!I43,'ISR '!Q44)</f>
        <v>0</v>
      </c>
      <c r="H263" s="123"/>
      <c r="I263" s="53">
        <f>+IF('Datos y Resumen '!E60=1,K263-G263,0)</f>
        <v>0</v>
      </c>
      <c r="J263" s="123"/>
      <c r="K263" s="53">
        <f>+K261+K262</f>
        <v>0</v>
      </c>
      <c r="L263" s="128"/>
      <c r="N263" s="127"/>
      <c r="O263" s="123" t="s">
        <v>306</v>
      </c>
      <c r="P263" s="53">
        <f>+IF('Datos y Resumen '!E60=1,'DATOS PARA AJUSTE'!I44,'ISR '!Q45)</f>
        <v>0</v>
      </c>
      <c r="Q263" s="123"/>
      <c r="R263" s="53">
        <f>+IF('Datos y Resumen '!E60=1,T263-P263,0)</f>
        <v>0</v>
      </c>
      <c r="S263" s="123"/>
      <c r="T263" s="53">
        <f>+T261+T262</f>
        <v>0</v>
      </c>
      <c r="U263" s="128"/>
    </row>
    <row r="264" spans="5:21" x14ac:dyDescent="0.25">
      <c r="E264" s="127"/>
      <c r="F264" s="123" t="s">
        <v>307</v>
      </c>
      <c r="G264" s="53">
        <f>+IF('Datos y Resumen '!E60=1,'DATOS PARA AJUSTE'!J43,'ISR '!R44)</f>
        <v>0</v>
      </c>
      <c r="H264" s="123"/>
      <c r="I264" s="53">
        <f>IF('Datos y Resumen '!E60=1,IF(K264&gt;=G264,K264-G264,0),0)</f>
        <v>0</v>
      </c>
      <c r="J264" s="123"/>
      <c r="K264" s="53">
        <f>+IFERROR(VLOOKUP(K257,'TARIFAS 2025'!$J$168:$L$178,3,1),0)</f>
        <v>0</v>
      </c>
      <c r="L264" s="128"/>
      <c r="N264" s="127"/>
      <c r="O264" s="123" t="s">
        <v>307</v>
      </c>
      <c r="P264" s="53">
        <f>+IF('Datos y Resumen '!E60=1,'DATOS PARA AJUSTE'!J44,'ISR '!R45)</f>
        <v>0</v>
      </c>
      <c r="Q264" s="123"/>
      <c r="R264" s="53">
        <f>IF('Datos y Resumen '!E60=1,IF(T264&gt;=P264,T264-P264,0),0)</f>
        <v>0</v>
      </c>
      <c r="S264" s="123"/>
      <c r="T264" s="53">
        <f>+IFERROR(VLOOKUP(T257,'TARIFAS 2025'!$J$168:$L$178,3,1),0)</f>
        <v>0</v>
      </c>
      <c r="U264" s="128"/>
    </row>
    <row r="265" spans="5:21" x14ac:dyDescent="0.25">
      <c r="E265" s="127"/>
      <c r="F265" s="123" t="s">
        <v>298</v>
      </c>
      <c r="G265" s="53">
        <f>+IF('Datos y Resumen '!E60=1,'DATOS PARA AJUSTE'!K43,'ISR '!S44)</f>
        <v>0</v>
      </c>
      <c r="H265" s="123"/>
      <c r="I265" s="53">
        <f>+IF(I263&gt;=I264,I263-I264,0)</f>
        <v>0</v>
      </c>
      <c r="J265" s="123"/>
      <c r="K265" s="53">
        <f>+IF(K263&gt;=K264,K263-K264,0)</f>
        <v>0</v>
      </c>
      <c r="L265" s="128"/>
      <c r="N265" s="127"/>
      <c r="O265" s="123" t="s">
        <v>298</v>
      </c>
      <c r="P265" s="53">
        <f>+IF('Datos y Resumen '!E60=1,'DATOS PARA AJUSTE'!K44,'ISR '!S45)</f>
        <v>0</v>
      </c>
      <c r="Q265" s="123"/>
      <c r="R265" s="53">
        <f>+IF(R263&gt;=R264,R263-R264,0)</f>
        <v>0</v>
      </c>
      <c r="S265" s="123"/>
      <c r="T265" s="53">
        <f>+IF(T263&gt;=T264,T263-T264,0)</f>
        <v>0</v>
      </c>
      <c r="U265" s="128"/>
    </row>
    <row r="266" spans="5:21" ht="16.5" thickBot="1" x14ac:dyDescent="0.3">
      <c r="E266" s="129"/>
      <c r="F266" s="130" t="s">
        <v>299</v>
      </c>
      <c r="G266" s="131">
        <f>+IF('Datos y Resumen '!E60=1,'DATOS PARA AJUSTE'!L43,'ISR '!T44)</f>
        <v>0</v>
      </c>
      <c r="H266" s="130"/>
      <c r="I266" s="131">
        <f>+IF(I264&gt;=I263,I264-I263,0)</f>
        <v>0</v>
      </c>
      <c r="J266" s="130"/>
      <c r="K266" s="131">
        <f>+IF(K264&gt;=K263,K264-K263,0)</f>
        <v>0</v>
      </c>
      <c r="L266" s="132"/>
      <c r="N266" s="129"/>
      <c r="O266" s="130" t="s">
        <v>299</v>
      </c>
      <c r="P266" s="131">
        <f>+IF('Datos y Resumen '!E60=1,'DATOS PARA AJUSTE'!L44,'ISR '!T45)</f>
        <v>0</v>
      </c>
      <c r="Q266" s="130"/>
      <c r="R266" s="131">
        <f>+IF(R264&gt;=R263,R264-R263,0)</f>
        <v>0</v>
      </c>
      <c r="S266" s="130"/>
      <c r="T266" s="131">
        <f>+IF(T264&gt;=T263,T264-T263,0)</f>
        <v>0</v>
      </c>
      <c r="U266" s="132"/>
    </row>
    <row r="267" spans="5:21" ht="16.5" thickBot="1" x14ac:dyDescent="0.3"/>
    <row r="268" spans="5:21" ht="23.25" x14ac:dyDescent="0.25">
      <c r="E268" s="380" t="s">
        <v>300</v>
      </c>
      <c r="F268" s="381"/>
      <c r="G268" s="381"/>
      <c r="H268" s="381"/>
      <c r="I268" s="381"/>
      <c r="J268" s="381"/>
      <c r="K268" s="381"/>
      <c r="L268" s="382"/>
      <c r="N268" s="380" t="s">
        <v>300</v>
      </c>
      <c r="O268" s="381"/>
      <c r="P268" s="381"/>
      <c r="Q268" s="381"/>
      <c r="R268" s="381"/>
      <c r="S268" s="381"/>
      <c r="T268" s="381"/>
      <c r="U268" s="382"/>
    </row>
    <row r="269" spans="5:21" ht="16.5" x14ac:dyDescent="0.25">
      <c r="E269" s="69"/>
      <c r="F269" s="68" t="str">
        <f>+'LISTA TRABAJADORES'!E45</f>
        <v>39</v>
      </c>
      <c r="G269" s="379">
        <f>+'LISTA TRABAJADORES'!G45</f>
        <v>0</v>
      </c>
      <c r="H269" s="379"/>
      <c r="I269" s="379"/>
      <c r="J269" s="379"/>
      <c r="K269" s="67"/>
      <c r="L269" s="70"/>
      <c r="N269" s="69"/>
      <c r="O269" s="68" t="str">
        <f>+'LISTA TRABAJADORES'!E46</f>
        <v>40</v>
      </c>
      <c r="P269" s="379">
        <f>+'LISTA TRABAJADORES'!G46</f>
        <v>0</v>
      </c>
      <c r="Q269" s="379"/>
      <c r="R269" s="379"/>
      <c r="S269" s="379"/>
      <c r="T269" s="67"/>
      <c r="U269" s="70"/>
    </row>
    <row r="270" spans="5:21" x14ac:dyDescent="0.25">
      <c r="E270" s="71"/>
      <c r="F270" s="104"/>
      <c r="G270" s="104" t="s">
        <v>301</v>
      </c>
      <c r="H270" s="104"/>
      <c r="I270" s="104" t="s">
        <v>302</v>
      </c>
      <c r="J270" s="104"/>
      <c r="K270" s="104" t="s">
        <v>294</v>
      </c>
      <c r="L270" s="72"/>
      <c r="N270" s="71"/>
      <c r="O270" s="104"/>
      <c r="P270" s="104" t="s">
        <v>301</v>
      </c>
      <c r="Q270" s="104"/>
      <c r="R270" s="104" t="s">
        <v>302</v>
      </c>
      <c r="S270" s="104"/>
      <c r="T270" s="104" t="s">
        <v>294</v>
      </c>
      <c r="U270" s="72"/>
    </row>
    <row r="271" spans="5:21" x14ac:dyDescent="0.25">
      <c r="E271" s="127"/>
      <c r="F271" s="123" t="s">
        <v>303</v>
      </c>
      <c r="G271" s="53">
        <f>+IF('Datos y Resumen '!E60=1,'DATOS PARA AJUSTE'!H45,'ISR '!K46)</f>
        <v>0</v>
      </c>
      <c r="H271" s="123"/>
      <c r="I271" s="53">
        <f>+IF('Datos y Resumen '!E60=1,'ISR '!K46,0)</f>
        <v>0</v>
      </c>
      <c r="J271" s="123"/>
      <c r="K271" s="53">
        <f>+G271+I271</f>
        <v>0</v>
      </c>
      <c r="L271" s="128"/>
      <c r="N271" s="127"/>
      <c r="O271" s="123" t="s">
        <v>303</v>
      </c>
      <c r="P271" s="53">
        <f>+IF('Datos y Resumen '!E60=1,'DATOS PARA AJUSTE'!H46,'ISR '!K47)</f>
        <v>0</v>
      </c>
      <c r="Q271" s="123"/>
      <c r="R271" s="53">
        <f>+IF('Datos y Resumen '!E60=1,'ISR '!K47,0)</f>
        <v>0</v>
      </c>
      <c r="S271" s="123"/>
      <c r="T271" s="53">
        <f>+P271+R271</f>
        <v>0</v>
      </c>
      <c r="U271" s="128"/>
    </row>
    <row r="272" spans="5:21" x14ac:dyDescent="0.25">
      <c r="E272" s="127"/>
      <c r="F272" s="123" t="s">
        <v>295</v>
      </c>
      <c r="G272" s="53"/>
      <c r="H272" s="123"/>
      <c r="I272" s="53"/>
      <c r="J272" s="123"/>
      <c r="K272" s="53">
        <f>+IFERROR(VLOOKUP(K271,'TARIFAS 2025'!$D$168:$G$178,1,1),0)</f>
        <v>0</v>
      </c>
      <c r="L272" s="128"/>
      <c r="N272" s="127"/>
      <c r="O272" s="123" t="s">
        <v>295</v>
      </c>
      <c r="P272" s="53"/>
      <c r="Q272" s="123"/>
      <c r="R272" s="53"/>
      <c r="S272" s="123"/>
      <c r="T272" s="53">
        <f>+IFERROR(VLOOKUP(T271,'TARIFAS 2025'!$D$168:$G$178,1,1),0)</f>
        <v>0</v>
      </c>
      <c r="U272" s="128"/>
    </row>
    <row r="273" spans="5:21" x14ac:dyDescent="0.25">
      <c r="E273" s="127"/>
      <c r="F273" s="123" t="s">
        <v>296</v>
      </c>
      <c r="G273" s="53"/>
      <c r="H273" s="123"/>
      <c r="I273" s="53"/>
      <c r="J273" s="123"/>
      <c r="K273" s="53">
        <f>+K271-K272</f>
        <v>0</v>
      </c>
      <c r="L273" s="128"/>
      <c r="N273" s="127"/>
      <c r="O273" s="123" t="s">
        <v>296</v>
      </c>
      <c r="P273" s="53"/>
      <c r="Q273" s="123"/>
      <c r="R273" s="53"/>
      <c r="S273" s="123"/>
      <c r="T273" s="53">
        <f>+T271-T272</f>
        <v>0</v>
      </c>
      <c r="U273" s="128"/>
    </row>
    <row r="274" spans="5:21" s="133" customFormat="1" x14ac:dyDescent="0.25">
      <c r="E274" s="134"/>
      <c r="F274" s="135" t="s">
        <v>304</v>
      </c>
      <c r="G274" s="136"/>
      <c r="H274" s="135"/>
      <c r="I274" s="136" t="s">
        <v>321</v>
      </c>
      <c r="J274" s="135"/>
      <c r="K274" s="136">
        <f>+IFERROR(VLOOKUP(K271,'TARIFAS 2025'!$D$168:$G$178,4,1),0)</f>
        <v>0</v>
      </c>
      <c r="L274" s="137"/>
      <c r="N274" s="134"/>
      <c r="O274" s="135" t="s">
        <v>304</v>
      </c>
      <c r="P274" s="136"/>
      <c r="Q274" s="135"/>
      <c r="R274" s="136"/>
      <c r="S274" s="135"/>
      <c r="T274" s="136">
        <f>+IFERROR(VLOOKUP(T271,'TARIFAS 2025'!$D$168:$G$178,4,1),0)</f>
        <v>0</v>
      </c>
      <c r="U274" s="137"/>
    </row>
    <row r="275" spans="5:21" x14ac:dyDescent="0.25">
      <c r="E275" s="127"/>
      <c r="F275" s="123" t="s">
        <v>297</v>
      </c>
      <c r="G275" s="53"/>
      <c r="H275" s="123"/>
      <c r="I275" s="53"/>
      <c r="J275" s="123"/>
      <c r="K275" s="53">
        <f>+K273*K274</f>
        <v>0</v>
      </c>
      <c r="L275" s="128"/>
      <c r="N275" s="127"/>
      <c r="O275" s="123" t="s">
        <v>297</v>
      </c>
      <c r="P275" s="53"/>
      <c r="Q275" s="123"/>
      <c r="R275" s="53"/>
      <c r="S275" s="123"/>
      <c r="T275" s="53">
        <f>+T273*T274</f>
        <v>0</v>
      </c>
      <c r="U275" s="128"/>
    </row>
    <row r="276" spans="5:21" x14ac:dyDescent="0.25">
      <c r="E276" s="127"/>
      <c r="F276" s="123" t="s">
        <v>305</v>
      </c>
      <c r="G276" s="53"/>
      <c r="H276" s="123"/>
      <c r="I276" s="53"/>
      <c r="J276" s="123"/>
      <c r="K276" s="53">
        <f>+IFERROR(VLOOKUP(K271,'TARIFAS 2025'!D$168:$G$178,3,1),0)</f>
        <v>0</v>
      </c>
      <c r="L276" s="128"/>
      <c r="N276" s="127"/>
      <c r="O276" s="123" t="s">
        <v>305</v>
      </c>
      <c r="P276" s="53"/>
      <c r="Q276" s="123"/>
      <c r="R276" s="53"/>
      <c r="S276" s="123"/>
      <c r="T276" s="53">
        <f>+IFERROR(VLOOKUP(T271,'TARIFAS 2025'!D$168:$G$178,3,1),0)</f>
        <v>0</v>
      </c>
      <c r="U276" s="128"/>
    </row>
    <row r="277" spans="5:21" x14ac:dyDescent="0.25">
      <c r="E277" s="127"/>
      <c r="F277" s="123" t="s">
        <v>306</v>
      </c>
      <c r="G277" s="53">
        <f>+IF('Datos y Resumen '!E60=1,'DATOS PARA AJUSTE'!I45,'ISR '!Q46)</f>
        <v>0</v>
      </c>
      <c r="H277" s="123"/>
      <c r="I277" s="53">
        <f>+IF('Datos y Resumen '!E60=1,K277-G277,0)</f>
        <v>0</v>
      </c>
      <c r="J277" s="123"/>
      <c r="K277" s="53">
        <f>+K275+K276</f>
        <v>0</v>
      </c>
      <c r="L277" s="128"/>
      <c r="N277" s="127"/>
      <c r="O277" s="123" t="s">
        <v>306</v>
      </c>
      <c r="P277" s="53">
        <f>+IF('Datos y Resumen '!E60=1,'DATOS PARA AJUSTE'!I46,'ISR '!Q47)</f>
        <v>0</v>
      </c>
      <c r="Q277" s="123"/>
      <c r="R277" s="53">
        <f>+IF('Datos y Resumen '!E60=1,T277-P277,0)</f>
        <v>0</v>
      </c>
      <c r="S277" s="123"/>
      <c r="T277" s="53">
        <f>+T275+T276</f>
        <v>0</v>
      </c>
      <c r="U277" s="128"/>
    </row>
    <row r="278" spans="5:21" x14ac:dyDescent="0.25">
      <c r="E278" s="127"/>
      <c r="F278" s="123" t="s">
        <v>307</v>
      </c>
      <c r="G278" s="53">
        <f>+IF('Datos y Resumen '!E60=1,'DATOS PARA AJUSTE'!J45,'ISR '!R46)</f>
        <v>0</v>
      </c>
      <c r="H278" s="123"/>
      <c r="I278" s="53">
        <f>IF('Datos y Resumen '!E60=1,IF(K278&gt;=G278,K278-G278,0),0)</f>
        <v>0</v>
      </c>
      <c r="J278" s="123"/>
      <c r="K278" s="53">
        <f>+IFERROR(VLOOKUP(K271,'TARIFAS 2025'!$J$168:$L$178,3,1),0)</f>
        <v>0</v>
      </c>
      <c r="L278" s="128"/>
      <c r="N278" s="127"/>
      <c r="O278" s="123" t="s">
        <v>307</v>
      </c>
      <c r="P278" s="53">
        <f>+IF('Datos y Resumen '!E60=1,'DATOS PARA AJUSTE'!J46,'ISR '!R47)</f>
        <v>0</v>
      </c>
      <c r="Q278" s="123"/>
      <c r="R278" s="53">
        <f>IF('Datos y Resumen '!E60=1,IF(T278&gt;=P278,T278-P278,0),0)</f>
        <v>0</v>
      </c>
      <c r="S278" s="123"/>
      <c r="T278" s="53">
        <f>+IFERROR(VLOOKUP(T271,'TARIFAS 2025'!$J$168:$L$178,3,1),0)</f>
        <v>0</v>
      </c>
      <c r="U278" s="128"/>
    </row>
    <row r="279" spans="5:21" x14ac:dyDescent="0.25">
      <c r="E279" s="127"/>
      <c r="F279" s="123" t="s">
        <v>298</v>
      </c>
      <c r="G279" s="53">
        <f>+IF('Datos y Resumen '!E60=1,'DATOS PARA AJUSTE'!K45,'ISR '!S46)</f>
        <v>0</v>
      </c>
      <c r="H279" s="123"/>
      <c r="I279" s="53">
        <f>+IF(I277&gt;=I278,I277-I278,0)</f>
        <v>0</v>
      </c>
      <c r="J279" s="123"/>
      <c r="K279" s="53">
        <f>+IF(K277&gt;=K278,K277-K278,0)</f>
        <v>0</v>
      </c>
      <c r="L279" s="128"/>
      <c r="N279" s="127"/>
      <c r="O279" s="123" t="s">
        <v>298</v>
      </c>
      <c r="P279" s="53">
        <f>+IF('Datos y Resumen '!E60=1,'DATOS PARA AJUSTE'!K46,'ISR '!S47)</f>
        <v>0</v>
      </c>
      <c r="Q279" s="123"/>
      <c r="R279" s="53">
        <f>+IF(R277&gt;=R278,R277-R278,0)</f>
        <v>0</v>
      </c>
      <c r="S279" s="123"/>
      <c r="T279" s="53">
        <f>+IF(T277&gt;=T278,T277-T278,0)</f>
        <v>0</v>
      </c>
      <c r="U279" s="128"/>
    </row>
    <row r="280" spans="5:21" ht="16.5" thickBot="1" x14ac:dyDescent="0.3">
      <c r="E280" s="129"/>
      <c r="F280" s="130" t="s">
        <v>299</v>
      </c>
      <c r="G280" s="131">
        <f>+IF('Datos y Resumen '!E60=1,'DATOS PARA AJUSTE'!L45,'ISR '!T46)</f>
        <v>0</v>
      </c>
      <c r="H280" s="130"/>
      <c r="I280" s="131">
        <f>+IF(I278&gt;=I277,I278-I277,0)</f>
        <v>0</v>
      </c>
      <c r="J280" s="130"/>
      <c r="K280" s="131">
        <f>+IF(K278&gt;=K277,K278-K277,0)</f>
        <v>0</v>
      </c>
      <c r="L280" s="132"/>
      <c r="N280" s="129"/>
      <c r="O280" s="130" t="s">
        <v>299</v>
      </c>
      <c r="P280" s="131">
        <f>+IF('Datos y Resumen '!E60=1,'DATOS PARA AJUSTE'!L46,'ISR '!T47)</f>
        <v>0</v>
      </c>
      <c r="Q280" s="130"/>
      <c r="R280" s="131">
        <f>+IF(R278&gt;=R277,R278-R277,0)</f>
        <v>0</v>
      </c>
      <c r="S280" s="130"/>
      <c r="T280" s="131">
        <f>+IF(T278&gt;=T277,T278-T277,0)</f>
        <v>0</v>
      </c>
      <c r="U280" s="132"/>
    </row>
    <row r="281" spans="5:21" ht="16.5" thickBot="1" x14ac:dyDescent="0.3"/>
    <row r="282" spans="5:21" ht="23.25" x14ac:dyDescent="0.25">
      <c r="E282" s="380" t="s">
        <v>300</v>
      </c>
      <c r="F282" s="381"/>
      <c r="G282" s="381"/>
      <c r="H282" s="381"/>
      <c r="I282" s="381"/>
      <c r="J282" s="381"/>
      <c r="K282" s="381"/>
      <c r="L282" s="382"/>
      <c r="N282" s="380" t="s">
        <v>300</v>
      </c>
      <c r="O282" s="381"/>
      <c r="P282" s="381"/>
      <c r="Q282" s="381"/>
      <c r="R282" s="381"/>
      <c r="S282" s="381"/>
      <c r="T282" s="381"/>
      <c r="U282" s="382"/>
    </row>
    <row r="283" spans="5:21" ht="16.5" x14ac:dyDescent="0.25">
      <c r="E283" s="69"/>
      <c r="F283" s="68" t="str">
        <f>+'LISTA TRABAJADORES'!E47</f>
        <v>41</v>
      </c>
      <c r="G283" s="379">
        <f>+'LISTA TRABAJADORES'!G47</f>
        <v>0</v>
      </c>
      <c r="H283" s="379"/>
      <c r="I283" s="379"/>
      <c r="J283" s="379"/>
      <c r="K283" s="67"/>
      <c r="L283" s="70"/>
      <c r="N283" s="69"/>
      <c r="O283" s="68" t="str">
        <f>+'LISTA TRABAJADORES'!E48</f>
        <v>42</v>
      </c>
      <c r="P283" s="379">
        <f>+'LISTA TRABAJADORES'!G48</f>
        <v>0</v>
      </c>
      <c r="Q283" s="379"/>
      <c r="R283" s="379"/>
      <c r="S283" s="379"/>
      <c r="T283" s="67"/>
      <c r="U283" s="70"/>
    </row>
    <row r="284" spans="5:21" x14ac:dyDescent="0.25">
      <c r="E284" s="71"/>
      <c r="F284" s="104"/>
      <c r="G284" s="104" t="s">
        <v>301</v>
      </c>
      <c r="H284" s="104"/>
      <c r="I284" s="104" t="s">
        <v>302</v>
      </c>
      <c r="J284" s="104"/>
      <c r="K284" s="104" t="s">
        <v>294</v>
      </c>
      <c r="L284" s="72"/>
      <c r="N284" s="71"/>
      <c r="O284" s="104"/>
      <c r="P284" s="104" t="s">
        <v>301</v>
      </c>
      <c r="Q284" s="104"/>
      <c r="R284" s="104" t="s">
        <v>302</v>
      </c>
      <c r="S284" s="104"/>
      <c r="T284" s="104" t="s">
        <v>294</v>
      </c>
      <c r="U284" s="72"/>
    </row>
    <row r="285" spans="5:21" x14ac:dyDescent="0.25">
      <c r="E285" s="127"/>
      <c r="F285" s="123" t="s">
        <v>303</v>
      </c>
      <c r="G285" s="53">
        <f>+IF('Datos y Resumen '!E60=1,'DATOS PARA AJUSTE'!H47,'ISR '!K48)</f>
        <v>0</v>
      </c>
      <c r="H285" s="123"/>
      <c r="I285" s="53">
        <f>+IF('Datos y Resumen '!E60=1,'ISR '!K48,0)</f>
        <v>0</v>
      </c>
      <c r="J285" s="123"/>
      <c r="K285" s="53">
        <f>+G285+I285</f>
        <v>0</v>
      </c>
      <c r="L285" s="128"/>
      <c r="N285" s="127"/>
      <c r="O285" s="123" t="s">
        <v>303</v>
      </c>
      <c r="P285" s="53">
        <f>+IF('Datos y Resumen '!E60=1,'DATOS PARA AJUSTE'!H48,'ISR '!K49)</f>
        <v>0</v>
      </c>
      <c r="Q285" s="123"/>
      <c r="R285" s="53">
        <f>+IF('Datos y Resumen '!E60=1,'ISR '!K49,0)</f>
        <v>0</v>
      </c>
      <c r="S285" s="123"/>
      <c r="T285" s="53">
        <f>+P285+R285</f>
        <v>0</v>
      </c>
      <c r="U285" s="128"/>
    </row>
    <row r="286" spans="5:21" x14ac:dyDescent="0.25">
      <c r="E286" s="127"/>
      <c r="F286" s="123" t="s">
        <v>295</v>
      </c>
      <c r="G286" s="53"/>
      <c r="H286" s="123"/>
      <c r="I286" s="53"/>
      <c r="J286" s="123"/>
      <c r="K286" s="53">
        <f>+IFERROR(VLOOKUP(K285,'TARIFAS 2025'!$D$168:$G$178,1,1),0)</f>
        <v>0</v>
      </c>
      <c r="L286" s="128"/>
      <c r="N286" s="127"/>
      <c r="O286" s="123" t="s">
        <v>295</v>
      </c>
      <c r="P286" s="53"/>
      <c r="Q286" s="123"/>
      <c r="R286" s="53"/>
      <c r="S286" s="123"/>
      <c r="T286" s="53">
        <f>+IFERROR(VLOOKUP(T285,'TARIFAS 2025'!$D$168:$G$178,1,1),0)</f>
        <v>0</v>
      </c>
      <c r="U286" s="128"/>
    </row>
    <row r="287" spans="5:21" x14ac:dyDescent="0.25">
      <c r="E287" s="127"/>
      <c r="F287" s="123" t="s">
        <v>296</v>
      </c>
      <c r="G287" s="53"/>
      <c r="H287" s="123"/>
      <c r="I287" s="53"/>
      <c r="J287" s="123"/>
      <c r="K287" s="53">
        <f>+K285-K286</f>
        <v>0</v>
      </c>
      <c r="L287" s="128"/>
      <c r="N287" s="127"/>
      <c r="O287" s="123" t="s">
        <v>296</v>
      </c>
      <c r="P287" s="53"/>
      <c r="Q287" s="123"/>
      <c r="R287" s="53"/>
      <c r="S287" s="123"/>
      <c r="T287" s="53">
        <f>+T285-T286</f>
        <v>0</v>
      </c>
      <c r="U287" s="128"/>
    </row>
    <row r="288" spans="5:21" s="133" customFormat="1" x14ac:dyDescent="0.25">
      <c r="E288" s="134"/>
      <c r="F288" s="135" t="s">
        <v>304</v>
      </c>
      <c r="G288" s="136"/>
      <c r="H288" s="135"/>
      <c r="I288" s="136"/>
      <c r="J288" s="135"/>
      <c r="K288" s="136">
        <f>+IFERROR(VLOOKUP(K285,'TARIFAS 2025'!$D$168:$G$178,4,1),0)</f>
        <v>0</v>
      </c>
      <c r="L288" s="137"/>
      <c r="N288" s="134"/>
      <c r="O288" s="135" t="s">
        <v>304</v>
      </c>
      <c r="P288" s="136"/>
      <c r="Q288" s="135"/>
      <c r="R288" s="136"/>
      <c r="S288" s="135"/>
      <c r="T288" s="136">
        <f>+IFERROR(VLOOKUP(T285,'TARIFAS 2025'!$D$168:$G$178,4,1),0)</f>
        <v>0</v>
      </c>
      <c r="U288" s="137"/>
    </row>
    <row r="289" spans="5:21" x14ac:dyDescent="0.25">
      <c r="E289" s="127"/>
      <c r="F289" s="123" t="s">
        <v>297</v>
      </c>
      <c r="G289" s="53"/>
      <c r="H289" s="123"/>
      <c r="I289" s="53"/>
      <c r="J289" s="123"/>
      <c r="K289" s="53">
        <f>+K287*K288</f>
        <v>0</v>
      </c>
      <c r="L289" s="128"/>
      <c r="N289" s="127"/>
      <c r="O289" s="123" t="s">
        <v>297</v>
      </c>
      <c r="P289" s="53"/>
      <c r="Q289" s="123"/>
      <c r="R289" s="53"/>
      <c r="S289" s="123"/>
      <c r="T289" s="53">
        <f>+T287*T288</f>
        <v>0</v>
      </c>
      <c r="U289" s="128"/>
    </row>
    <row r="290" spans="5:21" x14ac:dyDescent="0.25">
      <c r="E290" s="127"/>
      <c r="F290" s="123" t="s">
        <v>305</v>
      </c>
      <c r="G290" s="53"/>
      <c r="H290" s="123"/>
      <c r="I290" s="53"/>
      <c r="J290" s="123"/>
      <c r="K290" s="53">
        <f>+IFERROR(VLOOKUP(K285,'TARIFAS 2025'!D$168:$G$178,3,1),0)</f>
        <v>0</v>
      </c>
      <c r="L290" s="128"/>
      <c r="N290" s="127"/>
      <c r="O290" s="123" t="s">
        <v>305</v>
      </c>
      <c r="P290" s="53"/>
      <c r="Q290" s="123"/>
      <c r="R290" s="53"/>
      <c r="S290" s="123"/>
      <c r="T290" s="53">
        <f>+IFERROR(VLOOKUP(T285,'TARIFAS 2025'!D$168:$G$178,3,1),0)</f>
        <v>0</v>
      </c>
      <c r="U290" s="128"/>
    </row>
    <row r="291" spans="5:21" x14ac:dyDescent="0.25">
      <c r="E291" s="127"/>
      <c r="F291" s="123" t="s">
        <v>306</v>
      </c>
      <c r="G291" s="53">
        <f>+IF('Datos y Resumen '!E60=1,'DATOS PARA AJUSTE'!I47,'ISR '!Q48)</f>
        <v>0</v>
      </c>
      <c r="H291" s="123"/>
      <c r="I291" s="53">
        <f>+IF('Datos y Resumen '!E60=1,K291-G291,0)</f>
        <v>0</v>
      </c>
      <c r="J291" s="123"/>
      <c r="K291" s="53">
        <f>+K289+K290</f>
        <v>0</v>
      </c>
      <c r="L291" s="128"/>
      <c r="N291" s="127"/>
      <c r="O291" s="123" t="s">
        <v>306</v>
      </c>
      <c r="P291" s="53">
        <f>+IF('Datos y Resumen '!E60=1,'DATOS PARA AJUSTE'!I48,'ISR '!Q49)</f>
        <v>0</v>
      </c>
      <c r="Q291" s="123"/>
      <c r="R291" s="53">
        <f>+IF('Datos y Resumen '!E60=1,T291-P291,0)</f>
        <v>0</v>
      </c>
      <c r="S291" s="123"/>
      <c r="T291" s="53">
        <f>+T289+T290</f>
        <v>0</v>
      </c>
      <c r="U291" s="128"/>
    </row>
    <row r="292" spans="5:21" x14ac:dyDescent="0.25">
      <c r="E292" s="127"/>
      <c r="F292" s="123" t="s">
        <v>307</v>
      </c>
      <c r="G292" s="53">
        <f>+IF('Datos y Resumen '!E60=1,'DATOS PARA AJUSTE'!J47,'ISR '!R48)</f>
        <v>0</v>
      </c>
      <c r="H292" s="123"/>
      <c r="I292" s="53">
        <f>IF('Datos y Resumen '!E60=1,IF(K292&gt;=G292,K292-G292,0),0)</f>
        <v>0</v>
      </c>
      <c r="J292" s="123"/>
      <c r="K292" s="53">
        <f>+IFERROR(VLOOKUP(K285,'TARIFAS 2025'!$J$168:$L$178,3,1),0)</f>
        <v>0</v>
      </c>
      <c r="L292" s="128"/>
      <c r="N292" s="127"/>
      <c r="O292" s="123" t="s">
        <v>307</v>
      </c>
      <c r="P292" s="53">
        <f>+IF('Datos y Resumen '!E60=1,'DATOS PARA AJUSTE'!J48,'ISR '!R49)</f>
        <v>0</v>
      </c>
      <c r="Q292" s="123"/>
      <c r="R292" s="53">
        <f>IF('Datos y Resumen '!E60=1,IF(T292&gt;=P292,T292-P292,0),0)</f>
        <v>0</v>
      </c>
      <c r="S292" s="123"/>
      <c r="T292" s="53">
        <f>+IFERROR(VLOOKUP(T285,'TARIFAS 2025'!$J$168:$L$178,3,1),0)</f>
        <v>0</v>
      </c>
      <c r="U292" s="128"/>
    </row>
    <row r="293" spans="5:21" x14ac:dyDescent="0.25">
      <c r="E293" s="127"/>
      <c r="F293" s="123" t="s">
        <v>298</v>
      </c>
      <c r="G293" s="53">
        <f>+IF('Datos y Resumen '!E60=1,'DATOS PARA AJUSTE'!K47,'ISR '!S48)</f>
        <v>0</v>
      </c>
      <c r="H293" s="123"/>
      <c r="I293" s="53">
        <f>+IF(I291&gt;=I292,I291-I292,0)</f>
        <v>0</v>
      </c>
      <c r="J293" s="123"/>
      <c r="K293" s="53">
        <f>+IF(K291&gt;=K292,K291-K292,0)</f>
        <v>0</v>
      </c>
      <c r="L293" s="128"/>
      <c r="N293" s="127"/>
      <c r="O293" s="123" t="s">
        <v>298</v>
      </c>
      <c r="P293" s="53">
        <f>+IF('Datos y Resumen '!E60=1,'DATOS PARA AJUSTE'!K48,'ISR '!S49)</f>
        <v>0</v>
      </c>
      <c r="Q293" s="123"/>
      <c r="R293" s="53">
        <f>+IF(R291&gt;=R292,R291-R292,0)</f>
        <v>0</v>
      </c>
      <c r="S293" s="123"/>
      <c r="T293" s="53">
        <f>+IF(T291&gt;=T292,T291-T292,0)</f>
        <v>0</v>
      </c>
      <c r="U293" s="128"/>
    </row>
    <row r="294" spans="5:21" ht="16.5" thickBot="1" x14ac:dyDescent="0.3">
      <c r="E294" s="129"/>
      <c r="F294" s="130" t="s">
        <v>299</v>
      </c>
      <c r="G294" s="131">
        <f>+IF('Datos y Resumen '!E60=1,'DATOS PARA AJUSTE'!L47,'ISR '!T48)</f>
        <v>0</v>
      </c>
      <c r="H294" s="130"/>
      <c r="I294" s="131">
        <f>+IF(I292&gt;=I291,I292-I291,0)</f>
        <v>0</v>
      </c>
      <c r="J294" s="130"/>
      <c r="K294" s="131">
        <f>+IF(K292&gt;=K291,K292-K291,0)</f>
        <v>0</v>
      </c>
      <c r="L294" s="132"/>
      <c r="N294" s="129"/>
      <c r="O294" s="130" t="s">
        <v>299</v>
      </c>
      <c r="P294" s="131">
        <f>+IF('Datos y Resumen '!E60=1,'DATOS PARA AJUSTE'!L48,'ISR '!T49)</f>
        <v>0</v>
      </c>
      <c r="Q294" s="130"/>
      <c r="R294" s="131">
        <f>+IF(R292&gt;=R291,R292-R291,0)</f>
        <v>0</v>
      </c>
      <c r="S294" s="130"/>
      <c r="T294" s="131">
        <f>+IF(T292&gt;=T291,T292-T291,0)</f>
        <v>0</v>
      </c>
      <c r="U294" s="132"/>
    </row>
    <row r="295" spans="5:21" ht="16.5" thickBot="1" x14ac:dyDescent="0.3"/>
    <row r="296" spans="5:21" ht="23.25" x14ac:dyDescent="0.25">
      <c r="E296" s="380" t="s">
        <v>300</v>
      </c>
      <c r="F296" s="381"/>
      <c r="G296" s="381"/>
      <c r="H296" s="381"/>
      <c r="I296" s="381"/>
      <c r="J296" s="381"/>
      <c r="K296" s="381"/>
      <c r="L296" s="382"/>
      <c r="N296" s="380" t="s">
        <v>300</v>
      </c>
      <c r="O296" s="381"/>
      <c r="P296" s="381"/>
      <c r="Q296" s="381"/>
      <c r="R296" s="381"/>
      <c r="S296" s="381"/>
      <c r="T296" s="381"/>
      <c r="U296" s="382"/>
    </row>
    <row r="297" spans="5:21" ht="16.5" x14ac:dyDescent="0.25">
      <c r="E297" s="69"/>
      <c r="F297" s="68" t="str">
        <f>+'LISTA TRABAJADORES'!E49</f>
        <v>43</v>
      </c>
      <c r="G297" s="379">
        <f>+'LISTA TRABAJADORES'!G49</f>
        <v>0</v>
      </c>
      <c r="H297" s="379"/>
      <c r="I297" s="379"/>
      <c r="J297" s="379"/>
      <c r="K297" s="67"/>
      <c r="L297" s="70"/>
      <c r="N297" s="69"/>
      <c r="O297" s="68" t="str">
        <f>+'LISTA TRABAJADORES'!E50</f>
        <v>44</v>
      </c>
      <c r="P297" s="379">
        <f>+'LISTA TRABAJADORES'!G50</f>
        <v>0</v>
      </c>
      <c r="Q297" s="379"/>
      <c r="R297" s="379"/>
      <c r="S297" s="379"/>
      <c r="T297" s="67"/>
      <c r="U297" s="70"/>
    </row>
    <row r="298" spans="5:21" x14ac:dyDescent="0.25">
      <c r="E298" s="71"/>
      <c r="F298" s="104"/>
      <c r="G298" s="104" t="s">
        <v>301</v>
      </c>
      <c r="H298" s="104"/>
      <c r="I298" s="104" t="s">
        <v>302</v>
      </c>
      <c r="J298" s="104"/>
      <c r="K298" s="104" t="s">
        <v>294</v>
      </c>
      <c r="L298" s="72"/>
      <c r="N298" s="71"/>
      <c r="O298" s="104"/>
      <c r="P298" s="104" t="s">
        <v>301</v>
      </c>
      <c r="Q298" s="104"/>
      <c r="R298" s="104" t="s">
        <v>302</v>
      </c>
      <c r="S298" s="104"/>
      <c r="T298" s="104" t="s">
        <v>294</v>
      </c>
      <c r="U298" s="72"/>
    </row>
    <row r="299" spans="5:21" x14ac:dyDescent="0.25">
      <c r="E299" s="127"/>
      <c r="F299" s="123" t="s">
        <v>303</v>
      </c>
      <c r="G299" s="53">
        <f>+IF('Datos y Resumen '!E60=1,'DATOS PARA AJUSTE'!H49,'ISR '!K50)</f>
        <v>0</v>
      </c>
      <c r="H299" s="123"/>
      <c r="I299" s="53">
        <f>+IF('Datos y Resumen '!E60=1,'ISR '!K50,0)</f>
        <v>0</v>
      </c>
      <c r="J299" s="123"/>
      <c r="K299" s="53">
        <f>+G299+I299</f>
        <v>0</v>
      </c>
      <c r="L299" s="128"/>
      <c r="N299" s="127"/>
      <c r="O299" s="123" t="s">
        <v>303</v>
      </c>
      <c r="P299" s="53">
        <f>+IF('Datos y Resumen '!E60=1,'DATOS PARA AJUSTE'!H50,'ISR '!K51)</f>
        <v>0</v>
      </c>
      <c r="Q299" s="123"/>
      <c r="R299" s="53">
        <f>+IF('Datos y Resumen '!E60=1,'ISR '!K51,0)</f>
        <v>0</v>
      </c>
      <c r="S299" s="123"/>
      <c r="T299" s="53">
        <f>+P299+R299</f>
        <v>0</v>
      </c>
      <c r="U299" s="128"/>
    </row>
    <row r="300" spans="5:21" x14ac:dyDescent="0.25">
      <c r="E300" s="127"/>
      <c r="F300" s="123" t="s">
        <v>295</v>
      </c>
      <c r="G300" s="53"/>
      <c r="H300" s="123"/>
      <c r="I300" s="53"/>
      <c r="J300" s="123"/>
      <c r="K300" s="53">
        <f>+IFERROR(VLOOKUP(K299,'TARIFAS 2025'!$D$168:$G$178,1,1),0)</f>
        <v>0</v>
      </c>
      <c r="L300" s="128"/>
      <c r="N300" s="127"/>
      <c r="O300" s="123" t="s">
        <v>295</v>
      </c>
      <c r="P300" s="53"/>
      <c r="Q300" s="123"/>
      <c r="R300" s="53"/>
      <c r="S300" s="123"/>
      <c r="T300" s="53">
        <f>+IFERROR(VLOOKUP(T299,'TARIFAS 2025'!$D$168:$G$178,1,1),0)</f>
        <v>0</v>
      </c>
      <c r="U300" s="128"/>
    </row>
    <row r="301" spans="5:21" x14ac:dyDescent="0.25">
      <c r="E301" s="127"/>
      <c r="F301" s="123" t="s">
        <v>296</v>
      </c>
      <c r="G301" s="53"/>
      <c r="H301" s="123"/>
      <c r="I301" s="53"/>
      <c r="J301" s="123"/>
      <c r="K301" s="53">
        <f>+K299-K300</f>
        <v>0</v>
      </c>
      <c r="L301" s="128"/>
      <c r="N301" s="127"/>
      <c r="O301" s="123" t="s">
        <v>296</v>
      </c>
      <c r="P301" s="53"/>
      <c r="Q301" s="123"/>
      <c r="R301" s="53"/>
      <c r="S301" s="123"/>
      <c r="T301" s="53">
        <f>+T299-T300</f>
        <v>0</v>
      </c>
      <c r="U301" s="128"/>
    </row>
    <row r="302" spans="5:21" s="133" customFormat="1" x14ac:dyDescent="0.25">
      <c r="E302" s="134"/>
      <c r="F302" s="135" t="s">
        <v>304</v>
      </c>
      <c r="G302" s="136"/>
      <c r="H302" s="135"/>
      <c r="I302" s="136"/>
      <c r="J302" s="135"/>
      <c r="K302" s="136">
        <f>+IFERROR(VLOOKUP(K299,'TARIFAS 2025'!$D$168:$G$178,4,1),0)</f>
        <v>0</v>
      </c>
      <c r="L302" s="137"/>
      <c r="N302" s="134"/>
      <c r="O302" s="135" t="s">
        <v>304</v>
      </c>
      <c r="P302" s="136"/>
      <c r="Q302" s="135"/>
      <c r="R302" s="136"/>
      <c r="S302" s="135"/>
      <c r="T302" s="136">
        <f>+IFERROR(VLOOKUP(T299,'TARIFAS 2025'!$D$168:$G$178,4,1),0)</f>
        <v>0</v>
      </c>
      <c r="U302" s="137"/>
    </row>
    <row r="303" spans="5:21" x14ac:dyDescent="0.25">
      <c r="E303" s="127"/>
      <c r="F303" s="123" t="s">
        <v>297</v>
      </c>
      <c r="G303" s="53"/>
      <c r="H303" s="123"/>
      <c r="I303" s="53"/>
      <c r="J303" s="123"/>
      <c r="K303" s="53">
        <f>+K301*K302</f>
        <v>0</v>
      </c>
      <c r="L303" s="128"/>
      <c r="N303" s="127"/>
      <c r="O303" s="123" t="s">
        <v>297</v>
      </c>
      <c r="P303" s="53"/>
      <c r="Q303" s="123"/>
      <c r="R303" s="53"/>
      <c r="S303" s="123"/>
      <c r="T303" s="53">
        <f>+T301*T302</f>
        <v>0</v>
      </c>
      <c r="U303" s="128"/>
    </row>
    <row r="304" spans="5:21" x14ac:dyDescent="0.25">
      <c r="E304" s="127"/>
      <c r="F304" s="123" t="s">
        <v>305</v>
      </c>
      <c r="G304" s="53"/>
      <c r="H304" s="123"/>
      <c r="I304" s="53"/>
      <c r="J304" s="123"/>
      <c r="K304" s="53">
        <f>+IFERROR(VLOOKUP(K299,'TARIFAS 2025'!D$168:$G$178,3,1),0)</f>
        <v>0</v>
      </c>
      <c r="L304" s="128"/>
      <c r="N304" s="127"/>
      <c r="O304" s="123" t="s">
        <v>305</v>
      </c>
      <c r="P304" s="53"/>
      <c r="Q304" s="123"/>
      <c r="R304" s="53"/>
      <c r="S304" s="123"/>
      <c r="T304" s="53">
        <f>+IFERROR(VLOOKUP(T299,'TARIFAS 2025'!D$168:$G$178,3,1),0)</f>
        <v>0</v>
      </c>
      <c r="U304" s="128"/>
    </row>
    <row r="305" spans="5:21" x14ac:dyDescent="0.25">
      <c r="E305" s="127"/>
      <c r="F305" s="123" t="s">
        <v>306</v>
      </c>
      <c r="G305" s="53">
        <f>+IF('Datos y Resumen '!E60=1,'DATOS PARA AJUSTE'!I49,'ISR '!Q50)</f>
        <v>0</v>
      </c>
      <c r="H305" s="123"/>
      <c r="I305" s="53">
        <f>+IF('Datos y Resumen '!E60=1,K305-G305,0)</f>
        <v>0</v>
      </c>
      <c r="J305" s="123"/>
      <c r="K305" s="53">
        <f>+K303+K304</f>
        <v>0</v>
      </c>
      <c r="L305" s="128"/>
      <c r="N305" s="127"/>
      <c r="O305" s="123" t="s">
        <v>306</v>
      </c>
      <c r="P305" s="53">
        <f>+IF('Datos y Resumen '!E60=1,'DATOS PARA AJUSTE'!I50,'ISR '!Q51)</f>
        <v>0</v>
      </c>
      <c r="Q305" s="123"/>
      <c r="R305" s="53">
        <f>+IF('Datos y Resumen '!E60=1,T305-P305,0)</f>
        <v>0</v>
      </c>
      <c r="S305" s="123"/>
      <c r="T305" s="53">
        <f>+T303+T304</f>
        <v>0</v>
      </c>
      <c r="U305" s="128"/>
    </row>
    <row r="306" spans="5:21" x14ac:dyDescent="0.25">
      <c r="E306" s="127"/>
      <c r="F306" s="123" t="s">
        <v>307</v>
      </c>
      <c r="G306" s="53">
        <f>+IF('Datos y Resumen '!E60=1,'DATOS PARA AJUSTE'!J49,'ISR '!R50)</f>
        <v>0</v>
      </c>
      <c r="H306" s="123"/>
      <c r="I306" s="53">
        <f>IF('Datos y Resumen '!E60=1,IF(K306&gt;=G306,K306-G306,0),0)</f>
        <v>0</v>
      </c>
      <c r="J306" s="123"/>
      <c r="K306" s="53">
        <f>+IFERROR(VLOOKUP(K299,'TARIFAS 2025'!$J$168:$L$178,3,1),0)</f>
        <v>0</v>
      </c>
      <c r="L306" s="128"/>
      <c r="N306" s="127"/>
      <c r="O306" s="123" t="s">
        <v>307</v>
      </c>
      <c r="P306" s="53">
        <f>+IF('Datos y Resumen '!E60=1,'DATOS PARA AJUSTE'!J50,'ISR '!R51)</f>
        <v>0</v>
      </c>
      <c r="Q306" s="123"/>
      <c r="R306" s="53">
        <f>IF('Datos y Resumen '!E60=1,IF(T306&gt;=P306,T306-P306,0),0)</f>
        <v>0</v>
      </c>
      <c r="S306" s="123"/>
      <c r="T306" s="53">
        <f>+IFERROR(VLOOKUP(T299,'TARIFAS 2025'!$J$168:$L$178,3,1),0)</f>
        <v>0</v>
      </c>
      <c r="U306" s="128"/>
    </row>
    <row r="307" spans="5:21" x14ac:dyDescent="0.25">
      <c r="E307" s="127"/>
      <c r="F307" s="123" t="s">
        <v>298</v>
      </c>
      <c r="G307" s="53">
        <f>+IF('Datos y Resumen '!E60=1,'DATOS PARA AJUSTE'!K49,'ISR '!S50)</f>
        <v>0</v>
      </c>
      <c r="H307" s="123"/>
      <c r="I307" s="53">
        <f>+IF(I305&gt;=I306,I305-I306,0)</f>
        <v>0</v>
      </c>
      <c r="J307" s="123"/>
      <c r="K307" s="53">
        <f>+IF(K305&gt;=K306,K305-K306,0)</f>
        <v>0</v>
      </c>
      <c r="L307" s="128"/>
      <c r="N307" s="127"/>
      <c r="O307" s="123" t="s">
        <v>298</v>
      </c>
      <c r="P307" s="53">
        <f>+IF('Datos y Resumen '!E60=1,'DATOS PARA AJUSTE'!K50,'ISR '!S51)</f>
        <v>0</v>
      </c>
      <c r="Q307" s="123"/>
      <c r="R307" s="53">
        <f>+IF(R305&gt;=R306,R305-R306,0)</f>
        <v>0</v>
      </c>
      <c r="S307" s="123"/>
      <c r="T307" s="53">
        <f>+IF(T305&gt;=T306,T305-T306,0)</f>
        <v>0</v>
      </c>
      <c r="U307" s="128"/>
    </row>
    <row r="308" spans="5:21" ht="16.5" thickBot="1" x14ac:dyDescent="0.3">
      <c r="E308" s="129"/>
      <c r="F308" s="130" t="s">
        <v>299</v>
      </c>
      <c r="G308" s="131">
        <f>+IF('Datos y Resumen '!E60=1,'DATOS PARA AJUSTE'!L49,'ISR '!T50)</f>
        <v>0</v>
      </c>
      <c r="H308" s="130"/>
      <c r="I308" s="131">
        <f>+IF(I306&gt;=I305,I306-I305,0)</f>
        <v>0</v>
      </c>
      <c r="J308" s="130"/>
      <c r="K308" s="131">
        <f>+IF(K306&gt;=K305,K306-K305,0)</f>
        <v>0</v>
      </c>
      <c r="L308" s="132"/>
      <c r="N308" s="129"/>
      <c r="O308" s="130" t="s">
        <v>299</v>
      </c>
      <c r="P308" s="131">
        <f>+IF('Datos y Resumen '!E60=1,'DATOS PARA AJUSTE'!L50,'ISR '!T51)</f>
        <v>0</v>
      </c>
      <c r="Q308" s="130"/>
      <c r="R308" s="131">
        <f>+IF(R306&gt;=R305,R306-R305,0)</f>
        <v>0</v>
      </c>
      <c r="S308" s="130"/>
      <c r="T308" s="131">
        <f>+IF(T306&gt;=T305,T306-T305,0)</f>
        <v>0</v>
      </c>
      <c r="U308" s="132"/>
    </row>
    <row r="309" spans="5:21" ht="16.5" thickBot="1" x14ac:dyDescent="0.3"/>
    <row r="310" spans="5:21" ht="23.25" x14ac:dyDescent="0.25">
      <c r="E310" s="380" t="s">
        <v>300</v>
      </c>
      <c r="F310" s="381"/>
      <c r="G310" s="381"/>
      <c r="H310" s="381"/>
      <c r="I310" s="381"/>
      <c r="J310" s="381"/>
      <c r="K310" s="381"/>
      <c r="L310" s="382"/>
      <c r="N310" s="380" t="s">
        <v>300</v>
      </c>
      <c r="O310" s="381"/>
      <c r="P310" s="381"/>
      <c r="Q310" s="381"/>
      <c r="R310" s="381"/>
      <c r="S310" s="381"/>
      <c r="T310" s="381"/>
      <c r="U310" s="382"/>
    </row>
    <row r="311" spans="5:21" ht="16.5" x14ac:dyDescent="0.25">
      <c r="E311" s="69"/>
      <c r="F311" s="68" t="str">
        <f>+'LISTA TRABAJADORES'!E51</f>
        <v>45</v>
      </c>
      <c r="G311" s="379">
        <f>+'LISTA TRABAJADORES'!G51</f>
        <v>0</v>
      </c>
      <c r="H311" s="379"/>
      <c r="I311" s="379"/>
      <c r="J311" s="379"/>
      <c r="K311" s="67"/>
      <c r="L311" s="70"/>
      <c r="N311" s="69"/>
      <c r="O311" s="68" t="str">
        <f>+'LISTA TRABAJADORES'!E52</f>
        <v>46</v>
      </c>
      <c r="P311" s="379">
        <f>+'LISTA TRABAJADORES'!G52</f>
        <v>0</v>
      </c>
      <c r="Q311" s="379"/>
      <c r="R311" s="379"/>
      <c r="S311" s="379"/>
      <c r="T311" s="67"/>
      <c r="U311" s="70"/>
    </row>
    <row r="312" spans="5:21" x14ac:dyDescent="0.25">
      <c r="E312" s="71"/>
      <c r="F312" s="104"/>
      <c r="G312" s="104" t="s">
        <v>301</v>
      </c>
      <c r="H312" s="104"/>
      <c r="I312" s="104" t="s">
        <v>302</v>
      </c>
      <c r="J312" s="104"/>
      <c r="K312" s="104" t="s">
        <v>294</v>
      </c>
      <c r="L312" s="72"/>
      <c r="N312" s="71"/>
      <c r="O312" s="104"/>
      <c r="P312" s="104" t="s">
        <v>301</v>
      </c>
      <c r="Q312" s="104"/>
      <c r="R312" s="104" t="s">
        <v>302</v>
      </c>
      <c r="S312" s="104"/>
      <c r="T312" s="104" t="s">
        <v>294</v>
      </c>
      <c r="U312" s="72"/>
    </row>
    <row r="313" spans="5:21" x14ac:dyDescent="0.25">
      <c r="E313" s="127"/>
      <c r="F313" s="123" t="s">
        <v>303</v>
      </c>
      <c r="G313" s="53">
        <f>+IF('Datos y Resumen '!E60=1,'DATOS PARA AJUSTE'!H51,'ISR '!K52)</f>
        <v>0</v>
      </c>
      <c r="H313" s="123"/>
      <c r="I313" s="53">
        <f>+IF('Datos y Resumen '!E60=1,'ISR '!K52,0)</f>
        <v>0</v>
      </c>
      <c r="J313" s="123"/>
      <c r="K313" s="53">
        <f>+G313+I313</f>
        <v>0</v>
      </c>
      <c r="L313" s="128"/>
      <c r="N313" s="127"/>
      <c r="O313" s="123" t="s">
        <v>303</v>
      </c>
      <c r="P313" s="53">
        <f>+IF('Datos y Resumen '!E60=1,'DATOS PARA AJUSTE'!H52,'ISR '!K53)</f>
        <v>0</v>
      </c>
      <c r="Q313" s="123"/>
      <c r="R313" s="53">
        <f>+IF('Datos y Resumen '!E60=1,'ISR '!K53,0)</f>
        <v>0</v>
      </c>
      <c r="S313" s="123"/>
      <c r="T313" s="53">
        <f>+P313+R313</f>
        <v>0</v>
      </c>
      <c r="U313" s="128"/>
    </row>
    <row r="314" spans="5:21" x14ac:dyDescent="0.25">
      <c r="E314" s="127"/>
      <c r="F314" s="123" t="s">
        <v>295</v>
      </c>
      <c r="G314" s="53"/>
      <c r="H314" s="123"/>
      <c r="I314" s="53"/>
      <c r="J314" s="123"/>
      <c r="K314" s="53">
        <f>+IFERROR(VLOOKUP(K313,'TARIFAS 2025'!$D$168:$G$178,1,1),0)</f>
        <v>0</v>
      </c>
      <c r="L314" s="128"/>
      <c r="N314" s="127"/>
      <c r="O314" s="123" t="s">
        <v>295</v>
      </c>
      <c r="P314" s="53"/>
      <c r="Q314" s="123"/>
      <c r="R314" s="53"/>
      <c r="S314" s="123"/>
      <c r="T314" s="53">
        <f>+IFERROR(VLOOKUP(T313,'TARIFAS 2025'!$D$168:$G$178,1,1),0)</f>
        <v>0</v>
      </c>
      <c r="U314" s="128"/>
    </row>
    <row r="315" spans="5:21" x14ac:dyDescent="0.25">
      <c r="E315" s="127"/>
      <c r="F315" s="123" t="s">
        <v>296</v>
      </c>
      <c r="G315" s="53"/>
      <c r="H315" s="123"/>
      <c r="I315" s="53"/>
      <c r="J315" s="123"/>
      <c r="K315" s="53">
        <f>+K313-K314</f>
        <v>0</v>
      </c>
      <c r="L315" s="128"/>
      <c r="N315" s="127"/>
      <c r="O315" s="123" t="s">
        <v>296</v>
      </c>
      <c r="P315" s="53"/>
      <c r="Q315" s="123"/>
      <c r="R315" s="53"/>
      <c r="S315" s="123"/>
      <c r="T315" s="53">
        <f>+T313-T314</f>
        <v>0</v>
      </c>
      <c r="U315" s="128"/>
    </row>
    <row r="316" spans="5:21" s="133" customFormat="1" x14ac:dyDescent="0.25">
      <c r="E316" s="134"/>
      <c r="F316" s="135" t="s">
        <v>304</v>
      </c>
      <c r="G316" s="136"/>
      <c r="H316" s="135"/>
      <c r="I316" s="136"/>
      <c r="J316" s="135"/>
      <c r="K316" s="136">
        <f>+IFERROR(VLOOKUP(K313,'TARIFAS 2025'!$D$168:$G$178,4,1),0)</f>
        <v>0</v>
      </c>
      <c r="L316" s="137"/>
      <c r="N316" s="134"/>
      <c r="O316" s="135" t="s">
        <v>304</v>
      </c>
      <c r="P316" s="136"/>
      <c r="Q316" s="135"/>
      <c r="R316" s="136"/>
      <c r="S316" s="135"/>
      <c r="T316" s="136">
        <f>+IFERROR(VLOOKUP(T313,'TARIFAS 2025'!$D$168:$G$178,4,1),0)</f>
        <v>0</v>
      </c>
      <c r="U316" s="137"/>
    </row>
    <row r="317" spans="5:21" x14ac:dyDescent="0.25">
      <c r="E317" s="127"/>
      <c r="F317" s="123" t="s">
        <v>297</v>
      </c>
      <c r="G317" s="53"/>
      <c r="H317" s="123"/>
      <c r="I317" s="53"/>
      <c r="J317" s="123"/>
      <c r="K317" s="53">
        <f>+K315*K316</f>
        <v>0</v>
      </c>
      <c r="L317" s="128"/>
      <c r="N317" s="127"/>
      <c r="O317" s="123" t="s">
        <v>297</v>
      </c>
      <c r="P317" s="53"/>
      <c r="Q317" s="123"/>
      <c r="R317" s="53"/>
      <c r="S317" s="123"/>
      <c r="T317" s="53">
        <f>+T315*T316</f>
        <v>0</v>
      </c>
      <c r="U317" s="128"/>
    </row>
    <row r="318" spans="5:21" x14ac:dyDescent="0.25">
      <c r="E318" s="127"/>
      <c r="F318" s="123" t="s">
        <v>305</v>
      </c>
      <c r="G318" s="53"/>
      <c r="H318" s="123"/>
      <c r="I318" s="53"/>
      <c r="J318" s="123"/>
      <c r="K318" s="53">
        <f>+IFERROR(VLOOKUP(K313,'TARIFAS 2025'!D$168:$G$178,3,1),0)</f>
        <v>0</v>
      </c>
      <c r="L318" s="128"/>
      <c r="N318" s="127"/>
      <c r="O318" s="123" t="s">
        <v>305</v>
      </c>
      <c r="P318" s="53"/>
      <c r="Q318" s="123"/>
      <c r="R318" s="53"/>
      <c r="S318" s="123"/>
      <c r="T318" s="53">
        <f>+IFERROR(VLOOKUP(T313,'TARIFAS 2025'!D$168:$G$178,3,1),0)</f>
        <v>0</v>
      </c>
      <c r="U318" s="128"/>
    </row>
    <row r="319" spans="5:21" x14ac:dyDescent="0.25">
      <c r="E319" s="127"/>
      <c r="F319" s="123" t="s">
        <v>306</v>
      </c>
      <c r="G319" s="53">
        <f>+IF('Datos y Resumen '!E60=1,'DATOS PARA AJUSTE'!I51,'ISR '!Q52)</f>
        <v>0</v>
      </c>
      <c r="H319" s="123"/>
      <c r="I319" s="53">
        <f>+IF('Datos y Resumen '!E60=1,K319-G319,0)</f>
        <v>0</v>
      </c>
      <c r="J319" s="123"/>
      <c r="K319" s="53">
        <f>+K317+K318</f>
        <v>0</v>
      </c>
      <c r="L319" s="128"/>
      <c r="N319" s="127"/>
      <c r="O319" s="123" t="s">
        <v>306</v>
      </c>
      <c r="P319" s="53">
        <f>+IF('Datos y Resumen '!E60=1,'DATOS PARA AJUSTE'!I52,'ISR '!Q53)</f>
        <v>0</v>
      </c>
      <c r="Q319" s="123"/>
      <c r="R319" s="53">
        <f>+IF('Datos y Resumen '!E60=1,T319-P319,0)</f>
        <v>0</v>
      </c>
      <c r="S319" s="123"/>
      <c r="T319" s="53">
        <f>+T317+T318</f>
        <v>0</v>
      </c>
      <c r="U319" s="128"/>
    </row>
    <row r="320" spans="5:21" x14ac:dyDescent="0.25">
      <c r="E320" s="127"/>
      <c r="F320" s="123" t="s">
        <v>307</v>
      </c>
      <c r="G320" s="53">
        <f>+IF('Datos y Resumen '!E60=1,'DATOS PARA AJUSTE'!J51,'ISR '!R52)</f>
        <v>0</v>
      </c>
      <c r="H320" s="123"/>
      <c r="I320" s="53">
        <f>IF('Datos y Resumen '!E60=1,IF(K320&gt;=G320,K320-G320,0),0)</f>
        <v>0</v>
      </c>
      <c r="J320" s="123"/>
      <c r="K320" s="53">
        <f>+IFERROR(VLOOKUP(K313,'TARIFAS 2025'!$J$168:$L$178,3,1),0)</f>
        <v>0</v>
      </c>
      <c r="L320" s="128"/>
      <c r="N320" s="127"/>
      <c r="O320" s="123" t="s">
        <v>307</v>
      </c>
      <c r="P320" s="53">
        <f>+IF('Datos y Resumen '!E60=1,'DATOS PARA AJUSTE'!J52,'ISR '!R53)</f>
        <v>0</v>
      </c>
      <c r="Q320" s="123"/>
      <c r="R320" s="53">
        <f>IF('Datos y Resumen '!E60=1,IF(T320&gt;=P320,T320-P320,0),0)</f>
        <v>0</v>
      </c>
      <c r="S320" s="123"/>
      <c r="T320" s="53">
        <f>+IFERROR(VLOOKUP(T313,'TARIFAS 2025'!$J$168:$L$178,3,1),0)</f>
        <v>0</v>
      </c>
      <c r="U320" s="128"/>
    </row>
    <row r="321" spans="5:21" x14ac:dyDescent="0.25">
      <c r="E321" s="127"/>
      <c r="F321" s="123" t="s">
        <v>298</v>
      </c>
      <c r="G321" s="53">
        <f>+IF('Datos y Resumen '!E60=1,'DATOS PARA AJUSTE'!K51,'ISR '!S52)</f>
        <v>0</v>
      </c>
      <c r="H321" s="123"/>
      <c r="I321" s="53">
        <f>+IF(I319&gt;=I320,I319-I320,0)</f>
        <v>0</v>
      </c>
      <c r="J321" s="123"/>
      <c r="K321" s="53">
        <f>+IF(K319&gt;=K320,K319-K320,0)</f>
        <v>0</v>
      </c>
      <c r="L321" s="128"/>
      <c r="N321" s="127"/>
      <c r="O321" s="123" t="s">
        <v>298</v>
      </c>
      <c r="P321" s="53">
        <f>+IF('Datos y Resumen '!E60=1,'DATOS PARA AJUSTE'!K52,'ISR '!S53)</f>
        <v>0</v>
      </c>
      <c r="Q321" s="123"/>
      <c r="R321" s="53">
        <f>+IF(R319&gt;=R320,R319-R320,0)</f>
        <v>0</v>
      </c>
      <c r="S321" s="123"/>
      <c r="T321" s="53">
        <f>+IF(T319&gt;=T320,T319-T320,0)</f>
        <v>0</v>
      </c>
      <c r="U321" s="128"/>
    </row>
    <row r="322" spans="5:21" ht="16.5" thickBot="1" x14ac:dyDescent="0.3">
      <c r="E322" s="129"/>
      <c r="F322" s="130" t="s">
        <v>299</v>
      </c>
      <c r="G322" s="131">
        <f>+IF('Datos y Resumen '!E60=1,'DATOS PARA AJUSTE'!L51,'ISR '!T52)</f>
        <v>0</v>
      </c>
      <c r="H322" s="130"/>
      <c r="I322" s="131">
        <f>+IF(I320&gt;=I319,I320-I319,0)</f>
        <v>0</v>
      </c>
      <c r="J322" s="130"/>
      <c r="K322" s="131">
        <f>+IF(K320&gt;=K319,K320-K319,0)</f>
        <v>0</v>
      </c>
      <c r="L322" s="132"/>
      <c r="N322" s="129"/>
      <c r="O322" s="130" t="s">
        <v>299</v>
      </c>
      <c r="P322" s="131">
        <f>+IF('Datos y Resumen '!E60=1,'DATOS PARA AJUSTE'!L52,'ISR '!T53)</f>
        <v>0</v>
      </c>
      <c r="Q322" s="130"/>
      <c r="R322" s="131">
        <f>+IF(R320&gt;=R319,R320-R319,0)</f>
        <v>0</v>
      </c>
      <c r="S322" s="130"/>
      <c r="T322" s="131">
        <f>+IF(T320&gt;=T319,T320-T319,0)</f>
        <v>0</v>
      </c>
      <c r="U322" s="132"/>
    </row>
    <row r="323" spans="5:21" ht="16.5" thickBot="1" x14ac:dyDescent="0.3"/>
    <row r="324" spans="5:21" ht="23.25" x14ac:dyDescent="0.25">
      <c r="E324" s="380" t="s">
        <v>300</v>
      </c>
      <c r="F324" s="381"/>
      <c r="G324" s="381"/>
      <c r="H324" s="381"/>
      <c r="I324" s="381"/>
      <c r="J324" s="381"/>
      <c r="K324" s="381"/>
      <c r="L324" s="382"/>
      <c r="N324" s="380" t="s">
        <v>300</v>
      </c>
      <c r="O324" s="381"/>
      <c r="P324" s="381"/>
      <c r="Q324" s="381"/>
      <c r="R324" s="381"/>
      <c r="S324" s="381"/>
      <c r="T324" s="381"/>
      <c r="U324" s="382"/>
    </row>
    <row r="325" spans="5:21" ht="16.5" x14ac:dyDescent="0.25">
      <c r="E325" s="69"/>
      <c r="F325" s="68" t="str">
        <f>+'LISTA TRABAJADORES'!E53</f>
        <v>47</v>
      </c>
      <c r="G325" s="379">
        <f>+'LISTA TRABAJADORES'!G53</f>
        <v>0</v>
      </c>
      <c r="H325" s="379"/>
      <c r="I325" s="379"/>
      <c r="J325" s="379"/>
      <c r="K325" s="67"/>
      <c r="L325" s="70"/>
      <c r="N325" s="69"/>
      <c r="O325" s="68" t="str">
        <f>+'LISTA TRABAJADORES'!E54</f>
        <v>48</v>
      </c>
      <c r="P325" s="379">
        <f>+'LISTA TRABAJADORES'!G54</f>
        <v>0</v>
      </c>
      <c r="Q325" s="379"/>
      <c r="R325" s="379"/>
      <c r="S325" s="379"/>
      <c r="T325" s="67"/>
      <c r="U325" s="70"/>
    </row>
    <row r="326" spans="5:21" x14ac:dyDescent="0.25">
      <c r="E326" s="71"/>
      <c r="F326" s="104"/>
      <c r="G326" s="104" t="s">
        <v>301</v>
      </c>
      <c r="H326" s="104"/>
      <c r="I326" s="104" t="s">
        <v>302</v>
      </c>
      <c r="J326" s="104"/>
      <c r="K326" s="104" t="s">
        <v>294</v>
      </c>
      <c r="L326" s="72"/>
      <c r="N326" s="71"/>
      <c r="O326" s="104"/>
      <c r="P326" s="104" t="s">
        <v>301</v>
      </c>
      <c r="Q326" s="104"/>
      <c r="R326" s="104" t="s">
        <v>302</v>
      </c>
      <c r="S326" s="104"/>
      <c r="T326" s="104" t="s">
        <v>294</v>
      </c>
      <c r="U326" s="72"/>
    </row>
    <row r="327" spans="5:21" x14ac:dyDescent="0.25">
      <c r="E327" s="127"/>
      <c r="F327" s="123" t="s">
        <v>303</v>
      </c>
      <c r="G327" s="53">
        <f>+IF('Datos y Resumen '!E60=1,'DATOS PARA AJUSTE'!H53,'ISR '!K54)</f>
        <v>0</v>
      </c>
      <c r="H327" s="123"/>
      <c r="I327" s="53">
        <f>+IF('Datos y Resumen '!E60=1,'ISR '!K54,0)</f>
        <v>0</v>
      </c>
      <c r="J327" s="123"/>
      <c r="K327" s="53">
        <f>+G327+I327</f>
        <v>0</v>
      </c>
      <c r="L327" s="128"/>
      <c r="N327" s="127"/>
      <c r="O327" s="123" t="s">
        <v>303</v>
      </c>
      <c r="P327" s="53">
        <f>+IF('Datos y Resumen '!E60=1,'DATOS PARA AJUSTE'!H54,'ISR '!K55)</f>
        <v>0</v>
      </c>
      <c r="Q327" s="123"/>
      <c r="R327" s="53">
        <f>+IF('Datos y Resumen '!E60=1,'ISR '!K55,0)</f>
        <v>0</v>
      </c>
      <c r="S327" s="123"/>
      <c r="T327" s="53">
        <f>+P327+R327</f>
        <v>0</v>
      </c>
      <c r="U327" s="128"/>
    </row>
    <row r="328" spans="5:21" x14ac:dyDescent="0.25">
      <c r="E328" s="127"/>
      <c r="F328" s="123" t="s">
        <v>295</v>
      </c>
      <c r="G328" s="53"/>
      <c r="H328" s="123"/>
      <c r="I328" s="53"/>
      <c r="J328" s="123"/>
      <c r="K328" s="53">
        <f>+IFERROR(VLOOKUP(K327,'TARIFAS 2025'!$D$168:$G$178,1,1),0)</f>
        <v>0</v>
      </c>
      <c r="L328" s="128"/>
      <c r="N328" s="127"/>
      <c r="O328" s="123" t="s">
        <v>295</v>
      </c>
      <c r="P328" s="53"/>
      <c r="Q328" s="123"/>
      <c r="R328" s="53"/>
      <c r="S328" s="123"/>
      <c r="T328" s="53">
        <f>+IFERROR(VLOOKUP(T327,'TARIFAS 2025'!$D$168:$G$178,1,1),0)</f>
        <v>0</v>
      </c>
      <c r="U328" s="128"/>
    </row>
    <row r="329" spans="5:21" x14ac:dyDescent="0.25">
      <c r="E329" s="127"/>
      <c r="F329" s="123" t="s">
        <v>296</v>
      </c>
      <c r="G329" s="53"/>
      <c r="H329" s="123"/>
      <c r="I329" s="53"/>
      <c r="J329" s="123"/>
      <c r="K329" s="53">
        <f>+K327-K328</f>
        <v>0</v>
      </c>
      <c r="L329" s="128"/>
      <c r="N329" s="127"/>
      <c r="O329" s="123" t="s">
        <v>296</v>
      </c>
      <c r="P329" s="53"/>
      <c r="Q329" s="123"/>
      <c r="R329" s="53"/>
      <c r="S329" s="123"/>
      <c r="T329" s="53">
        <f>+T327-T328</f>
        <v>0</v>
      </c>
      <c r="U329" s="128"/>
    </row>
    <row r="330" spans="5:21" s="133" customFormat="1" x14ac:dyDescent="0.25">
      <c r="E330" s="134"/>
      <c r="F330" s="135" t="s">
        <v>304</v>
      </c>
      <c r="G330" s="136"/>
      <c r="H330" s="135"/>
      <c r="I330" s="136"/>
      <c r="J330" s="135"/>
      <c r="K330" s="136">
        <f>+IFERROR(VLOOKUP(K327,'TARIFAS 2025'!$D$168:$G$178,4,1),0)</f>
        <v>0</v>
      </c>
      <c r="L330" s="137"/>
      <c r="N330" s="134"/>
      <c r="O330" s="135" t="s">
        <v>304</v>
      </c>
      <c r="P330" s="136"/>
      <c r="Q330" s="135"/>
      <c r="R330" s="136"/>
      <c r="S330" s="135"/>
      <c r="T330" s="136">
        <f>+IFERROR(VLOOKUP(T327,'TARIFAS 2025'!$D$168:$G$178,4,1),0)</f>
        <v>0</v>
      </c>
      <c r="U330" s="137"/>
    </row>
    <row r="331" spans="5:21" x14ac:dyDescent="0.25">
      <c r="E331" s="127"/>
      <c r="F331" s="123" t="s">
        <v>297</v>
      </c>
      <c r="G331" s="53"/>
      <c r="H331" s="123"/>
      <c r="I331" s="53"/>
      <c r="J331" s="123"/>
      <c r="K331" s="53">
        <f>+K329*K330</f>
        <v>0</v>
      </c>
      <c r="L331" s="128"/>
      <c r="N331" s="127"/>
      <c r="O331" s="123" t="s">
        <v>297</v>
      </c>
      <c r="P331" s="53"/>
      <c r="Q331" s="123"/>
      <c r="R331" s="53"/>
      <c r="S331" s="123"/>
      <c r="T331" s="53">
        <f>+T329*T330</f>
        <v>0</v>
      </c>
      <c r="U331" s="128"/>
    </row>
    <row r="332" spans="5:21" x14ac:dyDescent="0.25">
      <c r="E332" s="127"/>
      <c r="F332" s="123" t="s">
        <v>305</v>
      </c>
      <c r="G332" s="53"/>
      <c r="H332" s="123"/>
      <c r="I332" s="53"/>
      <c r="J332" s="123"/>
      <c r="K332" s="53">
        <f>+IFERROR(VLOOKUP(K327,'TARIFAS 2025'!D$168:$G$178,3,1),0)</f>
        <v>0</v>
      </c>
      <c r="L332" s="128"/>
      <c r="N332" s="127"/>
      <c r="O332" s="123" t="s">
        <v>305</v>
      </c>
      <c r="P332" s="53"/>
      <c r="Q332" s="123"/>
      <c r="R332" s="53"/>
      <c r="S332" s="123"/>
      <c r="T332" s="53">
        <f>+IFERROR(VLOOKUP(T327,'TARIFAS 2025'!D$168:$G$178,3,1),0)</f>
        <v>0</v>
      </c>
      <c r="U332" s="128"/>
    </row>
    <row r="333" spans="5:21" x14ac:dyDescent="0.25">
      <c r="E333" s="127"/>
      <c r="F333" s="123" t="s">
        <v>306</v>
      </c>
      <c r="G333" s="53">
        <f>+IF('Datos y Resumen '!E60=1,'DATOS PARA AJUSTE'!I53,'ISR '!Q54)</f>
        <v>0</v>
      </c>
      <c r="H333" s="123"/>
      <c r="I333" s="53">
        <f>+IF('Datos y Resumen '!E60=1,K333-G333,0)</f>
        <v>0</v>
      </c>
      <c r="J333" s="123"/>
      <c r="K333" s="53">
        <f>+K331+K332</f>
        <v>0</v>
      </c>
      <c r="L333" s="128"/>
      <c r="N333" s="127"/>
      <c r="O333" s="123" t="s">
        <v>306</v>
      </c>
      <c r="P333" s="53">
        <f>+IF('Datos y Resumen '!E60=1,'DATOS PARA AJUSTE'!I54,'ISR '!Q55)</f>
        <v>0</v>
      </c>
      <c r="Q333" s="123"/>
      <c r="R333" s="53">
        <f>+IF('Datos y Resumen '!E60=1,T333-P333,0)</f>
        <v>0</v>
      </c>
      <c r="S333" s="123"/>
      <c r="T333" s="53">
        <f>+T331+T332</f>
        <v>0</v>
      </c>
      <c r="U333" s="128"/>
    </row>
    <row r="334" spans="5:21" x14ac:dyDescent="0.25">
      <c r="E334" s="127"/>
      <c r="F334" s="123" t="s">
        <v>307</v>
      </c>
      <c r="G334" s="53">
        <f>+IF('Datos y Resumen '!E60=1,'DATOS PARA AJUSTE'!J53,'ISR '!R54)</f>
        <v>0</v>
      </c>
      <c r="H334" s="123"/>
      <c r="I334" s="53">
        <f>IF('Datos y Resumen '!E60=1,IF(K334&gt;=G334,K334-G334,0),0)</f>
        <v>0</v>
      </c>
      <c r="J334" s="123"/>
      <c r="K334" s="53">
        <f>+IFERROR(VLOOKUP(K327,'TARIFAS 2025'!$J$168:$L$178,3,1),0)</f>
        <v>0</v>
      </c>
      <c r="L334" s="128"/>
      <c r="N334" s="127"/>
      <c r="O334" s="123" t="s">
        <v>307</v>
      </c>
      <c r="P334" s="53">
        <f>+IF('Datos y Resumen '!E60=1,'DATOS PARA AJUSTE'!J54,'ISR '!R55)</f>
        <v>0</v>
      </c>
      <c r="Q334" s="123"/>
      <c r="R334" s="53">
        <f>IF('Datos y Resumen '!E60=1,IF(T334&gt;=P334,T334-P334,0),0)</f>
        <v>0</v>
      </c>
      <c r="S334" s="123"/>
      <c r="T334" s="53">
        <f>+IFERROR(VLOOKUP(T327,'TARIFAS 2025'!$J$168:$L$178,3,1),0)</f>
        <v>0</v>
      </c>
      <c r="U334" s="128"/>
    </row>
    <row r="335" spans="5:21" x14ac:dyDescent="0.25">
      <c r="E335" s="127"/>
      <c r="F335" s="123" t="s">
        <v>298</v>
      </c>
      <c r="G335" s="53">
        <f>+IF('Datos y Resumen '!E60=1,'DATOS PARA AJUSTE'!K53,'ISR '!S54)</f>
        <v>0</v>
      </c>
      <c r="H335" s="123"/>
      <c r="I335" s="53">
        <f>+IF(I333&gt;=I334,I333-I334,0)</f>
        <v>0</v>
      </c>
      <c r="J335" s="123"/>
      <c r="K335" s="53">
        <f>+IF(K333&gt;=K334,K333-K334,0)</f>
        <v>0</v>
      </c>
      <c r="L335" s="128"/>
      <c r="N335" s="127"/>
      <c r="O335" s="123" t="s">
        <v>298</v>
      </c>
      <c r="P335" s="53">
        <f>+IF('Datos y Resumen '!E60=1,'DATOS PARA AJUSTE'!K54,'ISR '!S55)</f>
        <v>0</v>
      </c>
      <c r="Q335" s="123"/>
      <c r="R335" s="53">
        <f>+IF(R333&gt;=R334,R333-R334,0)</f>
        <v>0</v>
      </c>
      <c r="S335" s="123"/>
      <c r="T335" s="53">
        <f>+IF(T333&gt;=T334,T333-T334,0)</f>
        <v>0</v>
      </c>
      <c r="U335" s="128"/>
    </row>
    <row r="336" spans="5:21" ht="16.5" thickBot="1" x14ac:dyDescent="0.3">
      <c r="E336" s="129"/>
      <c r="F336" s="130" t="s">
        <v>299</v>
      </c>
      <c r="G336" s="131">
        <f>+IF('Datos y Resumen '!E60=1,'DATOS PARA AJUSTE'!L53,'ISR '!T54)</f>
        <v>0</v>
      </c>
      <c r="H336" s="130"/>
      <c r="I336" s="131">
        <f>+IF(I334&gt;=I333,I334-I333,0)</f>
        <v>0</v>
      </c>
      <c r="J336" s="130"/>
      <c r="K336" s="131">
        <f>+IF(K334&gt;=K333,K334-K333,0)</f>
        <v>0</v>
      </c>
      <c r="L336" s="132"/>
      <c r="N336" s="129"/>
      <c r="O336" s="130" t="s">
        <v>299</v>
      </c>
      <c r="P336" s="131">
        <f>+IF('Datos y Resumen '!E60=1,'DATOS PARA AJUSTE'!L54,'ISR '!T55)</f>
        <v>0</v>
      </c>
      <c r="Q336" s="130"/>
      <c r="R336" s="131">
        <f>+IF(R334&gt;=R333,R334-R333,0)</f>
        <v>0</v>
      </c>
      <c r="S336" s="130"/>
      <c r="T336" s="131">
        <f>+IF(T334&gt;=T333,T334-T333,0)</f>
        <v>0</v>
      </c>
      <c r="U336" s="132"/>
    </row>
    <row r="337" spans="5:21" ht="16.5" thickBot="1" x14ac:dyDescent="0.3"/>
    <row r="338" spans="5:21" ht="23.25" x14ac:dyDescent="0.25">
      <c r="E338" s="380" t="s">
        <v>300</v>
      </c>
      <c r="F338" s="381"/>
      <c r="G338" s="381"/>
      <c r="H338" s="381"/>
      <c r="I338" s="381"/>
      <c r="J338" s="381"/>
      <c r="K338" s="381"/>
      <c r="L338" s="382"/>
      <c r="N338" s="380" t="s">
        <v>300</v>
      </c>
      <c r="O338" s="381"/>
      <c r="P338" s="381"/>
      <c r="Q338" s="381"/>
      <c r="R338" s="381"/>
      <c r="S338" s="381"/>
      <c r="T338" s="381"/>
      <c r="U338" s="382"/>
    </row>
    <row r="339" spans="5:21" ht="16.5" x14ac:dyDescent="0.25">
      <c r="E339" s="69"/>
      <c r="F339" s="68" t="str">
        <f>+'LISTA TRABAJADORES'!E55</f>
        <v>49</v>
      </c>
      <c r="G339" s="379">
        <f>+'LISTA TRABAJADORES'!G55</f>
        <v>0</v>
      </c>
      <c r="H339" s="379"/>
      <c r="I339" s="379"/>
      <c r="J339" s="379"/>
      <c r="K339" s="67"/>
      <c r="L339" s="70"/>
      <c r="N339" s="69"/>
      <c r="O339" s="68" t="str">
        <f>+'LISTA TRABAJADORES'!E56</f>
        <v>50</v>
      </c>
      <c r="P339" s="379">
        <f>+'LISTA TRABAJADORES'!G56</f>
        <v>0</v>
      </c>
      <c r="Q339" s="379"/>
      <c r="R339" s="379"/>
      <c r="S339" s="379"/>
      <c r="T339" s="67"/>
      <c r="U339" s="70"/>
    </row>
    <row r="340" spans="5:21" x14ac:dyDescent="0.25">
      <c r="E340" s="71"/>
      <c r="F340" s="104"/>
      <c r="G340" s="104" t="s">
        <v>301</v>
      </c>
      <c r="H340" s="104"/>
      <c r="I340" s="104" t="s">
        <v>302</v>
      </c>
      <c r="J340" s="104"/>
      <c r="K340" s="104" t="s">
        <v>294</v>
      </c>
      <c r="L340" s="72"/>
      <c r="N340" s="71"/>
      <c r="O340" s="104"/>
      <c r="P340" s="104" t="s">
        <v>301</v>
      </c>
      <c r="Q340" s="104"/>
      <c r="R340" s="104" t="s">
        <v>302</v>
      </c>
      <c r="S340" s="104"/>
      <c r="T340" s="104" t="s">
        <v>294</v>
      </c>
      <c r="U340" s="72"/>
    </row>
    <row r="341" spans="5:21" x14ac:dyDescent="0.25">
      <c r="E341" s="127"/>
      <c r="F341" s="123" t="s">
        <v>303</v>
      </c>
      <c r="G341" s="53">
        <f>+IF('Datos y Resumen '!E60=1,'DATOS PARA AJUSTE'!H55,'ISR '!K56)</f>
        <v>0</v>
      </c>
      <c r="H341" s="123"/>
      <c r="I341" s="53">
        <f>+IF('Datos y Resumen '!E60=1,'ISR '!K56,0)</f>
        <v>0</v>
      </c>
      <c r="J341" s="123"/>
      <c r="K341" s="53">
        <f>+G341+I341</f>
        <v>0</v>
      </c>
      <c r="L341" s="128"/>
      <c r="N341" s="127"/>
      <c r="O341" s="123" t="s">
        <v>303</v>
      </c>
      <c r="P341" s="53">
        <f>+IF('Datos y Resumen '!E60=1,'DATOS PARA AJUSTE'!H56,'ISR '!K57)</f>
        <v>0</v>
      </c>
      <c r="Q341" s="123"/>
      <c r="R341" s="53">
        <f>+IF('Datos y Resumen '!E60=1,'ISR '!K57,0)</f>
        <v>0</v>
      </c>
      <c r="S341" s="123"/>
      <c r="T341" s="53">
        <f>+P341+R341</f>
        <v>0</v>
      </c>
      <c r="U341" s="128"/>
    </row>
    <row r="342" spans="5:21" x14ac:dyDescent="0.25">
      <c r="E342" s="127"/>
      <c r="F342" s="123" t="s">
        <v>295</v>
      </c>
      <c r="G342" s="53"/>
      <c r="H342" s="123"/>
      <c r="I342" s="53"/>
      <c r="J342" s="123"/>
      <c r="K342" s="53">
        <f>+IFERROR(VLOOKUP(K341,'TARIFAS 2025'!$D$168:$G$178,1,1),0)</f>
        <v>0</v>
      </c>
      <c r="L342" s="128"/>
      <c r="N342" s="127"/>
      <c r="O342" s="123" t="s">
        <v>295</v>
      </c>
      <c r="P342" s="53"/>
      <c r="Q342" s="123"/>
      <c r="R342" s="53"/>
      <c r="S342" s="123"/>
      <c r="T342" s="53">
        <f>+IFERROR(VLOOKUP(T341,'TARIFAS 2025'!$D$168:$G$178,1,1),0)</f>
        <v>0</v>
      </c>
      <c r="U342" s="128"/>
    </row>
    <row r="343" spans="5:21" x14ac:dyDescent="0.25">
      <c r="E343" s="127"/>
      <c r="F343" s="123" t="s">
        <v>296</v>
      </c>
      <c r="G343" s="53"/>
      <c r="H343" s="123"/>
      <c r="I343" s="53"/>
      <c r="J343" s="123"/>
      <c r="K343" s="53">
        <f>+K341-K342</f>
        <v>0</v>
      </c>
      <c r="L343" s="128"/>
      <c r="N343" s="127"/>
      <c r="O343" s="123" t="s">
        <v>296</v>
      </c>
      <c r="P343" s="53"/>
      <c r="Q343" s="123"/>
      <c r="R343" s="53"/>
      <c r="S343" s="123"/>
      <c r="T343" s="53">
        <f>+T341-T342</f>
        <v>0</v>
      </c>
      <c r="U343" s="128"/>
    </row>
    <row r="344" spans="5:21" s="133" customFormat="1" x14ac:dyDescent="0.25">
      <c r="E344" s="134"/>
      <c r="F344" s="135" t="s">
        <v>304</v>
      </c>
      <c r="G344" s="136"/>
      <c r="H344" s="135"/>
      <c r="I344" s="136"/>
      <c r="J344" s="135"/>
      <c r="K344" s="136">
        <f>+IFERROR(VLOOKUP(K341,'TARIFAS 2025'!$D$168:$G$178,4,1),0)</f>
        <v>0</v>
      </c>
      <c r="L344" s="137"/>
      <c r="N344" s="134"/>
      <c r="O344" s="135" t="s">
        <v>304</v>
      </c>
      <c r="P344" s="136"/>
      <c r="Q344" s="135"/>
      <c r="R344" s="136"/>
      <c r="S344" s="135"/>
      <c r="T344" s="136">
        <f>+IFERROR(VLOOKUP(T341,'TARIFAS 2025'!$D$168:$G$178,4,1),0)</f>
        <v>0</v>
      </c>
      <c r="U344" s="137"/>
    </row>
    <row r="345" spans="5:21" x14ac:dyDescent="0.25">
      <c r="E345" s="127"/>
      <c r="F345" s="123" t="s">
        <v>297</v>
      </c>
      <c r="G345" s="53"/>
      <c r="H345" s="123"/>
      <c r="I345" s="53"/>
      <c r="J345" s="123"/>
      <c r="K345" s="53">
        <f>+K343*K344</f>
        <v>0</v>
      </c>
      <c r="L345" s="128"/>
      <c r="N345" s="127"/>
      <c r="O345" s="123" t="s">
        <v>297</v>
      </c>
      <c r="P345" s="53"/>
      <c r="Q345" s="123"/>
      <c r="R345" s="53"/>
      <c r="S345" s="123"/>
      <c r="T345" s="53">
        <f>+T343*T344</f>
        <v>0</v>
      </c>
      <c r="U345" s="128"/>
    </row>
    <row r="346" spans="5:21" x14ac:dyDescent="0.25">
      <c r="E346" s="127"/>
      <c r="F346" s="123" t="s">
        <v>305</v>
      </c>
      <c r="G346" s="53"/>
      <c r="H346" s="123"/>
      <c r="I346" s="53"/>
      <c r="J346" s="123"/>
      <c r="K346" s="53">
        <f>+IFERROR(VLOOKUP(K341,'TARIFAS 2025'!D$168:$G$178,3,1),0)</f>
        <v>0</v>
      </c>
      <c r="L346" s="128"/>
      <c r="N346" s="127"/>
      <c r="O346" s="123" t="s">
        <v>305</v>
      </c>
      <c r="P346" s="53"/>
      <c r="Q346" s="123"/>
      <c r="R346" s="53"/>
      <c r="S346" s="123"/>
      <c r="T346" s="53">
        <f>+IFERROR(VLOOKUP(T341,'TARIFAS 2025'!D$168:$G$178,3,1),0)</f>
        <v>0</v>
      </c>
      <c r="U346" s="128"/>
    </row>
    <row r="347" spans="5:21" x14ac:dyDescent="0.25">
      <c r="E347" s="127"/>
      <c r="F347" s="123" t="s">
        <v>306</v>
      </c>
      <c r="G347" s="53">
        <f>+IF('Datos y Resumen '!E60=1,'DATOS PARA AJUSTE'!I55,'ISR '!Q56)</f>
        <v>0</v>
      </c>
      <c r="H347" s="123"/>
      <c r="I347" s="53">
        <f>+IF('Datos y Resumen '!E60=1,K347-G347,0)</f>
        <v>0</v>
      </c>
      <c r="J347" s="123"/>
      <c r="K347" s="53">
        <f>+K345+K346</f>
        <v>0</v>
      </c>
      <c r="L347" s="128"/>
      <c r="N347" s="127"/>
      <c r="O347" s="123" t="s">
        <v>306</v>
      </c>
      <c r="P347" s="53">
        <f>+IF('Datos y Resumen '!E60=1,'DATOS PARA AJUSTE'!I56,'ISR '!Q57)</f>
        <v>0</v>
      </c>
      <c r="Q347" s="123"/>
      <c r="R347" s="53">
        <f>+IF('Datos y Resumen '!E60=1,T347-P347,0)</f>
        <v>0</v>
      </c>
      <c r="S347" s="123"/>
      <c r="T347" s="53">
        <f>+T345+T346</f>
        <v>0</v>
      </c>
      <c r="U347" s="128"/>
    </row>
    <row r="348" spans="5:21" x14ac:dyDescent="0.25">
      <c r="E348" s="127"/>
      <c r="F348" s="123" t="s">
        <v>307</v>
      </c>
      <c r="G348" s="53">
        <f>+IF('Datos y Resumen '!E60=1,'DATOS PARA AJUSTE'!J55,'ISR '!R56)</f>
        <v>0</v>
      </c>
      <c r="H348" s="123"/>
      <c r="I348" s="53">
        <f>IF('Datos y Resumen '!E60=1,IF(K348&gt;=G348,K348-G348,0),0)</f>
        <v>0</v>
      </c>
      <c r="J348" s="123"/>
      <c r="K348" s="53">
        <f>+IFERROR(VLOOKUP(K341,'TARIFAS 2025'!$J$168:$L$178,3,1),0)</f>
        <v>0</v>
      </c>
      <c r="L348" s="128"/>
      <c r="N348" s="127"/>
      <c r="O348" s="123" t="s">
        <v>307</v>
      </c>
      <c r="P348" s="53">
        <f>+IF('Datos y Resumen '!E60=1,'DATOS PARA AJUSTE'!J56,'ISR '!R57)</f>
        <v>0</v>
      </c>
      <c r="Q348" s="123"/>
      <c r="R348" s="53">
        <f>IF('Datos y Resumen '!E60=1,IF(T348&gt;=P348,T348-P348,0),0)</f>
        <v>0</v>
      </c>
      <c r="S348" s="123"/>
      <c r="T348" s="53">
        <f>+IFERROR(VLOOKUP(T341,'TARIFAS 2025'!$J$168:$L$178,3,1),0)</f>
        <v>0</v>
      </c>
      <c r="U348" s="128"/>
    </row>
    <row r="349" spans="5:21" x14ac:dyDescent="0.25">
      <c r="E349" s="127"/>
      <c r="F349" s="123" t="s">
        <v>298</v>
      </c>
      <c r="G349" s="53">
        <f>+IF('Datos y Resumen '!E60=1,'DATOS PARA AJUSTE'!K55,'ISR '!S56)</f>
        <v>0</v>
      </c>
      <c r="H349" s="123"/>
      <c r="I349" s="53">
        <f>+IF(I347&gt;=I348,I347-I348,0)</f>
        <v>0</v>
      </c>
      <c r="J349" s="123"/>
      <c r="K349" s="53">
        <f>+IF(K347&gt;=K348,K347-K348,0)</f>
        <v>0</v>
      </c>
      <c r="L349" s="128"/>
      <c r="N349" s="127"/>
      <c r="O349" s="123" t="s">
        <v>298</v>
      </c>
      <c r="P349" s="53">
        <f>+IF('Datos y Resumen '!E60=1,'DATOS PARA AJUSTE'!K56,'ISR '!S57)</f>
        <v>0</v>
      </c>
      <c r="Q349" s="123"/>
      <c r="R349" s="53">
        <f>+IF(R347&gt;=R348,R347-R348,0)</f>
        <v>0</v>
      </c>
      <c r="S349" s="123"/>
      <c r="T349" s="53">
        <f>+IF(T347&gt;=T348,T347-T348,0)</f>
        <v>0</v>
      </c>
      <c r="U349" s="128"/>
    </row>
    <row r="350" spans="5:21" ht="16.5" thickBot="1" x14ac:dyDescent="0.3">
      <c r="E350" s="129"/>
      <c r="F350" s="130" t="s">
        <v>299</v>
      </c>
      <c r="G350" s="131">
        <f>+IF('Datos y Resumen '!E60=1,'DATOS PARA AJUSTE'!L55,'ISR '!T56)</f>
        <v>0</v>
      </c>
      <c r="H350" s="130"/>
      <c r="I350" s="131">
        <f>+IF(I348&gt;=I347,I348-I347,0)</f>
        <v>0</v>
      </c>
      <c r="J350" s="130"/>
      <c r="K350" s="131">
        <f>+IF(K348&gt;=K347,K348-K347,0)</f>
        <v>0</v>
      </c>
      <c r="L350" s="132"/>
      <c r="N350" s="129"/>
      <c r="O350" s="130" t="s">
        <v>299</v>
      </c>
      <c r="P350" s="131">
        <f>+IF('Datos y Resumen '!E60=1,'DATOS PARA AJUSTE'!L56,'ISR '!T57)</f>
        <v>0</v>
      </c>
      <c r="Q350" s="130"/>
      <c r="R350" s="131">
        <f>+IF(R348&gt;=R347,R348-R347,0)</f>
        <v>0</v>
      </c>
      <c r="S350" s="130"/>
      <c r="T350" s="131">
        <f>+IF(T348&gt;=T347,T348-T347,0)</f>
        <v>0</v>
      </c>
      <c r="U350" s="132"/>
    </row>
    <row r="353" spans="7:7" x14ac:dyDescent="0.25">
      <c r="G353" s="138"/>
    </row>
    <row r="354" spans="7:7" x14ac:dyDescent="0.25">
      <c r="G354" s="138"/>
    </row>
    <row r="355" spans="7:7" x14ac:dyDescent="0.25">
      <c r="G355" s="138"/>
    </row>
  </sheetData>
  <mergeCells count="116">
    <mergeCell ref="B18:C18"/>
    <mergeCell ref="B2:C3"/>
    <mergeCell ref="B4:C4"/>
    <mergeCell ref="B5:C5"/>
    <mergeCell ref="B16:C16"/>
    <mergeCell ref="B17:C17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E30:L30"/>
    <mergeCell ref="G31:J31"/>
    <mergeCell ref="N30:U30"/>
    <mergeCell ref="P31:S31"/>
    <mergeCell ref="E44:L44"/>
    <mergeCell ref="E16:L16"/>
    <mergeCell ref="G17:J17"/>
    <mergeCell ref="N2:U2"/>
    <mergeCell ref="P3:S3"/>
    <mergeCell ref="N16:U16"/>
    <mergeCell ref="P17:S17"/>
    <mergeCell ref="G3:J3"/>
    <mergeCell ref="E2:L2"/>
    <mergeCell ref="E72:L72"/>
    <mergeCell ref="N72:U72"/>
    <mergeCell ref="G73:J73"/>
    <mergeCell ref="P73:S73"/>
    <mergeCell ref="E86:L86"/>
    <mergeCell ref="N86:U86"/>
    <mergeCell ref="G45:J45"/>
    <mergeCell ref="N44:U44"/>
    <mergeCell ref="P45:S45"/>
    <mergeCell ref="E58:L58"/>
    <mergeCell ref="G59:J59"/>
    <mergeCell ref="N58:U58"/>
    <mergeCell ref="P59:S59"/>
    <mergeCell ref="E114:L114"/>
    <mergeCell ref="N114:U114"/>
    <mergeCell ref="G115:J115"/>
    <mergeCell ref="P115:S115"/>
    <mergeCell ref="E128:L128"/>
    <mergeCell ref="N128:U128"/>
    <mergeCell ref="G87:J87"/>
    <mergeCell ref="P87:S87"/>
    <mergeCell ref="E100:L100"/>
    <mergeCell ref="N100:U100"/>
    <mergeCell ref="G101:J101"/>
    <mergeCell ref="P101:S101"/>
    <mergeCell ref="E156:L156"/>
    <mergeCell ref="N156:U156"/>
    <mergeCell ref="G157:J157"/>
    <mergeCell ref="P157:S157"/>
    <mergeCell ref="E170:L170"/>
    <mergeCell ref="N170:U170"/>
    <mergeCell ref="G129:J129"/>
    <mergeCell ref="P129:S129"/>
    <mergeCell ref="E142:L142"/>
    <mergeCell ref="N142:U142"/>
    <mergeCell ref="G143:J143"/>
    <mergeCell ref="P143:S143"/>
    <mergeCell ref="E198:L198"/>
    <mergeCell ref="N198:U198"/>
    <mergeCell ref="G199:J199"/>
    <mergeCell ref="P199:S199"/>
    <mergeCell ref="E212:L212"/>
    <mergeCell ref="N212:U212"/>
    <mergeCell ref="G171:J171"/>
    <mergeCell ref="P171:S171"/>
    <mergeCell ref="E184:L184"/>
    <mergeCell ref="N184:U184"/>
    <mergeCell ref="G185:J185"/>
    <mergeCell ref="P185:S185"/>
    <mergeCell ref="E240:L240"/>
    <mergeCell ref="N240:U240"/>
    <mergeCell ref="G241:J241"/>
    <mergeCell ref="P241:S241"/>
    <mergeCell ref="E254:L254"/>
    <mergeCell ref="N254:U254"/>
    <mergeCell ref="G213:J213"/>
    <mergeCell ref="P213:S213"/>
    <mergeCell ref="E226:L226"/>
    <mergeCell ref="N226:U226"/>
    <mergeCell ref="G227:J227"/>
    <mergeCell ref="P227:S227"/>
    <mergeCell ref="E282:L282"/>
    <mergeCell ref="N282:U282"/>
    <mergeCell ref="G283:J283"/>
    <mergeCell ref="P283:S283"/>
    <mergeCell ref="E296:L296"/>
    <mergeCell ref="N296:U296"/>
    <mergeCell ref="G255:J255"/>
    <mergeCell ref="P255:S255"/>
    <mergeCell ref="E268:L268"/>
    <mergeCell ref="N268:U268"/>
    <mergeCell ref="G269:J269"/>
    <mergeCell ref="P269:S269"/>
    <mergeCell ref="G339:J339"/>
    <mergeCell ref="P339:S339"/>
    <mergeCell ref="E324:L324"/>
    <mergeCell ref="N324:U324"/>
    <mergeCell ref="G325:J325"/>
    <mergeCell ref="P325:S325"/>
    <mergeCell ref="E338:L338"/>
    <mergeCell ref="N338:U338"/>
    <mergeCell ref="G297:J297"/>
    <mergeCell ref="P297:S297"/>
    <mergeCell ref="E310:L310"/>
    <mergeCell ref="N310:U310"/>
    <mergeCell ref="G311:J311"/>
    <mergeCell ref="P311:S311"/>
  </mergeCells>
  <hyperlinks>
    <hyperlink ref="B4:C4" location="'Datos y Resumen '!A1" display="DATOS Y RESUMEN" xr:uid="{E9E0CC92-EA1E-49DB-863F-8713881D09DB}"/>
    <hyperlink ref="B5:C5" location="'LISTA TRABAJADORES'!A1" display="LISTA DE TRABAJADORES" xr:uid="{CF4B202F-5BE1-41C8-AA18-35447356E192}"/>
    <hyperlink ref="B6:C6" location="'ISR '!A1" display="ISR" xr:uid="{12F1A6B3-66C2-494D-92C6-98EAC0FBFA6E}"/>
    <hyperlink ref="B7:C7" location="'OTRAS PRESTACIONES'!A1" display="OTRAS PRESTACIONES" xr:uid="{68ED460E-F4C5-4C16-8105-6652C692DAB8}"/>
    <hyperlink ref="B8:C8" location="'OTRAS RETENCIONES'!A1" display="OTRAS RETENCIONES" xr:uid="{B6DB9F6C-AC37-49F9-811D-B7F1B49DA73D}"/>
    <hyperlink ref="B9:C9" location="'DATOS PARA AJUSTE'!A1" display="DATOS PARA AJUSTE" xr:uid="{A976D054-0361-41CA-9E0B-440E4B691132}"/>
    <hyperlink ref="B10:C10" location="'AJUSTE AL SUBSIDIO '!A1" display="AJUSTE AL SUBSIDIO" xr:uid="{60BFEB28-5FE3-4C71-9D86-30D5858F8FB3}"/>
    <hyperlink ref="B11:C11" location="'COMPARACIÓN MENSUAL'!A1" display="COMPARACIÓN MENSUAL" xr:uid="{0801C404-4362-43AF-B81E-A4498BE25EF9}"/>
    <hyperlink ref="B12:C12" location="'CUOTAS IMSS'!A1" display="CUOTAS IMSS" xr:uid="{DEE14A93-7FD2-4221-A6DE-60D978077C31}"/>
    <hyperlink ref="B13:C13" location="'HORAS EXTRAS'!A1" display="HORAS EXTRAS" xr:uid="{B0D91971-8392-4A62-9136-EA3B1AFEC4E6}"/>
    <hyperlink ref="B14:C14" location="AGUINALDO!A1" display="AGUINALDO" xr:uid="{A260CDFB-497C-41F1-B7E4-78E41D958F16}"/>
    <hyperlink ref="B15:C15" location="'NOMINA FISCAL'!A1" display="NOMINA FISCAL " xr:uid="{FEC6638C-939B-4379-A50F-571A80CB478F}"/>
    <hyperlink ref="B16:C16" location="CONCEN!A1" display="CONCENTRADO" xr:uid="{A02FAD18-12BF-424C-BA3F-5BE440B14AB2}"/>
    <hyperlink ref="B17:C17" location="'TARIFAS 2022'!A1" display="TARIFAS 2022" xr:uid="{3D4C7348-F9E6-49C7-B379-73F43D39A5C0}"/>
    <hyperlink ref="B18:C18" location="'DATOS EXTRAS'!A1" display="DATOS EXTRAS" xr:uid="{7D1CDB19-74FA-455E-A0AE-D90AC806822A}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ERROR" error="EL TIPO DE CALCULO NO ES AJUSTADA" xr:uid="{208629B8-604B-40B7-AAEC-A8ED8E118C53}">
          <x14:formula1>
            <xm:f>'Datos y Resumen '!$E$60=1</xm:f>
          </x14:formula1>
          <xm:sqref>G6:G14 I6:I10 G20:G28 I20:I24 P6:P14 R6:R10 P20:P28 R20:R24 G34:G42 I34:I38 G328:G336 I328:I332 P328:P336 R328:R332 P34:P42 R34:R38 G48:G56 I48:I52 P48:P56 R48:R52 G62:G70 I62:I66 G76:G84 I76:I80 P62:P70 R62:R66 P76:P84 R76:R80 G90:G98 I90:I94 P90:P98 R90:R94 G104:G112 I104:I108 P104:P112 R104:R108 G118:G126 I118:I122 P118:P126 R118:R122 G132:G140 I132:I136 G146:G154 I146:I150 P132:P140 R132:R136 P146:P154 R146:R150 G160:G168 I160:I164 P160:P168 R160:R164 G174:G182 I174:I178 P174:P182 R174:R178 G188:G196 I188:I192 P188:P196 R188:R192 G202:G210 I202:I206 G216:G224 I216:I220 P202:P210 R202:R206 P216:P224 R216:R220 G230:G238 I230:I234 P230:P238 R230:R234 G244:G252 I244:I248 P244:P252 R244:R248 G258:G266 I258:I262 P258:P266 R258:R262 G272:G280 I272:I276 G286:G294 I286:I290 P272:P280 R272:R276 P286:P294 R286:R290 G300:G308 I300:I304 P300:P308 R300:R304 G314:G322 I314:I318 P314:P322 R314:R318 G342:G350 I342:I346 P342:P350 R342:R346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0F19-2709-4500-B870-FC668D5AB135}">
  <sheetPr codeName="Hoja9">
    <tabColor theme="3" tint="-0.499984740745262"/>
  </sheetPr>
  <dimension ref="B1:AH63"/>
  <sheetViews>
    <sheetView zoomScaleNormal="100" workbookViewId="0">
      <selection activeCell="B2" sqref="B2:C3"/>
    </sheetView>
  </sheetViews>
  <sheetFormatPr baseColWidth="10" defaultColWidth="11.42578125" defaultRowHeight="15" x14ac:dyDescent="0.25"/>
  <cols>
    <col min="1" max="1" width="1.85546875" customWidth="1"/>
    <col min="2" max="3" width="9.85546875" customWidth="1"/>
    <col min="4" max="4" width="3.28515625" customWidth="1"/>
    <col min="5" max="6" width="11.42578125" customWidth="1"/>
    <col min="7" max="7" width="35.140625" customWidth="1"/>
    <col min="8" max="8" width="11.42578125" style="34" customWidth="1"/>
    <col min="9" max="10" width="11.42578125" customWidth="1"/>
    <col min="19" max="19" width="14.140625" customWidth="1"/>
    <col min="21" max="21" width="14" customWidth="1"/>
    <col min="26" max="26" width="22.42578125" customWidth="1"/>
    <col min="27" max="27" width="21.7109375" customWidth="1"/>
    <col min="29" max="29" width="24.85546875" customWidth="1"/>
    <col min="30" max="30" width="18.140625" customWidth="1"/>
    <col min="31" max="31" width="22.140625" customWidth="1"/>
    <col min="32" max="32" width="13.28515625" customWidth="1"/>
    <col min="33" max="33" width="19.7109375" customWidth="1"/>
  </cols>
  <sheetData>
    <row r="1" spans="2:34" ht="5.25" customHeight="1" thickBot="1" x14ac:dyDescent="0.3"/>
    <row r="2" spans="2:34" ht="18" customHeight="1" x14ac:dyDescent="0.25">
      <c r="B2" s="300" t="s">
        <v>352</v>
      </c>
      <c r="C2" s="301"/>
      <c r="E2" s="250" t="str">
        <f>+'Datos y Resumen '!AC2</f>
        <v>A</v>
      </c>
    </row>
    <row r="3" spans="2:34" ht="15.75" customHeight="1" x14ac:dyDescent="0.25">
      <c r="B3" s="302"/>
      <c r="C3" s="303"/>
      <c r="E3" s="44" t="s">
        <v>233</v>
      </c>
    </row>
    <row r="4" spans="2:34" x14ac:dyDescent="0.25">
      <c r="B4" s="304" t="s">
        <v>312</v>
      </c>
      <c r="C4" s="305"/>
      <c r="E4" s="139"/>
      <c r="F4" s="139"/>
      <c r="G4" s="139"/>
      <c r="H4" s="389" t="s">
        <v>18</v>
      </c>
      <c r="I4" s="390"/>
      <c r="J4" s="390"/>
      <c r="K4" s="390"/>
      <c r="L4" s="390"/>
      <c r="M4" s="390"/>
      <c r="N4" s="390"/>
      <c r="O4" s="390"/>
      <c r="P4" s="390"/>
      <c r="Q4" s="390"/>
      <c r="R4" s="391"/>
      <c r="S4" s="389" t="s">
        <v>19</v>
      </c>
      <c r="T4" s="390"/>
      <c r="U4" s="390"/>
      <c r="V4" s="390"/>
      <c r="W4" s="390"/>
      <c r="X4" s="390"/>
      <c r="Y4" s="390"/>
      <c r="Z4" s="390"/>
      <c r="AA4" s="390"/>
      <c r="AB4" s="390"/>
      <c r="AC4" s="386" t="s">
        <v>291</v>
      </c>
      <c r="AD4" s="387"/>
      <c r="AE4" s="387"/>
      <c r="AF4" s="387"/>
      <c r="AG4" s="388"/>
      <c r="AH4" s="83"/>
    </row>
    <row r="5" spans="2:34" ht="15" customHeight="1" x14ac:dyDescent="0.25">
      <c r="B5" s="304" t="s">
        <v>233</v>
      </c>
      <c r="C5" s="305"/>
      <c r="E5" s="326" t="s">
        <v>66</v>
      </c>
      <c r="F5" s="328" t="s">
        <v>53</v>
      </c>
      <c r="G5" s="324" t="s">
        <v>65</v>
      </c>
      <c r="H5" s="322" t="s">
        <v>261</v>
      </c>
      <c r="I5" s="322" t="s">
        <v>262</v>
      </c>
      <c r="J5" s="322" t="s">
        <v>263</v>
      </c>
      <c r="K5" s="322" t="s">
        <v>264</v>
      </c>
      <c r="L5" s="322" t="s">
        <v>265</v>
      </c>
      <c r="M5" s="322" t="s">
        <v>266</v>
      </c>
      <c r="N5" s="322" t="s">
        <v>267</v>
      </c>
      <c r="O5" s="322" t="s">
        <v>268</v>
      </c>
      <c r="P5" s="322" t="s">
        <v>269</v>
      </c>
      <c r="Q5" s="322" t="s">
        <v>270</v>
      </c>
      <c r="R5" s="322" t="s">
        <v>271</v>
      </c>
      <c r="S5" s="384" t="s">
        <v>272</v>
      </c>
      <c r="T5" s="322" t="s">
        <v>273</v>
      </c>
      <c r="U5" s="384" t="s">
        <v>292</v>
      </c>
      <c r="V5" s="322" t="s">
        <v>275</v>
      </c>
      <c r="W5" s="322" t="s">
        <v>278</v>
      </c>
      <c r="X5" s="322" t="s">
        <v>276</v>
      </c>
      <c r="Y5" s="322" t="s">
        <v>277</v>
      </c>
      <c r="Z5" s="392" t="s">
        <v>279</v>
      </c>
      <c r="AA5" s="384" t="s">
        <v>280</v>
      </c>
      <c r="AB5" s="322" t="s">
        <v>281</v>
      </c>
      <c r="AC5" s="395" t="s">
        <v>286</v>
      </c>
      <c r="AD5" s="384" t="s">
        <v>287</v>
      </c>
      <c r="AE5" s="384" t="s">
        <v>288</v>
      </c>
      <c r="AF5" s="384" t="s">
        <v>289</v>
      </c>
      <c r="AG5" s="395" t="s">
        <v>290</v>
      </c>
      <c r="AH5" s="322" t="s">
        <v>326</v>
      </c>
    </row>
    <row r="6" spans="2:34" x14ac:dyDescent="0.25">
      <c r="B6" s="304" t="s">
        <v>62</v>
      </c>
      <c r="C6" s="305"/>
      <c r="E6" s="327"/>
      <c r="F6" s="329"/>
      <c r="G6" s="325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94"/>
      <c r="T6" s="323"/>
      <c r="U6" s="385"/>
      <c r="V6" s="323"/>
      <c r="W6" s="323"/>
      <c r="X6" s="323"/>
      <c r="Y6" s="323"/>
      <c r="Z6" s="393"/>
      <c r="AA6" s="394"/>
      <c r="AB6" s="323"/>
      <c r="AC6" s="396"/>
      <c r="AD6" s="385"/>
      <c r="AE6" s="385"/>
      <c r="AF6" s="385"/>
      <c r="AG6" s="396"/>
      <c r="AH6" s="365"/>
    </row>
    <row r="7" spans="2:34" x14ac:dyDescent="0.25">
      <c r="B7" s="306" t="s">
        <v>313</v>
      </c>
      <c r="C7" s="307"/>
      <c r="E7" s="28">
        <v>1</v>
      </c>
      <c r="F7" s="251">
        <f>+'LISTA TRABAJADORES'!F7</f>
        <v>54008317338</v>
      </c>
      <c r="G7" s="251" t="str">
        <f>+'LISTA TRABAJADORES'!G7</f>
        <v>JUAN PABLO CAMINOS</v>
      </c>
      <c r="H7" s="27">
        <f>+'LISTA TRABAJADORES'!H7*'ISR '!I8</f>
        <v>4182</v>
      </c>
      <c r="I7" s="27">
        <f>+'OTRAS PRESTACIONES'!Y8+'OTRAS PRESTACIONES'!Z8</f>
        <v>0</v>
      </c>
      <c r="J7" s="27">
        <f>+'OTRAS PRESTACIONES'!W8+'OTRAS PRESTACIONES'!X8</f>
        <v>0</v>
      </c>
      <c r="K7" s="27">
        <f>+'OTRAS PRESTACIONES'!L8</f>
        <v>0</v>
      </c>
      <c r="L7" s="27">
        <f>+'OTRAS PRESTACIONES'!O8+'OTRAS PRESTACIONES'!P8</f>
        <v>0</v>
      </c>
      <c r="M7" s="27">
        <f>+'OTRAS PRESTACIONES'!S8+'OTRAS PRESTACIONES'!T8</f>
        <v>0</v>
      </c>
      <c r="N7" s="27">
        <f>+'OTRAS PRESTACIONES'!Q8+'OTRAS PRESTACIONES'!R8</f>
        <v>0</v>
      </c>
      <c r="O7" s="27">
        <f>+'OTRAS PRESTACIONES'!V8</f>
        <v>0</v>
      </c>
      <c r="P7" s="27">
        <f>+'OTRAS PRESTACIONES'!AA8+'OTRAS PRESTACIONES'!AB8</f>
        <v>0</v>
      </c>
      <c r="Q7" s="27">
        <f>+'OTRAS PRESTACIONES'!N8</f>
        <v>0</v>
      </c>
      <c r="R7" s="27"/>
      <c r="S7" s="66"/>
      <c r="T7" s="66">
        <f>+'ISR '!S8</f>
        <v>64.17</v>
      </c>
      <c r="U7" s="66">
        <f>+'AJUSTE AL SUBSIDIO '!N7</f>
        <v>0</v>
      </c>
      <c r="V7" s="66">
        <f>+'OTRAS RETENCIONES'!H7</f>
        <v>0</v>
      </c>
      <c r="W7" s="66">
        <f>+'OTRAS RETENCIONES'!I7</f>
        <v>0</v>
      </c>
      <c r="X7" s="66">
        <f>+'CUOTAS IMSS'!X7</f>
        <v>0</v>
      </c>
      <c r="Y7" s="66">
        <f>+'OTRAS RETENCIONES'!L7</f>
        <v>0</v>
      </c>
      <c r="Z7" s="66">
        <f>+'AJUSTE AL SUBSIDIO '!O7</f>
        <v>0</v>
      </c>
      <c r="AA7" s="66">
        <f>+ABS('AJUSTE AL SUBSIDIO '!P7)</f>
        <v>0</v>
      </c>
      <c r="AB7" s="66">
        <f>+'OTRAS RETENCIONES'!L7</f>
        <v>0</v>
      </c>
      <c r="AC7" s="27">
        <f>+'ISR '!T8</f>
        <v>0</v>
      </c>
      <c r="AD7" s="27"/>
      <c r="AE7" s="27"/>
      <c r="AF7" s="27">
        <f>+'AJUSTE AL SUBSIDIO '!Q7</f>
        <v>0</v>
      </c>
      <c r="AG7" s="27">
        <f>+'AJUSTE AL SUBSIDIO '!R7</f>
        <v>0</v>
      </c>
      <c r="AH7" s="27">
        <f>+H7+I7+J7+K7+L7+M7+N7+O7+P7+Q7+R7-S7-T7-U7-V7-W7-X7-Y7-Z7-AB7+AC7+AD7+AE7</f>
        <v>4117.83</v>
      </c>
    </row>
    <row r="8" spans="2:34" ht="15.75" thickBot="1" x14ac:dyDescent="0.3">
      <c r="B8" s="304" t="s">
        <v>243</v>
      </c>
      <c r="C8" s="305"/>
      <c r="E8" s="28">
        <v>2</v>
      </c>
      <c r="F8" s="251">
        <f>+'LISTA TRABAJADORES'!F8</f>
        <v>4008063127</v>
      </c>
      <c r="G8" s="251" t="str">
        <f>+'LISTA TRABAJADORES'!G8</f>
        <v>HECTOR ULISES GARCIA</v>
      </c>
      <c r="H8" s="27">
        <f>+'LISTA TRABAJADORES'!H8*'ISR '!I9</f>
        <v>4182.1499999999996</v>
      </c>
      <c r="I8" s="27">
        <f>+'OTRAS PRESTACIONES'!Y9+'OTRAS PRESTACIONES'!Z9</f>
        <v>0</v>
      </c>
      <c r="J8" s="27">
        <f>+'OTRAS PRESTACIONES'!W9+'OTRAS PRESTACIONES'!X9</f>
        <v>0</v>
      </c>
      <c r="K8" s="27">
        <f>+'OTRAS PRESTACIONES'!L9</f>
        <v>0</v>
      </c>
      <c r="L8" s="27">
        <f>+'OTRAS PRESTACIONES'!O9+'OTRAS PRESTACIONES'!P9</f>
        <v>0</v>
      </c>
      <c r="M8" s="27">
        <f>+'OTRAS PRESTACIONES'!S9+'OTRAS PRESTACIONES'!T9</f>
        <v>0</v>
      </c>
      <c r="N8" s="27">
        <f>+'OTRAS PRESTACIONES'!Q9+'OTRAS PRESTACIONES'!R9</f>
        <v>0</v>
      </c>
      <c r="O8" s="27">
        <f>+'OTRAS PRESTACIONES'!V9</f>
        <v>0</v>
      </c>
      <c r="P8" s="27">
        <f>+'OTRAS PRESTACIONES'!AA9+'OTRAS PRESTACIONES'!AB9</f>
        <v>0</v>
      </c>
      <c r="Q8" s="27">
        <f>+'OTRAS PRESTACIONES'!N9</f>
        <v>0</v>
      </c>
      <c r="R8" s="27"/>
      <c r="S8" s="66"/>
      <c r="T8" s="66">
        <f>+'ISR '!S9</f>
        <v>64.19</v>
      </c>
      <c r="U8" s="66">
        <f>+'AJUSTE AL SUBSIDIO '!N8</f>
        <v>0</v>
      </c>
      <c r="V8" s="66">
        <f>+'OTRAS RETENCIONES'!H8</f>
        <v>0</v>
      </c>
      <c r="W8" s="66">
        <f>+'OTRAS RETENCIONES'!I8</f>
        <v>0</v>
      </c>
      <c r="X8" s="66">
        <f>+'CUOTAS IMSS'!X8</f>
        <v>104.22283738124997</v>
      </c>
      <c r="Y8" s="66">
        <f>+'OTRAS RETENCIONES'!L8</f>
        <v>0</v>
      </c>
      <c r="Z8" s="66">
        <f>+'AJUSTE AL SUBSIDIO '!O8</f>
        <v>0</v>
      </c>
      <c r="AA8" s="66">
        <f>+ABS('AJUSTE AL SUBSIDIO '!P8)</f>
        <v>0</v>
      </c>
      <c r="AB8" s="66">
        <f>+'OTRAS RETENCIONES'!L8</f>
        <v>0</v>
      </c>
      <c r="AC8" s="27">
        <f>+'ISR '!T9</f>
        <v>0</v>
      </c>
      <c r="AD8" s="27"/>
      <c r="AE8" s="27"/>
      <c r="AF8" s="27">
        <f>+'AJUSTE AL SUBSIDIO '!Q8</f>
        <v>0</v>
      </c>
      <c r="AG8" s="27">
        <f>+'AJUSTE AL SUBSIDIO '!R8</f>
        <v>0</v>
      </c>
      <c r="AH8" s="27">
        <f t="shared" ref="AH8:AH56" si="0">+H8+I8+J8+K8+L8+M8+N8+O8+P8+Q8+R8-S8-T8-U8-V8-W8-X8-Y8-Z8-AB8+AC8+AD8+AE8</f>
        <v>4013.7371626187501</v>
      </c>
    </row>
    <row r="9" spans="2:34" x14ac:dyDescent="0.25">
      <c r="B9" s="310" t="s">
        <v>344</v>
      </c>
      <c r="C9" s="311"/>
      <c r="E9" s="28">
        <v>3</v>
      </c>
      <c r="F9" s="251">
        <f>+'LISTA TRABAJADORES'!F9</f>
        <v>4997999471</v>
      </c>
      <c r="G9" s="251" t="str">
        <f>+'LISTA TRABAJADORES'!G9</f>
        <v>MARISOL VILLA</v>
      </c>
      <c r="H9" s="27">
        <f>+'LISTA TRABAJADORES'!H9*'ISR '!I10</f>
        <v>4200</v>
      </c>
      <c r="I9" s="27">
        <f>+'OTRAS PRESTACIONES'!Y10+'OTRAS PRESTACIONES'!Z10</f>
        <v>0</v>
      </c>
      <c r="J9" s="27">
        <f>+'OTRAS PRESTACIONES'!W10+'OTRAS PRESTACIONES'!X10</f>
        <v>0</v>
      </c>
      <c r="K9" s="27">
        <f>+'OTRAS PRESTACIONES'!L10</f>
        <v>0</v>
      </c>
      <c r="L9" s="27">
        <f>+'OTRAS PRESTACIONES'!O10+'OTRAS PRESTACIONES'!P10</f>
        <v>0</v>
      </c>
      <c r="M9" s="27">
        <f>+'OTRAS PRESTACIONES'!S10+'OTRAS PRESTACIONES'!T10</f>
        <v>0</v>
      </c>
      <c r="N9" s="27">
        <f>+'OTRAS PRESTACIONES'!Q10+'OTRAS PRESTACIONES'!R10</f>
        <v>0</v>
      </c>
      <c r="O9" s="27">
        <f>+'OTRAS PRESTACIONES'!V10</f>
        <v>0</v>
      </c>
      <c r="P9" s="27">
        <f>+'OTRAS PRESTACIONES'!AA10+'OTRAS PRESTACIONES'!AB10</f>
        <v>0</v>
      </c>
      <c r="Q9" s="27">
        <f>+'OTRAS PRESTACIONES'!N10</f>
        <v>0</v>
      </c>
      <c r="R9" s="27"/>
      <c r="S9" s="66"/>
      <c r="T9" s="66">
        <f>+'ISR '!S10</f>
        <v>66.13</v>
      </c>
      <c r="U9" s="66">
        <f>+'AJUSTE AL SUBSIDIO '!N9</f>
        <v>0</v>
      </c>
      <c r="V9" s="66">
        <f>+'OTRAS RETENCIONES'!H9</f>
        <v>0</v>
      </c>
      <c r="W9" s="66">
        <f>+'OTRAS RETENCIONES'!I9</f>
        <v>0</v>
      </c>
      <c r="X9" s="66">
        <f>+'CUOTAS IMSS'!X9</f>
        <v>104.66767499999999</v>
      </c>
      <c r="Y9" s="66">
        <f>+'OTRAS RETENCIONES'!L9</f>
        <v>0</v>
      </c>
      <c r="Z9" s="66">
        <f>+'AJUSTE AL SUBSIDIO '!O9</f>
        <v>0</v>
      </c>
      <c r="AA9" s="66">
        <f>+ABS('AJUSTE AL SUBSIDIO '!P9)</f>
        <v>0</v>
      </c>
      <c r="AB9" s="66">
        <f>+'OTRAS RETENCIONES'!L9</f>
        <v>0</v>
      </c>
      <c r="AC9" s="27">
        <f>+'ISR '!T10</f>
        <v>0</v>
      </c>
      <c r="AD9" s="27"/>
      <c r="AE9" s="27"/>
      <c r="AF9" s="27">
        <f>+'AJUSTE AL SUBSIDIO '!Q9</f>
        <v>0</v>
      </c>
      <c r="AG9" s="27">
        <f>+'AJUSTE AL SUBSIDIO '!R9</f>
        <v>0</v>
      </c>
      <c r="AH9" s="27">
        <f>+H9+I9+J9+K9+L9+M9+N9+O9+P9+Q9+R9-S9-T9-U9-V9-W9-X9-Y9-Z9-AB9+AC9+AD9+AE9</f>
        <v>4029.2023249999997</v>
      </c>
    </row>
    <row r="10" spans="2:34" x14ac:dyDescent="0.25">
      <c r="B10" s="312" t="s">
        <v>345</v>
      </c>
      <c r="C10" s="313"/>
      <c r="E10" s="28">
        <v>4</v>
      </c>
      <c r="F10" s="251">
        <f>+'LISTA TRABAJADORES'!F10</f>
        <v>5158985232</v>
      </c>
      <c r="G10" s="251" t="str">
        <f>+'LISTA TRABAJADORES'!G10</f>
        <v>MARCO PEREZ</v>
      </c>
      <c r="H10" s="27">
        <f>+'LISTA TRABAJADORES'!H10*'ISR '!I11</f>
        <v>4350</v>
      </c>
      <c r="I10" s="27">
        <f>+'OTRAS PRESTACIONES'!Y11+'OTRAS PRESTACIONES'!Z11</f>
        <v>0</v>
      </c>
      <c r="J10" s="27">
        <f>+'OTRAS PRESTACIONES'!W11+'OTRAS PRESTACIONES'!X11</f>
        <v>0</v>
      </c>
      <c r="K10" s="27">
        <f>+'OTRAS PRESTACIONES'!L11</f>
        <v>0</v>
      </c>
      <c r="L10" s="27">
        <f>+'OTRAS PRESTACIONES'!O11+'OTRAS PRESTACIONES'!P11</f>
        <v>0</v>
      </c>
      <c r="M10" s="27">
        <f>+'OTRAS PRESTACIONES'!S11+'OTRAS PRESTACIONES'!T11</f>
        <v>0</v>
      </c>
      <c r="N10" s="27">
        <f>+'OTRAS PRESTACIONES'!Q11+'OTRAS PRESTACIONES'!R11</f>
        <v>0</v>
      </c>
      <c r="O10" s="27">
        <f>+'OTRAS PRESTACIONES'!V11</f>
        <v>0</v>
      </c>
      <c r="P10" s="27">
        <f>+'OTRAS PRESTACIONES'!AA11+'OTRAS PRESTACIONES'!AB11</f>
        <v>0</v>
      </c>
      <c r="Q10" s="27">
        <f>+'OTRAS PRESTACIONES'!N11</f>
        <v>0</v>
      </c>
      <c r="R10" s="27"/>
      <c r="S10" s="66"/>
      <c r="T10" s="66">
        <f>+'ISR '!S11</f>
        <v>82.45</v>
      </c>
      <c r="U10" s="66">
        <f>+'AJUSTE AL SUBSIDIO '!N10</f>
        <v>0</v>
      </c>
      <c r="V10" s="66">
        <f>+'OTRAS RETENCIONES'!H10</f>
        <v>0</v>
      </c>
      <c r="W10" s="66">
        <f>+'OTRAS RETENCIONES'!I10</f>
        <v>0</v>
      </c>
      <c r="X10" s="66">
        <f>+'CUOTAS IMSS'!X10</f>
        <v>108.40580625000001</v>
      </c>
      <c r="Y10" s="66">
        <f>+'OTRAS RETENCIONES'!L10</f>
        <v>0</v>
      </c>
      <c r="Z10" s="66">
        <f>+'AJUSTE AL SUBSIDIO '!O10</f>
        <v>0</v>
      </c>
      <c r="AA10" s="66">
        <f>+ABS('AJUSTE AL SUBSIDIO '!P10)</f>
        <v>0</v>
      </c>
      <c r="AB10" s="66">
        <f>+'OTRAS RETENCIONES'!L10</f>
        <v>0</v>
      </c>
      <c r="AC10" s="27">
        <f>+'ISR '!T11</f>
        <v>0</v>
      </c>
      <c r="AD10" s="27"/>
      <c r="AE10" s="27"/>
      <c r="AF10" s="27">
        <f>+'AJUSTE AL SUBSIDIO '!Q10</f>
        <v>0</v>
      </c>
      <c r="AG10" s="27">
        <f>+'AJUSTE AL SUBSIDIO '!R10</f>
        <v>0</v>
      </c>
      <c r="AH10" s="27">
        <f t="shared" si="0"/>
        <v>4159.1441937500003</v>
      </c>
    </row>
    <row r="11" spans="2:34" ht="15.75" thickBot="1" x14ac:dyDescent="0.3">
      <c r="B11" s="314" t="s">
        <v>346</v>
      </c>
      <c r="C11" s="315"/>
      <c r="E11" s="28">
        <v>5</v>
      </c>
      <c r="F11" s="251">
        <f>+'LISTA TRABAJADORES'!F11</f>
        <v>5478565521</v>
      </c>
      <c r="G11" s="251" t="str">
        <f>+'LISTA TRABAJADORES'!G11</f>
        <v>ALEJANDRO VENEGAS</v>
      </c>
      <c r="H11" s="27">
        <f>+'LISTA TRABAJADORES'!H11*'ISR '!I12</f>
        <v>4500</v>
      </c>
      <c r="I11" s="27">
        <f>+'OTRAS PRESTACIONES'!Y12+'OTRAS PRESTACIONES'!Z12</f>
        <v>0</v>
      </c>
      <c r="J11" s="27">
        <f>+'OTRAS PRESTACIONES'!W12+'OTRAS PRESTACIONES'!X12</f>
        <v>0</v>
      </c>
      <c r="K11" s="27">
        <f>+'OTRAS PRESTACIONES'!L12</f>
        <v>0</v>
      </c>
      <c r="L11" s="27">
        <f>+'OTRAS PRESTACIONES'!O12+'OTRAS PRESTACIONES'!P12</f>
        <v>0</v>
      </c>
      <c r="M11" s="27">
        <f>+'OTRAS PRESTACIONES'!S12+'OTRAS PRESTACIONES'!T12</f>
        <v>0</v>
      </c>
      <c r="N11" s="27">
        <f>+'OTRAS PRESTACIONES'!Q12+'OTRAS PRESTACIONES'!R12</f>
        <v>0</v>
      </c>
      <c r="O11" s="27">
        <f>+'OTRAS PRESTACIONES'!V12</f>
        <v>0</v>
      </c>
      <c r="P11" s="27">
        <f>+'OTRAS PRESTACIONES'!AA12+'OTRAS PRESTACIONES'!AB12</f>
        <v>0</v>
      </c>
      <c r="Q11" s="27">
        <f>+'OTRAS PRESTACIONES'!N12</f>
        <v>0</v>
      </c>
      <c r="R11" s="27"/>
      <c r="S11" s="66"/>
      <c r="T11" s="66">
        <f>+'ISR '!S12</f>
        <v>98.77</v>
      </c>
      <c r="U11" s="66">
        <f>+'AJUSTE AL SUBSIDIO '!N11</f>
        <v>0</v>
      </c>
      <c r="V11" s="66">
        <f>+'OTRAS RETENCIONES'!H11</f>
        <v>0</v>
      </c>
      <c r="W11" s="66">
        <f>+'OTRAS RETENCIONES'!I11</f>
        <v>0</v>
      </c>
      <c r="X11" s="66">
        <f>+'CUOTAS IMSS'!X11</f>
        <v>112.14393749999999</v>
      </c>
      <c r="Y11" s="66">
        <f>+'OTRAS RETENCIONES'!L11</f>
        <v>0</v>
      </c>
      <c r="Z11" s="66">
        <f>+'AJUSTE AL SUBSIDIO '!O11</f>
        <v>0</v>
      </c>
      <c r="AA11" s="66">
        <f>+ABS('AJUSTE AL SUBSIDIO '!P11)</f>
        <v>0</v>
      </c>
      <c r="AB11" s="66">
        <f>+'OTRAS RETENCIONES'!L11</f>
        <v>0</v>
      </c>
      <c r="AC11" s="27">
        <f>+'ISR '!T12</f>
        <v>0</v>
      </c>
      <c r="AD11" s="27"/>
      <c r="AE11" s="27"/>
      <c r="AF11" s="27">
        <f>+'AJUSTE AL SUBSIDIO '!Q11</f>
        <v>0</v>
      </c>
      <c r="AG11" s="27">
        <f>+'AJUSTE AL SUBSIDIO '!R11</f>
        <v>0</v>
      </c>
      <c r="AH11" s="27">
        <f t="shared" si="0"/>
        <v>4289.0860624999996</v>
      </c>
    </row>
    <row r="12" spans="2:34" x14ac:dyDescent="0.25">
      <c r="B12" s="304" t="s">
        <v>315</v>
      </c>
      <c r="C12" s="305"/>
      <c r="E12" s="28">
        <v>6</v>
      </c>
      <c r="F12" s="251">
        <f>+'LISTA TRABAJADORES'!F12</f>
        <v>5258525822</v>
      </c>
      <c r="G12" s="251" t="str">
        <f>+'LISTA TRABAJADORES'!G12</f>
        <v>MARTHA ZAVALA</v>
      </c>
      <c r="H12" s="27">
        <f>+'LISTA TRABAJADORES'!H12*'ISR '!I13</f>
        <v>5250</v>
      </c>
      <c r="I12" s="27">
        <f>+'OTRAS PRESTACIONES'!Y13+'OTRAS PRESTACIONES'!Z13</f>
        <v>0</v>
      </c>
      <c r="J12" s="27">
        <f>+'OTRAS PRESTACIONES'!W13+'OTRAS PRESTACIONES'!X13</f>
        <v>0</v>
      </c>
      <c r="K12" s="27">
        <f>+'OTRAS PRESTACIONES'!L13</f>
        <v>0</v>
      </c>
      <c r="L12" s="27">
        <f>+'OTRAS PRESTACIONES'!O13+'OTRAS PRESTACIONES'!P13</f>
        <v>0</v>
      </c>
      <c r="M12" s="27">
        <f>+'OTRAS PRESTACIONES'!S13+'OTRAS PRESTACIONES'!T13</f>
        <v>0</v>
      </c>
      <c r="N12" s="27">
        <f>+'OTRAS PRESTACIONES'!Q13+'OTRAS PRESTACIONES'!R13</f>
        <v>0</v>
      </c>
      <c r="O12" s="27">
        <f>+'OTRAS PRESTACIONES'!V13</f>
        <v>0</v>
      </c>
      <c r="P12" s="27">
        <f>+'OTRAS PRESTACIONES'!AA13+'OTRAS PRESTACIONES'!AB13</f>
        <v>0</v>
      </c>
      <c r="Q12" s="27">
        <f>+'OTRAS PRESTACIONES'!N13</f>
        <v>0</v>
      </c>
      <c r="R12" s="27"/>
      <c r="S12" s="66"/>
      <c r="T12" s="66">
        <f>+'ISR '!S13</f>
        <v>414.72</v>
      </c>
      <c r="U12" s="66">
        <f>+'AJUSTE AL SUBSIDIO '!N12</f>
        <v>0</v>
      </c>
      <c r="V12" s="66">
        <f>+'OTRAS RETENCIONES'!H12</f>
        <v>0</v>
      </c>
      <c r="W12" s="66">
        <f>+'OTRAS RETENCIONES'!I12</f>
        <v>0</v>
      </c>
      <c r="X12" s="66">
        <f>+'CUOTAS IMSS'!X12</f>
        <v>133.32729374999997</v>
      </c>
      <c r="Y12" s="66">
        <f>+'OTRAS RETENCIONES'!L12</f>
        <v>0</v>
      </c>
      <c r="Z12" s="66">
        <f>+'AJUSTE AL SUBSIDIO '!O12</f>
        <v>0</v>
      </c>
      <c r="AA12" s="66">
        <f>+ABS('AJUSTE AL SUBSIDIO '!P12)</f>
        <v>0</v>
      </c>
      <c r="AB12" s="66">
        <f>+'OTRAS RETENCIONES'!L12</f>
        <v>0</v>
      </c>
      <c r="AC12" s="27">
        <f>+'ISR '!T13</f>
        <v>0</v>
      </c>
      <c r="AD12" s="27"/>
      <c r="AE12" s="27"/>
      <c r="AF12" s="27">
        <f>+'AJUSTE AL SUBSIDIO '!Q12</f>
        <v>0</v>
      </c>
      <c r="AG12" s="27">
        <f>+'AJUSTE AL SUBSIDIO '!R12</f>
        <v>0</v>
      </c>
      <c r="AH12" s="27">
        <f t="shared" si="0"/>
        <v>4701.9527062500001</v>
      </c>
    </row>
    <row r="13" spans="2:34" x14ac:dyDescent="0.25">
      <c r="B13" s="304" t="s">
        <v>192</v>
      </c>
      <c r="C13" s="305"/>
      <c r="E13" s="28">
        <v>7</v>
      </c>
      <c r="F13" s="251">
        <f>+'LISTA TRABAJADORES'!F13</f>
        <v>2587566225</v>
      </c>
      <c r="G13" s="251" t="str">
        <f>+'LISTA TRABAJADORES'!G13</f>
        <v>CRISTINA MACIAS</v>
      </c>
      <c r="H13" s="27">
        <f>+'LISTA TRABAJADORES'!H13*'ISR '!I14</f>
        <v>6000</v>
      </c>
      <c r="I13" s="27">
        <f>+'OTRAS PRESTACIONES'!Y14+'OTRAS PRESTACIONES'!Z14</f>
        <v>0</v>
      </c>
      <c r="J13" s="27">
        <f>+'OTRAS PRESTACIONES'!W14+'OTRAS PRESTACIONES'!X14</f>
        <v>0</v>
      </c>
      <c r="K13" s="27">
        <f>+'OTRAS PRESTACIONES'!L14</f>
        <v>0</v>
      </c>
      <c r="L13" s="27">
        <f>+'OTRAS PRESTACIONES'!O14+'OTRAS PRESTACIONES'!P14</f>
        <v>0</v>
      </c>
      <c r="M13" s="27">
        <f>+'OTRAS PRESTACIONES'!S14+'OTRAS PRESTACIONES'!T14</f>
        <v>0</v>
      </c>
      <c r="N13" s="27">
        <f>+'OTRAS PRESTACIONES'!Q14+'OTRAS PRESTACIONES'!R14</f>
        <v>0</v>
      </c>
      <c r="O13" s="27">
        <f>+'OTRAS PRESTACIONES'!V14</f>
        <v>0</v>
      </c>
      <c r="P13" s="27">
        <f>+'OTRAS PRESTACIONES'!AA14+'OTRAS PRESTACIONES'!AB14</f>
        <v>0</v>
      </c>
      <c r="Q13" s="27">
        <f>+'OTRAS PRESTACIONES'!N14</f>
        <v>0</v>
      </c>
      <c r="R13" s="27"/>
      <c r="S13" s="66"/>
      <c r="T13" s="66">
        <f>+'ISR '!S14</f>
        <v>522.48</v>
      </c>
      <c r="U13" s="66">
        <f>+'AJUSTE AL SUBSIDIO '!N13</f>
        <v>0</v>
      </c>
      <c r="V13" s="66">
        <f>+'OTRAS RETENCIONES'!H13</f>
        <v>0</v>
      </c>
      <c r="W13" s="66">
        <f>+'OTRAS RETENCIONES'!I13</f>
        <v>0</v>
      </c>
      <c r="X13" s="66">
        <f>+'CUOTAS IMSS'!X13</f>
        <v>155.16584999999998</v>
      </c>
      <c r="Y13" s="66">
        <f>+'OTRAS RETENCIONES'!L13</f>
        <v>0</v>
      </c>
      <c r="Z13" s="66">
        <f>+'AJUSTE AL SUBSIDIO '!O13</f>
        <v>0</v>
      </c>
      <c r="AA13" s="66">
        <f>+ABS('AJUSTE AL SUBSIDIO '!P13)</f>
        <v>0</v>
      </c>
      <c r="AB13" s="66">
        <f>+'OTRAS RETENCIONES'!L13</f>
        <v>0</v>
      </c>
      <c r="AC13" s="27">
        <f>+'ISR '!T14</f>
        <v>0</v>
      </c>
      <c r="AD13" s="27"/>
      <c r="AE13" s="27"/>
      <c r="AF13" s="27">
        <f>+'AJUSTE AL SUBSIDIO '!Q13</f>
        <v>0</v>
      </c>
      <c r="AG13" s="27">
        <f>+'AJUSTE AL SUBSIDIO '!R13</f>
        <v>0</v>
      </c>
      <c r="AH13" s="27">
        <f t="shared" si="0"/>
        <v>5322.3541500000001</v>
      </c>
    </row>
    <row r="14" spans="2:34" x14ac:dyDescent="0.25">
      <c r="B14" s="306" t="s">
        <v>236</v>
      </c>
      <c r="C14" s="307"/>
      <c r="E14" s="28">
        <v>8</v>
      </c>
      <c r="F14" s="251">
        <f>+'LISTA TRABAJADORES'!F14</f>
        <v>6585422585</v>
      </c>
      <c r="G14" s="251" t="str">
        <f>+'LISTA TRABAJADORES'!G14</f>
        <v>ANTONIO OCAMPOS</v>
      </c>
      <c r="H14" s="27">
        <f>+'LISTA TRABAJADORES'!H14*'ISR '!I15</f>
        <v>7500</v>
      </c>
      <c r="I14" s="27">
        <f>+'OTRAS PRESTACIONES'!Y15+'OTRAS PRESTACIONES'!Z15</f>
        <v>0</v>
      </c>
      <c r="J14" s="27">
        <f>+'OTRAS PRESTACIONES'!W15+'OTRAS PRESTACIONES'!X15</f>
        <v>0</v>
      </c>
      <c r="K14" s="27">
        <f>+'OTRAS PRESTACIONES'!L15</f>
        <v>0</v>
      </c>
      <c r="L14" s="27">
        <f>+'OTRAS PRESTACIONES'!O15+'OTRAS PRESTACIONES'!P15</f>
        <v>0</v>
      </c>
      <c r="M14" s="27">
        <f>+'OTRAS PRESTACIONES'!S15+'OTRAS PRESTACIONES'!T15</f>
        <v>0</v>
      </c>
      <c r="N14" s="27">
        <f>+'OTRAS PRESTACIONES'!Q15+'OTRAS PRESTACIONES'!R15</f>
        <v>0</v>
      </c>
      <c r="O14" s="27">
        <f>+'OTRAS PRESTACIONES'!V15</f>
        <v>0</v>
      </c>
      <c r="P14" s="27">
        <f>+'OTRAS PRESTACIONES'!AA15+'OTRAS PRESTACIONES'!AB15</f>
        <v>0</v>
      </c>
      <c r="Q14" s="27">
        <f>+'OTRAS PRESTACIONES'!N15</f>
        <v>0</v>
      </c>
      <c r="R14" s="27"/>
      <c r="S14" s="66"/>
      <c r="T14" s="66">
        <f>+'ISR '!S15</f>
        <v>783.85</v>
      </c>
      <c r="U14" s="66">
        <f>+'AJUSTE AL SUBSIDIO '!N14</f>
        <v>0</v>
      </c>
      <c r="V14" s="66">
        <f>+'OTRAS RETENCIONES'!H14</f>
        <v>0</v>
      </c>
      <c r="W14" s="66">
        <f>+'OTRAS RETENCIONES'!I14</f>
        <v>0</v>
      </c>
      <c r="X14" s="66">
        <f>+'CUOTAS IMSS'!X14</f>
        <v>198.84296249999997</v>
      </c>
      <c r="Y14" s="66">
        <f>+'OTRAS RETENCIONES'!L14</f>
        <v>0</v>
      </c>
      <c r="Z14" s="66">
        <f>+'AJUSTE AL SUBSIDIO '!O14</f>
        <v>0</v>
      </c>
      <c r="AA14" s="66">
        <f>+ABS('AJUSTE AL SUBSIDIO '!P14)</f>
        <v>0</v>
      </c>
      <c r="AB14" s="66">
        <f>+'OTRAS RETENCIONES'!L14</f>
        <v>0</v>
      </c>
      <c r="AC14" s="27">
        <f>+'ISR '!T15</f>
        <v>0</v>
      </c>
      <c r="AD14" s="27"/>
      <c r="AE14" s="27"/>
      <c r="AF14" s="27">
        <f>+'AJUSTE AL SUBSIDIO '!Q14</f>
        <v>0</v>
      </c>
      <c r="AG14" s="27">
        <f>+'AJUSTE AL SUBSIDIO '!R14</f>
        <v>0</v>
      </c>
      <c r="AH14" s="27">
        <f t="shared" si="0"/>
        <v>6517.3070374999998</v>
      </c>
    </row>
    <row r="15" spans="2:34" x14ac:dyDescent="0.25">
      <c r="B15" s="304" t="s">
        <v>316</v>
      </c>
      <c r="C15" s="305"/>
      <c r="E15" s="28">
        <v>9</v>
      </c>
      <c r="F15" s="251">
        <f>+'LISTA TRABAJADORES'!F15</f>
        <v>0</v>
      </c>
      <c r="G15" s="251">
        <f>+'LISTA TRABAJADORES'!G15</f>
        <v>0</v>
      </c>
      <c r="H15" s="27">
        <f>+'LISTA TRABAJADORES'!H15*'ISR '!I16</f>
        <v>0</v>
      </c>
      <c r="I15" s="27">
        <f>+'OTRAS PRESTACIONES'!Y16+'OTRAS PRESTACIONES'!Z16</f>
        <v>0</v>
      </c>
      <c r="J15" s="27">
        <f>+'OTRAS PRESTACIONES'!W16+'OTRAS PRESTACIONES'!X16</f>
        <v>0</v>
      </c>
      <c r="K15" s="27">
        <f>+'OTRAS PRESTACIONES'!L16</f>
        <v>0</v>
      </c>
      <c r="L15" s="27">
        <f>+'OTRAS PRESTACIONES'!O16+'OTRAS PRESTACIONES'!P16</f>
        <v>0</v>
      </c>
      <c r="M15" s="27">
        <f>+'OTRAS PRESTACIONES'!S16+'OTRAS PRESTACIONES'!T16</f>
        <v>0</v>
      </c>
      <c r="N15" s="27">
        <f>+'OTRAS PRESTACIONES'!Q16+'OTRAS PRESTACIONES'!R16</f>
        <v>0</v>
      </c>
      <c r="O15" s="27">
        <f>+'OTRAS PRESTACIONES'!V16</f>
        <v>0</v>
      </c>
      <c r="P15" s="27">
        <f>+'OTRAS PRESTACIONES'!AA16+'OTRAS PRESTACIONES'!AB16</f>
        <v>0</v>
      </c>
      <c r="Q15" s="27">
        <f>+'OTRAS PRESTACIONES'!N16</f>
        <v>0</v>
      </c>
      <c r="R15" s="27"/>
      <c r="S15" s="66"/>
      <c r="T15" s="66">
        <f>+'ISR '!S16</f>
        <v>0</v>
      </c>
      <c r="U15" s="66">
        <f>+'AJUSTE AL SUBSIDIO '!N15</f>
        <v>0</v>
      </c>
      <c r="V15" s="66">
        <f>+'OTRAS RETENCIONES'!H15</f>
        <v>0</v>
      </c>
      <c r="W15" s="66">
        <f>+'OTRAS RETENCIONES'!I15</f>
        <v>0</v>
      </c>
      <c r="X15" s="66">
        <f>+'CUOTAS IMSS'!X15</f>
        <v>0</v>
      </c>
      <c r="Y15" s="66">
        <f>+'OTRAS RETENCIONES'!L15</f>
        <v>0</v>
      </c>
      <c r="Z15" s="66">
        <f>+'AJUSTE AL SUBSIDIO '!O15</f>
        <v>0</v>
      </c>
      <c r="AA15" s="66">
        <f>+ABS('AJUSTE AL SUBSIDIO '!P15)</f>
        <v>0</v>
      </c>
      <c r="AB15" s="66">
        <f>+'OTRAS RETENCIONES'!L15</f>
        <v>0</v>
      </c>
      <c r="AC15" s="27">
        <f>+'ISR '!T16</f>
        <v>0</v>
      </c>
      <c r="AD15" s="27"/>
      <c r="AE15" s="27"/>
      <c r="AF15" s="27">
        <f>+'AJUSTE AL SUBSIDIO '!Q15</f>
        <v>0</v>
      </c>
      <c r="AG15" s="27">
        <f>+'AJUSTE AL SUBSIDIO '!R15</f>
        <v>0</v>
      </c>
      <c r="AH15" s="27">
        <f t="shared" si="0"/>
        <v>0</v>
      </c>
    </row>
    <row r="16" spans="2:34" x14ac:dyDescent="0.25">
      <c r="B16" s="306" t="s">
        <v>244</v>
      </c>
      <c r="C16" s="307"/>
      <c r="E16" s="28">
        <v>10</v>
      </c>
      <c r="F16" s="251">
        <f>+'LISTA TRABAJADORES'!F16</f>
        <v>0</v>
      </c>
      <c r="G16" s="251">
        <f>+'LISTA TRABAJADORES'!G16</f>
        <v>0</v>
      </c>
      <c r="H16" s="27">
        <f>+'LISTA TRABAJADORES'!H16*'ISR '!I17</f>
        <v>0</v>
      </c>
      <c r="I16" s="27">
        <f>+'OTRAS PRESTACIONES'!Y17+'OTRAS PRESTACIONES'!Z17</f>
        <v>0</v>
      </c>
      <c r="J16" s="27">
        <f>+'OTRAS PRESTACIONES'!W17+'OTRAS PRESTACIONES'!X17</f>
        <v>0</v>
      </c>
      <c r="K16" s="27">
        <f>+'OTRAS PRESTACIONES'!L17</f>
        <v>0</v>
      </c>
      <c r="L16" s="27">
        <f>+'OTRAS PRESTACIONES'!O17+'OTRAS PRESTACIONES'!P17</f>
        <v>0</v>
      </c>
      <c r="M16" s="27">
        <f>+'OTRAS PRESTACIONES'!S17+'OTRAS PRESTACIONES'!T17</f>
        <v>0</v>
      </c>
      <c r="N16" s="27">
        <f>+'OTRAS PRESTACIONES'!Q17+'OTRAS PRESTACIONES'!R17</f>
        <v>0</v>
      </c>
      <c r="O16" s="27">
        <f>+'OTRAS PRESTACIONES'!V17</f>
        <v>0</v>
      </c>
      <c r="P16" s="27">
        <f>+'OTRAS PRESTACIONES'!AA17+'OTRAS PRESTACIONES'!AB17</f>
        <v>0</v>
      </c>
      <c r="Q16" s="27">
        <f>+'OTRAS PRESTACIONES'!N17</f>
        <v>0</v>
      </c>
      <c r="R16" s="27"/>
      <c r="S16" s="66"/>
      <c r="T16" s="66">
        <f>+'ISR '!S17</f>
        <v>0</v>
      </c>
      <c r="U16" s="66">
        <f>+'AJUSTE AL SUBSIDIO '!N16</f>
        <v>0</v>
      </c>
      <c r="V16" s="66">
        <f>+'OTRAS RETENCIONES'!H16</f>
        <v>0</v>
      </c>
      <c r="W16" s="66">
        <f>+'OTRAS RETENCIONES'!I16</f>
        <v>0</v>
      </c>
      <c r="X16" s="66">
        <f>+'CUOTAS IMSS'!X16</f>
        <v>0</v>
      </c>
      <c r="Y16" s="66">
        <f>+'OTRAS RETENCIONES'!L16</f>
        <v>0</v>
      </c>
      <c r="Z16" s="66">
        <f>+'AJUSTE AL SUBSIDIO '!O16</f>
        <v>0</v>
      </c>
      <c r="AA16" s="66">
        <f>+ABS('AJUSTE AL SUBSIDIO '!P16)</f>
        <v>0</v>
      </c>
      <c r="AB16" s="66">
        <f>+'OTRAS RETENCIONES'!L16</f>
        <v>0</v>
      </c>
      <c r="AC16" s="27">
        <f>+'ISR '!T17</f>
        <v>0</v>
      </c>
      <c r="AD16" s="27"/>
      <c r="AE16" s="27"/>
      <c r="AF16" s="27">
        <f>+'AJUSTE AL SUBSIDIO '!Q16</f>
        <v>0</v>
      </c>
      <c r="AG16" s="27">
        <f>+'AJUSTE AL SUBSIDIO '!R16</f>
        <v>0</v>
      </c>
      <c r="AH16" s="27">
        <f t="shared" si="0"/>
        <v>0</v>
      </c>
    </row>
    <row r="17" spans="2:34" x14ac:dyDescent="0.25">
      <c r="B17" s="320" t="s">
        <v>356</v>
      </c>
      <c r="C17" s="321"/>
      <c r="E17" s="28">
        <v>11</v>
      </c>
      <c r="F17" s="251">
        <f>+'LISTA TRABAJADORES'!F17</f>
        <v>0</v>
      </c>
      <c r="G17" s="251">
        <f>+'LISTA TRABAJADORES'!G17</f>
        <v>0</v>
      </c>
      <c r="H17" s="27">
        <f>+'LISTA TRABAJADORES'!H17*'ISR '!I18</f>
        <v>0</v>
      </c>
      <c r="I17" s="27">
        <f>+'OTRAS PRESTACIONES'!Y18+'OTRAS PRESTACIONES'!Z18</f>
        <v>0</v>
      </c>
      <c r="J17" s="27">
        <f>+'OTRAS PRESTACIONES'!W18+'OTRAS PRESTACIONES'!X18</f>
        <v>0</v>
      </c>
      <c r="K17" s="27">
        <f>+'OTRAS PRESTACIONES'!L18</f>
        <v>0</v>
      </c>
      <c r="L17" s="27">
        <f>+'OTRAS PRESTACIONES'!O18+'OTRAS PRESTACIONES'!P18</f>
        <v>0</v>
      </c>
      <c r="M17" s="27">
        <f>+'OTRAS PRESTACIONES'!S18+'OTRAS PRESTACIONES'!T18</f>
        <v>0</v>
      </c>
      <c r="N17" s="27">
        <f>+'OTRAS PRESTACIONES'!Q18+'OTRAS PRESTACIONES'!R18</f>
        <v>0</v>
      </c>
      <c r="O17" s="27">
        <f>+'OTRAS PRESTACIONES'!V18</f>
        <v>0</v>
      </c>
      <c r="P17" s="27">
        <f>+'OTRAS PRESTACIONES'!AA18+'OTRAS PRESTACIONES'!AB18</f>
        <v>0</v>
      </c>
      <c r="Q17" s="27">
        <f>+'OTRAS PRESTACIONES'!N18</f>
        <v>0</v>
      </c>
      <c r="R17" s="27"/>
      <c r="S17" s="66"/>
      <c r="T17" s="66">
        <f>+'ISR '!S18</f>
        <v>0</v>
      </c>
      <c r="U17" s="66">
        <f>+'AJUSTE AL SUBSIDIO '!N17</f>
        <v>0</v>
      </c>
      <c r="V17" s="66">
        <f>+'OTRAS RETENCIONES'!H17</f>
        <v>0</v>
      </c>
      <c r="W17" s="66">
        <f>+'OTRAS RETENCIONES'!I17</f>
        <v>0</v>
      </c>
      <c r="X17" s="66">
        <f>+'CUOTAS IMSS'!X17</f>
        <v>0</v>
      </c>
      <c r="Y17" s="66">
        <f>+'OTRAS RETENCIONES'!L17</f>
        <v>0</v>
      </c>
      <c r="Z17" s="66">
        <f>+'AJUSTE AL SUBSIDIO '!O17</f>
        <v>0</v>
      </c>
      <c r="AA17" s="66">
        <f>+ABS('AJUSTE AL SUBSIDIO '!P17)</f>
        <v>0</v>
      </c>
      <c r="AB17" s="66">
        <f>+'OTRAS RETENCIONES'!L17</f>
        <v>0</v>
      </c>
      <c r="AC17" s="27">
        <f>+'ISR '!T18</f>
        <v>0</v>
      </c>
      <c r="AD17" s="27"/>
      <c r="AE17" s="27"/>
      <c r="AF17" s="27">
        <f>+'AJUSTE AL SUBSIDIO '!Q17</f>
        <v>0</v>
      </c>
      <c r="AG17" s="27">
        <f>+'AJUSTE AL SUBSIDIO '!R17</f>
        <v>0</v>
      </c>
      <c r="AH17" s="27">
        <f t="shared" si="0"/>
        <v>0</v>
      </c>
    </row>
    <row r="18" spans="2:34" ht="15.75" thickBot="1" x14ac:dyDescent="0.3">
      <c r="B18" s="318" t="s">
        <v>330</v>
      </c>
      <c r="C18" s="319"/>
      <c r="E18" s="28">
        <v>12</v>
      </c>
      <c r="F18" s="251">
        <f>+'LISTA TRABAJADORES'!F18</f>
        <v>0</v>
      </c>
      <c r="G18" s="251">
        <f>+'LISTA TRABAJADORES'!G18</f>
        <v>0</v>
      </c>
      <c r="H18" s="27">
        <f>+'LISTA TRABAJADORES'!H18*'ISR '!I19</f>
        <v>0</v>
      </c>
      <c r="I18" s="27">
        <f>+'OTRAS PRESTACIONES'!Y19+'OTRAS PRESTACIONES'!Z19</f>
        <v>0</v>
      </c>
      <c r="J18" s="27">
        <f>+'OTRAS PRESTACIONES'!W19+'OTRAS PRESTACIONES'!X19</f>
        <v>0</v>
      </c>
      <c r="K18" s="27">
        <f>+'OTRAS PRESTACIONES'!L19</f>
        <v>0</v>
      </c>
      <c r="L18" s="27">
        <f>+'OTRAS PRESTACIONES'!O19+'OTRAS PRESTACIONES'!P19</f>
        <v>0</v>
      </c>
      <c r="M18" s="27">
        <f>+'OTRAS PRESTACIONES'!S19+'OTRAS PRESTACIONES'!T19</f>
        <v>0</v>
      </c>
      <c r="N18" s="27">
        <f>+'OTRAS PRESTACIONES'!Q19+'OTRAS PRESTACIONES'!R19</f>
        <v>0</v>
      </c>
      <c r="O18" s="27">
        <f>+'OTRAS PRESTACIONES'!V19</f>
        <v>0</v>
      </c>
      <c r="P18" s="27">
        <f>+'OTRAS PRESTACIONES'!AA19+'OTRAS PRESTACIONES'!AB19</f>
        <v>0</v>
      </c>
      <c r="Q18" s="27">
        <f>+'OTRAS PRESTACIONES'!N19</f>
        <v>0</v>
      </c>
      <c r="R18" s="27"/>
      <c r="S18" s="66"/>
      <c r="T18" s="66">
        <f>+'ISR '!S19</f>
        <v>0</v>
      </c>
      <c r="U18" s="66">
        <f>+'AJUSTE AL SUBSIDIO '!N18</f>
        <v>0</v>
      </c>
      <c r="V18" s="66">
        <f>+'OTRAS RETENCIONES'!H18</f>
        <v>0</v>
      </c>
      <c r="W18" s="66">
        <f>+'OTRAS RETENCIONES'!I18</f>
        <v>0</v>
      </c>
      <c r="X18" s="66">
        <f>+'CUOTAS IMSS'!X18</f>
        <v>0</v>
      </c>
      <c r="Y18" s="66">
        <f>+'OTRAS RETENCIONES'!L18</f>
        <v>0</v>
      </c>
      <c r="Z18" s="66">
        <f>+'AJUSTE AL SUBSIDIO '!O18</f>
        <v>0</v>
      </c>
      <c r="AA18" s="66">
        <f>+ABS('AJUSTE AL SUBSIDIO '!P18)</f>
        <v>0</v>
      </c>
      <c r="AB18" s="66">
        <f>+'OTRAS RETENCIONES'!L18</f>
        <v>0</v>
      </c>
      <c r="AC18" s="27">
        <f>+'ISR '!T19</f>
        <v>0</v>
      </c>
      <c r="AD18" s="27"/>
      <c r="AE18" s="27"/>
      <c r="AF18" s="27">
        <f>+'AJUSTE AL SUBSIDIO '!Q18</f>
        <v>0</v>
      </c>
      <c r="AG18" s="27">
        <f>+'AJUSTE AL SUBSIDIO '!R18</f>
        <v>0</v>
      </c>
      <c r="AH18" s="27">
        <f t="shared" si="0"/>
        <v>0</v>
      </c>
    </row>
    <row r="19" spans="2:34" x14ac:dyDescent="0.25">
      <c r="E19" s="28">
        <v>13</v>
      </c>
      <c r="F19" s="251">
        <f>+'LISTA TRABAJADORES'!F19</f>
        <v>0</v>
      </c>
      <c r="G19" s="251">
        <f>+'LISTA TRABAJADORES'!G19</f>
        <v>0</v>
      </c>
      <c r="H19" s="27">
        <f>+'LISTA TRABAJADORES'!H19*'ISR '!I20</f>
        <v>0</v>
      </c>
      <c r="I19" s="27">
        <f>+'OTRAS PRESTACIONES'!Y20+'OTRAS PRESTACIONES'!Z20</f>
        <v>0</v>
      </c>
      <c r="J19" s="27">
        <f>+'OTRAS PRESTACIONES'!W20+'OTRAS PRESTACIONES'!X20</f>
        <v>0</v>
      </c>
      <c r="K19" s="27">
        <f>+'OTRAS PRESTACIONES'!L20</f>
        <v>0</v>
      </c>
      <c r="L19" s="27">
        <f>+'OTRAS PRESTACIONES'!O20+'OTRAS PRESTACIONES'!P20</f>
        <v>0</v>
      </c>
      <c r="M19" s="27">
        <f>+'OTRAS PRESTACIONES'!S20+'OTRAS PRESTACIONES'!T20</f>
        <v>0</v>
      </c>
      <c r="N19" s="27">
        <f>+'OTRAS PRESTACIONES'!Q20+'OTRAS PRESTACIONES'!R20</f>
        <v>0</v>
      </c>
      <c r="O19" s="27">
        <f>+'OTRAS PRESTACIONES'!V20</f>
        <v>0</v>
      </c>
      <c r="P19" s="27">
        <f>+'OTRAS PRESTACIONES'!AA20+'OTRAS PRESTACIONES'!AB20</f>
        <v>0</v>
      </c>
      <c r="Q19" s="27">
        <f>+'OTRAS PRESTACIONES'!N20</f>
        <v>0</v>
      </c>
      <c r="R19" s="27"/>
      <c r="S19" s="66"/>
      <c r="T19" s="66">
        <f>+'ISR '!S20</f>
        <v>0</v>
      </c>
      <c r="U19" s="66">
        <f>+'AJUSTE AL SUBSIDIO '!N19</f>
        <v>0</v>
      </c>
      <c r="V19" s="66">
        <f>+'OTRAS RETENCIONES'!H19</f>
        <v>0</v>
      </c>
      <c r="W19" s="66">
        <f>+'OTRAS RETENCIONES'!I19</f>
        <v>0</v>
      </c>
      <c r="X19" s="66">
        <f>+'CUOTAS IMSS'!X19</f>
        <v>0</v>
      </c>
      <c r="Y19" s="66">
        <f>+'OTRAS RETENCIONES'!L19</f>
        <v>0</v>
      </c>
      <c r="Z19" s="66">
        <f>+'AJUSTE AL SUBSIDIO '!O19</f>
        <v>0</v>
      </c>
      <c r="AA19" s="66">
        <f>+ABS('AJUSTE AL SUBSIDIO '!P19)</f>
        <v>0</v>
      </c>
      <c r="AB19" s="66">
        <f>+'OTRAS RETENCIONES'!L19</f>
        <v>0</v>
      </c>
      <c r="AC19" s="27">
        <f>+'ISR '!T20</f>
        <v>0</v>
      </c>
      <c r="AD19" s="27"/>
      <c r="AE19" s="27"/>
      <c r="AF19" s="27">
        <f>+'AJUSTE AL SUBSIDIO '!Q19</f>
        <v>0</v>
      </c>
      <c r="AG19" s="27">
        <f>+'AJUSTE AL SUBSIDIO '!R19</f>
        <v>0</v>
      </c>
      <c r="AH19" s="27">
        <f t="shared" si="0"/>
        <v>0</v>
      </c>
    </row>
    <row r="20" spans="2:34" x14ac:dyDescent="0.25">
      <c r="E20" s="28">
        <v>14</v>
      </c>
      <c r="F20" s="251">
        <f>+'LISTA TRABAJADORES'!F20</f>
        <v>0</v>
      </c>
      <c r="G20" s="251">
        <f>+'LISTA TRABAJADORES'!G20</f>
        <v>0</v>
      </c>
      <c r="H20" s="27">
        <f>+'LISTA TRABAJADORES'!H20*'ISR '!I21</f>
        <v>0</v>
      </c>
      <c r="I20" s="27">
        <f>+'OTRAS PRESTACIONES'!Y21+'OTRAS PRESTACIONES'!Z21</f>
        <v>0</v>
      </c>
      <c r="J20" s="27">
        <f>+'OTRAS PRESTACIONES'!W21+'OTRAS PRESTACIONES'!X21</f>
        <v>0</v>
      </c>
      <c r="K20" s="27">
        <f>+'OTRAS PRESTACIONES'!L21</f>
        <v>0</v>
      </c>
      <c r="L20" s="27">
        <f>+'OTRAS PRESTACIONES'!O21+'OTRAS PRESTACIONES'!P21</f>
        <v>0</v>
      </c>
      <c r="M20" s="27">
        <f>+'OTRAS PRESTACIONES'!S21+'OTRAS PRESTACIONES'!T21</f>
        <v>0</v>
      </c>
      <c r="N20" s="27">
        <f>+'OTRAS PRESTACIONES'!Q21+'OTRAS PRESTACIONES'!R21</f>
        <v>0</v>
      </c>
      <c r="O20" s="27">
        <f>+'OTRAS PRESTACIONES'!V21</f>
        <v>0</v>
      </c>
      <c r="P20" s="27">
        <f>+'OTRAS PRESTACIONES'!AA21+'OTRAS PRESTACIONES'!AB21</f>
        <v>0</v>
      </c>
      <c r="Q20" s="27">
        <f>+'OTRAS PRESTACIONES'!N21</f>
        <v>0</v>
      </c>
      <c r="R20" s="27"/>
      <c r="S20" s="66"/>
      <c r="T20" s="66">
        <f>+'ISR '!S21</f>
        <v>0</v>
      </c>
      <c r="U20" s="66">
        <f>+'AJUSTE AL SUBSIDIO '!N20</f>
        <v>0</v>
      </c>
      <c r="V20" s="66">
        <f>+'OTRAS RETENCIONES'!H20</f>
        <v>0</v>
      </c>
      <c r="W20" s="66">
        <f>+'OTRAS RETENCIONES'!I20</f>
        <v>0</v>
      </c>
      <c r="X20" s="66">
        <f>+'CUOTAS IMSS'!X20</f>
        <v>0</v>
      </c>
      <c r="Y20" s="66">
        <f>+'OTRAS RETENCIONES'!L20</f>
        <v>0</v>
      </c>
      <c r="Z20" s="66">
        <f>+'AJUSTE AL SUBSIDIO '!O20</f>
        <v>0</v>
      </c>
      <c r="AA20" s="66">
        <f>+ABS('AJUSTE AL SUBSIDIO '!P20)</f>
        <v>0</v>
      </c>
      <c r="AB20" s="66">
        <f>+'OTRAS RETENCIONES'!L20</f>
        <v>0</v>
      </c>
      <c r="AC20" s="27">
        <f>+'ISR '!T21</f>
        <v>0</v>
      </c>
      <c r="AD20" s="27"/>
      <c r="AE20" s="27"/>
      <c r="AF20" s="27">
        <f>+'AJUSTE AL SUBSIDIO '!Q20</f>
        <v>0</v>
      </c>
      <c r="AG20" s="27">
        <f>+'AJUSTE AL SUBSIDIO '!R20</f>
        <v>0</v>
      </c>
      <c r="AH20" s="27">
        <f t="shared" si="0"/>
        <v>0</v>
      </c>
    </row>
    <row r="21" spans="2:34" x14ac:dyDescent="0.25">
      <c r="E21" s="28">
        <v>15</v>
      </c>
      <c r="F21" s="251">
        <f>+'LISTA TRABAJADORES'!F21</f>
        <v>0</v>
      </c>
      <c r="G21" s="251">
        <f>+'LISTA TRABAJADORES'!G21</f>
        <v>0</v>
      </c>
      <c r="H21" s="27">
        <f>+'LISTA TRABAJADORES'!H21*'ISR '!I22</f>
        <v>0</v>
      </c>
      <c r="I21" s="27">
        <f>+'OTRAS PRESTACIONES'!Y22+'OTRAS PRESTACIONES'!Z22</f>
        <v>0</v>
      </c>
      <c r="J21" s="27">
        <f>+'OTRAS PRESTACIONES'!W22+'OTRAS PRESTACIONES'!X22</f>
        <v>0</v>
      </c>
      <c r="K21" s="27">
        <f>+'OTRAS PRESTACIONES'!L22</f>
        <v>0</v>
      </c>
      <c r="L21" s="27">
        <f>+'OTRAS PRESTACIONES'!O22+'OTRAS PRESTACIONES'!P22</f>
        <v>0</v>
      </c>
      <c r="M21" s="27">
        <f>+'OTRAS PRESTACIONES'!S22+'OTRAS PRESTACIONES'!T22</f>
        <v>0</v>
      </c>
      <c r="N21" s="27">
        <f>+'OTRAS PRESTACIONES'!Q22+'OTRAS PRESTACIONES'!R22</f>
        <v>0</v>
      </c>
      <c r="O21" s="27">
        <f>+'OTRAS PRESTACIONES'!V22</f>
        <v>0</v>
      </c>
      <c r="P21" s="27">
        <f>+'OTRAS PRESTACIONES'!AA22+'OTRAS PRESTACIONES'!AB22</f>
        <v>0</v>
      </c>
      <c r="Q21" s="27">
        <f>+'OTRAS PRESTACIONES'!N22</f>
        <v>0</v>
      </c>
      <c r="R21" s="27"/>
      <c r="S21" s="66"/>
      <c r="T21" s="66">
        <f>+'ISR '!S22</f>
        <v>0</v>
      </c>
      <c r="U21" s="66">
        <f>+'AJUSTE AL SUBSIDIO '!N21</f>
        <v>0</v>
      </c>
      <c r="V21" s="66">
        <f>+'OTRAS RETENCIONES'!H21</f>
        <v>0</v>
      </c>
      <c r="W21" s="66">
        <f>+'OTRAS RETENCIONES'!I21</f>
        <v>0</v>
      </c>
      <c r="X21" s="66">
        <f>+'CUOTAS IMSS'!X21</f>
        <v>0</v>
      </c>
      <c r="Y21" s="66">
        <f>+'OTRAS RETENCIONES'!L21</f>
        <v>0</v>
      </c>
      <c r="Z21" s="66">
        <f>+'AJUSTE AL SUBSIDIO '!O21</f>
        <v>0</v>
      </c>
      <c r="AA21" s="66">
        <f>+ABS('AJUSTE AL SUBSIDIO '!P21)</f>
        <v>0</v>
      </c>
      <c r="AB21" s="66">
        <f>+'OTRAS RETENCIONES'!L21</f>
        <v>0</v>
      </c>
      <c r="AC21" s="27">
        <f>+'ISR '!T22</f>
        <v>0</v>
      </c>
      <c r="AD21" s="27"/>
      <c r="AE21" s="27"/>
      <c r="AF21" s="27">
        <f>+'AJUSTE AL SUBSIDIO '!Q21</f>
        <v>0</v>
      </c>
      <c r="AG21" s="27">
        <f>+'AJUSTE AL SUBSIDIO '!R21</f>
        <v>0</v>
      </c>
      <c r="AH21" s="27">
        <f t="shared" si="0"/>
        <v>0</v>
      </c>
    </row>
    <row r="22" spans="2:34" x14ac:dyDescent="0.25">
      <c r="E22" s="28">
        <v>16</v>
      </c>
      <c r="F22" s="251">
        <f>+'LISTA TRABAJADORES'!F22</f>
        <v>0</v>
      </c>
      <c r="G22" s="251">
        <f>+'LISTA TRABAJADORES'!G22</f>
        <v>0</v>
      </c>
      <c r="H22" s="27">
        <f>+'LISTA TRABAJADORES'!H22*'ISR '!I23</f>
        <v>0</v>
      </c>
      <c r="I22" s="27">
        <f>+'OTRAS PRESTACIONES'!Y23+'OTRAS PRESTACIONES'!Z23</f>
        <v>0</v>
      </c>
      <c r="J22" s="27">
        <f>+'OTRAS PRESTACIONES'!W23+'OTRAS PRESTACIONES'!X23</f>
        <v>0</v>
      </c>
      <c r="K22" s="27">
        <f>+'OTRAS PRESTACIONES'!L23</f>
        <v>0</v>
      </c>
      <c r="L22" s="27">
        <f>+'OTRAS PRESTACIONES'!O23+'OTRAS PRESTACIONES'!P23</f>
        <v>0</v>
      </c>
      <c r="M22" s="27">
        <f>+'OTRAS PRESTACIONES'!S23+'OTRAS PRESTACIONES'!T23</f>
        <v>0</v>
      </c>
      <c r="N22" s="27">
        <f>+'OTRAS PRESTACIONES'!Q23+'OTRAS PRESTACIONES'!R23</f>
        <v>0</v>
      </c>
      <c r="O22" s="27">
        <f>+'OTRAS PRESTACIONES'!V23</f>
        <v>0</v>
      </c>
      <c r="P22" s="27">
        <f>+'OTRAS PRESTACIONES'!AA23+'OTRAS PRESTACIONES'!AB23</f>
        <v>0</v>
      </c>
      <c r="Q22" s="27">
        <f>+'OTRAS PRESTACIONES'!N23</f>
        <v>0</v>
      </c>
      <c r="R22" s="27"/>
      <c r="S22" s="66"/>
      <c r="T22" s="66">
        <f>+'ISR '!S23</f>
        <v>0</v>
      </c>
      <c r="U22" s="66">
        <f>+'AJUSTE AL SUBSIDIO '!N22</f>
        <v>0</v>
      </c>
      <c r="V22" s="66">
        <f>+'OTRAS RETENCIONES'!H22</f>
        <v>0</v>
      </c>
      <c r="W22" s="66">
        <f>+'OTRAS RETENCIONES'!I22</f>
        <v>0</v>
      </c>
      <c r="X22" s="66">
        <f>+'CUOTAS IMSS'!X22</f>
        <v>0</v>
      </c>
      <c r="Y22" s="66">
        <f>+'OTRAS RETENCIONES'!L22</f>
        <v>0</v>
      </c>
      <c r="Z22" s="66">
        <f>+'AJUSTE AL SUBSIDIO '!O22</f>
        <v>0</v>
      </c>
      <c r="AA22" s="66">
        <f>+ABS('AJUSTE AL SUBSIDIO '!P22)</f>
        <v>0</v>
      </c>
      <c r="AB22" s="66">
        <f>+'OTRAS RETENCIONES'!L22</f>
        <v>0</v>
      </c>
      <c r="AC22" s="27">
        <f>+'ISR '!T23</f>
        <v>0</v>
      </c>
      <c r="AD22" s="27"/>
      <c r="AE22" s="27"/>
      <c r="AF22" s="27">
        <f>+'AJUSTE AL SUBSIDIO '!Q22</f>
        <v>0</v>
      </c>
      <c r="AG22" s="27">
        <f>+'AJUSTE AL SUBSIDIO '!R22</f>
        <v>0</v>
      </c>
      <c r="AH22" s="27">
        <f t="shared" si="0"/>
        <v>0</v>
      </c>
    </row>
    <row r="23" spans="2:34" x14ac:dyDescent="0.25">
      <c r="E23" s="28">
        <v>17</v>
      </c>
      <c r="F23" s="251">
        <f>+'LISTA TRABAJADORES'!F23</f>
        <v>0</v>
      </c>
      <c r="G23" s="251">
        <f>+'LISTA TRABAJADORES'!G23</f>
        <v>0</v>
      </c>
      <c r="H23" s="27">
        <f>+'LISTA TRABAJADORES'!H23*'ISR '!I24</f>
        <v>0</v>
      </c>
      <c r="I23" s="27">
        <f>+'OTRAS PRESTACIONES'!Y24+'OTRAS PRESTACIONES'!Z24</f>
        <v>0</v>
      </c>
      <c r="J23" s="27">
        <f>+'OTRAS PRESTACIONES'!W24+'OTRAS PRESTACIONES'!X24</f>
        <v>0</v>
      </c>
      <c r="K23" s="27">
        <f>+'OTRAS PRESTACIONES'!L24</f>
        <v>0</v>
      </c>
      <c r="L23" s="27">
        <f>+'OTRAS PRESTACIONES'!O24+'OTRAS PRESTACIONES'!P24</f>
        <v>0</v>
      </c>
      <c r="M23" s="27">
        <f>+'OTRAS PRESTACIONES'!S24+'OTRAS PRESTACIONES'!T24</f>
        <v>0</v>
      </c>
      <c r="N23" s="27">
        <f>+'OTRAS PRESTACIONES'!Q24+'OTRAS PRESTACIONES'!R24</f>
        <v>0</v>
      </c>
      <c r="O23" s="27">
        <f>+'OTRAS PRESTACIONES'!V24</f>
        <v>0</v>
      </c>
      <c r="P23" s="27">
        <f>+'OTRAS PRESTACIONES'!AA24+'OTRAS PRESTACIONES'!AB24</f>
        <v>0</v>
      </c>
      <c r="Q23" s="27">
        <f>+'OTRAS PRESTACIONES'!N24</f>
        <v>0</v>
      </c>
      <c r="R23" s="27"/>
      <c r="S23" s="66"/>
      <c r="T23" s="66">
        <f>+'ISR '!S24</f>
        <v>0</v>
      </c>
      <c r="U23" s="66">
        <f>+'AJUSTE AL SUBSIDIO '!N23</f>
        <v>0</v>
      </c>
      <c r="V23" s="66">
        <f>+'OTRAS RETENCIONES'!H23</f>
        <v>0</v>
      </c>
      <c r="W23" s="66">
        <f>+'OTRAS RETENCIONES'!I23</f>
        <v>0</v>
      </c>
      <c r="X23" s="66">
        <f>+'CUOTAS IMSS'!X23</f>
        <v>0</v>
      </c>
      <c r="Y23" s="66">
        <f>+'OTRAS RETENCIONES'!L23</f>
        <v>0</v>
      </c>
      <c r="Z23" s="66">
        <f>+'AJUSTE AL SUBSIDIO '!O23</f>
        <v>0</v>
      </c>
      <c r="AA23" s="66">
        <f>+ABS('AJUSTE AL SUBSIDIO '!P23)</f>
        <v>0</v>
      </c>
      <c r="AB23" s="66">
        <f>+'OTRAS RETENCIONES'!L23</f>
        <v>0</v>
      </c>
      <c r="AC23" s="27">
        <f>+'ISR '!T24</f>
        <v>0</v>
      </c>
      <c r="AD23" s="27"/>
      <c r="AE23" s="27"/>
      <c r="AF23" s="27">
        <f>+'AJUSTE AL SUBSIDIO '!Q23</f>
        <v>0</v>
      </c>
      <c r="AG23" s="27">
        <f>+'AJUSTE AL SUBSIDIO '!R23</f>
        <v>0</v>
      </c>
      <c r="AH23" s="27">
        <f t="shared" si="0"/>
        <v>0</v>
      </c>
    </row>
    <row r="24" spans="2:34" x14ac:dyDescent="0.25">
      <c r="E24" s="28">
        <v>18</v>
      </c>
      <c r="F24" s="251">
        <f>+'LISTA TRABAJADORES'!F24</f>
        <v>0</v>
      </c>
      <c r="G24" s="251">
        <f>+'LISTA TRABAJADORES'!G24</f>
        <v>0</v>
      </c>
      <c r="H24" s="27">
        <f>+'LISTA TRABAJADORES'!H24*'ISR '!I25</f>
        <v>0</v>
      </c>
      <c r="I24" s="27">
        <f>+'OTRAS PRESTACIONES'!Y25+'OTRAS PRESTACIONES'!Z25</f>
        <v>0</v>
      </c>
      <c r="J24" s="27">
        <f>+'OTRAS PRESTACIONES'!W25+'OTRAS PRESTACIONES'!X25</f>
        <v>0</v>
      </c>
      <c r="K24" s="27">
        <f>+'OTRAS PRESTACIONES'!L25</f>
        <v>0</v>
      </c>
      <c r="L24" s="27">
        <f>+'OTRAS PRESTACIONES'!O25+'OTRAS PRESTACIONES'!P25</f>
        <v>0</v>
      </c>
      <c r="M24" s="27">
        <f>+'OTRAS PRESTACIONES'!S25+'OTRAS PRESTACIONES'!T25</f>
        <v>0</v>
      </c>
      <c r="N24" s="27">
        <f>+'OTRAS PRESTACIONES'!Q25+'OTRAS PRESTACIONES'!R25</f>
        <v>0</v>
      </c>
      <c r="O24" s="27">
        <f>+'OTRAS PRESTACIONES'!V25</f>
        <v>0</v>
      </c>
      <c r="P24" s="27">
        <f>+'OTRAS PRESTACIONES'!AA25+'OTRAS PRESTACIONES'!AB25</f>
        <v>0</v>
      </c>
      <c r="Q24" s="27">
        <f>+'OTRAS PRESTACIONES'!N25</f>
        <v>0</v>
      </c>
      <c r="R24" s="27"/>
      <c r="S24" s="66"/>
      <c r="T24" s="66">
        <f>+'ISR '!S25</f>
        <v>0</v>
      </c>
      <c r="U24" s="66">
        <f>+'AJUSTE AL SUBSIDIO '!N24</f>
        <v>0</v>
      </c>
      <c r="V24" s="66">
        <f>+'OTRAS RETENCIONES'!H24</f>
        <v>0</v>
      </c>
      <c r="W24" s="66">
        <f>+'OTRAS RETENCIONES'!I24</f>
        <v>0</v>
      </c>
      <c r="X24" s="66">
        <f>+'CUOTAS IMSS'!X24</f>
        <v>0</v>
      </c>
      <c r="Y24" s="66">
        <f>+'OTRAS RETENCIONES'!L24</f>
        <v>0</v>
      </c>
      <c r="Z24" s="66">
        <f>+'AJUSTE AL SUBSIDIO '!O24</f>
        <v>0</v>
      </c>
      <c r="AA24" s="66">
        <f>+ABS('AJUSTE AL SUBSIDIO '!P24)</f>
        <v>0</v>
      </c>
      <c r="AB24" s="66">
        <f>+'OTRAS RETENCIONES'!L24</f>
        <v>0</v>
      </c>
      <c r="AC24" s="27">
        <f>+'ISR '!T25</f>
        <v>0</v>
      </c>
      <c r="AD24" s="27"/>
      <c r="AE24" s="27"/>
      <c r="AF24" s="27">
        <f>+'AJUSTE AL SUBSIDIO '!Q24</f>
        <v>0</v>
      </c>
      <c r="AG24" s="27">
        <f>+'AJUSTE AL SUBSIDIO '!R24</f>
        <v>0</v>
      </c>
      <c r="AH24" s="27">
        <f t="shared" si="0"/>
        <v>0</v>
      </c>
    </row>
    <row r="25" spans="2:34" x14ac:dyDescent="0.25">
      <c r="E25" s="28">
        <v>19</v>
      </c>
      <c r="F25" s="251">
        <f>+'LISTA TRABAJADORES'!F25</f>
        <v>0</v>
      </c>
      <c r="G25" s="251">
        <f>+'LISTA TRABAJADORES'!G25</f>
        <v>0</v>
      </c>
      <c r="H25" s="27">
        <f>+'LISTA TRABAJADORES'!H25*'ISR '!I26</f>
        <v>0</v>
      </c>
      <c r="I25" s="27">
        <f>+'OTRAS PRESTACIONES'!Y26+'OTRAS PRESTACIONES'!Z26</f>
        <v>0</v>
      </c>
      <c r="J25" s="27">
        <f>+'OTRAS PRESTACIONES'!W26+'OTRAS PRESTACIONES'!X26</f>
        <v>0</v>
      </c>
      <c r="K25" s="27">
        <f>+'OTRAS PRESTACIONES'!L26</f>
        <v>0</v>
      </c>
      <c r="L25" s="27">
        <f>+'OTRAS PRESTACIONES'!O26+'OTRAS PRESTACIONES'!P26</f>
        <v>0</v>
      </c>
      <c r="M25" s="27">
        <f>+'OTRAS PRESTACIONES'!S26+'OTRAS PRESTACIONES'!T26</f>
        <v>0</v>
      </c>
      <c r="N25" s="27">
        <f>+'OTRAS PRESTACIONES'!Q26+'OTRAS PRESTACIONES'!R26</f>
        <v>0</v>
      </c>
      <c r="O25" s="27">
        <f>+'OTRAS PRESTACIONES'!V26</f>
        <v>0</v>
      </c>
      <c r="P25" s="27">
        <f>+'OTRAS PRESTACIONES'!AA26+'OTRAS PRESTACIONES'!AB26</f>
        <v>0</v>
      </c>
      <c r="Q25" s="27">
        <f>+'OTRAS PRESTACIONES'!N26</f>
        <v>0</v>
      </c>
      <c r="R25" s="27"/>
      <c r="S25" s="66"/>
      <c r="T25" s="66">
        <f>+'ISR '!S26</f>
        <v>0</v>
      </c>
      <c r="U25" s="66">
        <f>+'AJUSTE AL SUBSIDIO '!N25</f>
        <v>0</v>
      </c>
      <c r="V25" s="66">
        <f>+'OTRAS RETENCIONES'!H25</f>
        <v>0</v>
      </c>
      <c r="W25" s="66">
        <f>+'OTRAS RETENCIONES'!I25</f>
        <v>0</v>
      </c>
      <c r="X25" s="66">
        <f>+'CUOTAS IMSS'!X25</f>
        <v>0</v>
      </c>
      <c r="Y25" s="66">
        <f>+'OTRAS RETENCIONES'!L25</f>
        <v>0</v>
      </c>
      <c r="Z25" s="66">
        <f>+'AJUSTE AL SUBSIDIO '!O25</f>
        <v>0</v>
      </c>
      <c r="AA25" s="66">
        <f>+ABS('AJUSTE AL SUBSIDIO '!P25)</f>
        <v>0</v>
      </c>
      <c r="AB25" s="66">
        <f>+'OTRAS RETENCIONES'!L25</f>
        <v>0</v>
      </c>
      <c r="AC25" s="27">
        <f>+'ISR '!T26</f>
        <v>0</v>
      </c>
      <c r="AD25" s="27"/>
      <c r="AE25" s="27"/>
      <c r="AF25" s="27">
        <f>+'AJUSTE AL SUBSIDIO '!Q25</f>
        <v>0</v>
      </c>
      <c r="AG25" s="27">
        <f>+'AJUSTE AL SUBSIDIO '!R25</f>
        <v>0</v>
      </c>
      <c r="AH25" s="27">
        <f t="shared" si="0"/>
        <v>0</v>
      </c>
    </row>
    <row r="26" spans="2:34" x14ac:dyDescent="0.25">
      <c r="E26" s="28">
        <v>20</v>
      </c>
      <c r="F26" s="251">
        <f>+'LISTA TRABAJADORES'!F26</f>
        <v>0</v>
      </c>
      <c r="G26" s="251">
        <f>+'LISTA TRABAJADORES'!G26</f>
        <v>0</v>
      </c>
      <c r="H26" s="27">
        <f>+'LISTA TRABAJADORES'!H26*'ISR '!I27</f>
        <v>0</v>
      </c>
      <c r="I26" s="27">
        <f>+'OTRAS PRESTACIONES'!Y27+'OTRAS PRESTACIONES'!Z27</f>
        <v>0</v>
      </c>
      <c r="J26" s="27">
        <f>+'OTRAS PRESTACIONES'!W27+'OTRAS PRESTACIONES'!X27</f>
        <v>0</v>
      </c>
      <c r="K26" s="27">
        <f>+'OTRAS PRESTACIONES'!L27</f>
        <v>0</v>
      </c>
      <c r="L26" s="27">
        <f>+'OTRAS PRESTACIONES'!O27+'OTRAS PRESTACIONES'!P27</f>
        <v>0</v>
      </c>
      <c r="M26" s="27">
        <f>+'OTRAS PRESTACIONES'!S27+'OTRAS PRESTACIONES'!T27</f>
        <v>0</v>
      </c>
      <c r="N26" s="27">
        <f>+'OTRAS PRESTACIONES'!Q27+'OTRAS PRESTACIONES'!R27</f>
        <v>0</v>
      </c>
      <c r="O26" s="27">
        <f>+'OTRAS PRESTACIONES'!V27</f>
        <v>0</v>
      </c>
      <c r="P26" s="27">
        <f>+'OTRAS PRESTACIONES'!AA27+'OTRAS PRESTACIONES'!AB27</f>
        <v>0</v>
      </c>
      <c r="Q26" s="27">
        <f>+'OTRAS PRESTACIONES'!N27</f>
        <v>0</v>
      </c>
      <c r="R26" s="27"/>
      <c r="S26" s="66"/>
      <c r="T26" s="66">
        <f>+'ISR '!S27</f>
        <v>0</v>
      </c>
      <c r="U26" s="66">
        <f>+'AJUSTE AL SUBSIDIO '!N26</f>
        <v>0</v>
      </c>
      <c r="V26" s="66">
        <f>+'OTRAS RETENCIONES'!H26</f>
        <v>0</v>
      </c>
      <c r="W26" s="66">
        <f>+'OTRAS RETENCIONES'!I26</f>
        <v>0</v>
      </c>
      <c r="X26" s="66">
        <f>+'CUOTAS IMSS'!X26</f>
        <v>0</v>
      </c>
      <c r="Y26" s="66">
        <f>+'OTRAS RETENCIONES'!L26</f>
        <v>0</v>
      </c>
      <c r="Z26" s="66">
        <f>+'AJUSTE AL SUBSIDIO '!O26</f>
        <v>0</v>
      </c>
      <c r="AA26" s="66">
        <f>+ABS('AJUSTE AL SUBSIDIO '!P26)</f>
        <v>0</v>
      </c>
      <c r="AB26" s="66">
        <f>+'OTRAS RETENCIONES'!L26</f>
        <v>0</v>
      </c>
      <c r="AC26" s="27">
        <f>+'ISR '!T27</f>
        <v>0</v>
      </c>
      <c r="AD26" s="27"/>
      <c r="AE26" s="27"/>
      <c r="AF26" s="27">
        <f>+'AJUSTE AL SUBSIDIO '!Q26</f>
        <v>0</v>
      </c>
      <c r="AG26" s="27">
        <f>+'AJUSTE AL SUBSIDIO '!R26</f>
        <v>0</v>
      </c>
      <c r="AH26" s="27">
        <f t="shared" si="0"/>
        <v>0</v>
      </c>
    </row>
    <row r="27" spans="2:34" x14ac:dyDescent="0.25">
      <c r="E27" s="28">
        <v>21</v>
      </c>
      <c r="F27" s="251">
        <f>+'LISTA TRABAJADORES'!F27</f>
        <v>0</v>
      </c>
      <c r="G27" s="251">
        <f>+'LISTA TRABAJADORES'!G27</f>
        <v>0</v>
      </c>
      <c r="H27" s="27">
        <f>+'LISTA TRABAJADORES'!H27*'ISR '!I28</f>
        <v>0</v>
      </c>
      <c r="I27" s="27">
        <f>+'OTRAS PRESTACIONES'!Y28+'OTRAS PRESTACIONES'!Z28</f>
        <v>0</v>
      </c>
      <c r="J27" s="27">
        <f>+'OTRAS PRESTACIONES'!W28+'OTRAS PRESTACIONES'!X28</f>
        <v>0</v>
      </c>
      <c r="K27" s="27">
        <f>+'OTRAS PRESTACIONES'!L28</f>
        <v>0</v>
      </c>
      <c r="L27" s="27">
        <f>+'OTRAS PRESTACIONES'!O28+'OTRAS PRESTACIONES'!P28</f>
        <v>0</v>
      </c>
      <c r="M27" s="27">
        <f>+'OTRAS PRESTACIONES'!S28+'OTRAS PRESTACIONES'!T28</f>
        <v>0</v>
      </c>
      <c r="N27" s="27">
        <f>+'OTRAS PRESTACIONES'!Q28+'OTRAS PRESTACIONES'!R28</f>
        <v>0</v>
      </c>
      <c r="O27" s="27">
        <f>+'OTRAS PRESTACIONES'!V28</f>
        <v>0</v>
      </c>
      <c r="P27" s="27">
        <f>+'OTRAS PRESTACIONES'!AA28+'OTRAS PRESTACIONES'!AB28</f>
        <v>0</v>
      </c>
      <c r="Q27" s="27">
        <f>+'OTRAS PRESTACIONES'!N28</f>
        <v>0</v>
      </c>
      <c r="R27" s="27"/>
      <c r="S27" s="66"/>
      <c r="T27" s="66">
        <f>+'ISR '!S28</f>
        <v>0</v>
      </c>
      <c r="U27" s="66">
        <f>+'AJUSTE AL SUBSIDIO '!N27</f>
        <v>0</v>
      </c>
      <c r="V27" s="66">
        <f>+'OTRAS RETENCIONES'!H27</f>
        <v>0</v>
      </c>
      <c r="W27" s="66">
        <f>+'OTRAS RETENCIONES'!I27</f>
        <v>0</v>
      </c>
      <c r="X27" s="66">
        <f>+'CUOTAS IMSS'!X27</f>
        <v>0</v>
      </c>
      <c r="Y27" s="66">
        <f>+'OTRAS RETENCIONES'!L27</f>
        <v>0</v>
      </c>
      <c r="Z27" s="66">
        <f>+'AJUSTE AL SUBSIDIO '!O27</f>
        <v>0</v>
      </c>
      <c r="AA27" s="66">
        <f>+ABS('AJUSTE AL SUBSIDIO '!P27)</f>
        <v>0</v>
      </c>
      <c r="AB27" s="66">
        <f>+'OTRAS RETENCIONES'!L27</f>
        <v>0</v>
      </c>
      <c r="AC27" s="27">
        <f>+'ISR '!T28</f>
        <v>0</v>
      </c>
      <c r="AD27" s="27"/>
      <c r="AE27" s="27"/>
      <c r="AF27" s="27">
        <f>+'AJUSTE AL SUBSIDIO '!Q27</f>
        <v>0</v>
      </c>
      <c r="AG27" s="27">
        <f>+'AJUSTE AL SUBSIDIO '!R27</f>
        <v>0</v>
      </c>
      <c r="AH27" s="27">
        <f t="shared" si="0"/>
        <v>0</v>
      </c>
    </row>
    <row r="28" spans="2:34" x14ac:dyDescent="0.25">
      <c r="E28" s="28">
        <v>22</v>
      </c>
      <c r="F28" s="251">
        <f>+'LISTA TRABAJADORES'!F28</f>
        <v>0</v>
      </c>
      <c r="G28" s="251">
        <f>+'LISTA TRABAJADORES'!G28</f>
        <v>0</v>
      </c>
      <c r="H28" s="27">
        <f>+'LISTA TRABAJADORES'!H28*'ISR '!I29</f>
        <v>0</v>
      </c>
      <c r="I28" s="27">
        <f>+'OTRAS PRESTACIONES'!Y29+'OTRAS PRESTACIONES'!Z29</f>
        <v>0</v>
      </c>
      <c r="J28" s="27">
        <f>+'OTRAS PRESTACIONES'!W29+'OTRAS PRESTACIONES'!X29</f>
        <v>0</v>
      </c>
      <c r="K28" s="27">
        <f>+'OTRAS PRESTACIONES'!L29</f>
        <v>0</v>
      </c>
      <c r="L28" s="27">
        <f>+'OTRAS PRESTACIONES'!O29+'OTRAS PRESTACIONES'!P29</f>
        <v>0</v>
      </c>
      <c r="M28" s="27">
        <f>+'OTRAS PRESTACIONES'!S29+'OTRAS PRESTACIONES'!T29</f>
        <v>0</v>
      </c>
      <c r="N28" s="27">
        <f>+'OTRAS PRESTACIONES'!Q29+'OTRAS PRESTACIONES'!R29</f>
        <v>0</v>
      </c>
      <c r="O28" s="27">
        <f>+'OTRAS PRESTACIONES'!V29</f>
        <v>0</v>
      </c>
      <c r="P28" s="27">
        <f>+'OTRAS PRESTACIONES'!AA29+'OTRAS PRESTACIONES'!AB29</f>
        <v>0</v>
      </c>
      <c r="Q28" s="27">
        <f>+'OTRAS PRESTACIONES'!N29</f>
        <v>0</v>
      </c>
      <c r="R28" s="27"/>
      <c r="S28" s="66"/>
      <c r="T28" s="66">
        <f>+'ISR '!S29</f>
        <v>0</v>
      </c>
      <c r="U28" s="66">
        <f>+'AJUSTE AL SUBSIDIO '!N28</f>
        <v>0</v>
      </c>
      <c r="V28" s="66">
        <f>+'OTRAS RETENCIONES'!H28</f>
        <v>0</v>
      </c>
      <c r="W28" s="66">
        <f>+'OTRAS RETENCIONES'!I28</f>
        <v>0</v>
      </c>
      <c r="X28" s="66">
        <f>+'CUOTAS IMSS'!X28</f>
        <v>0</v>
      </c>
      <c r="Y28" s="66">
        <f>+'OTRAS RETENCIONES'!L28</f>
        <v>0</v>
      </c>
      <c r="Z28" s="66">
        <f>+'AJUSTE AL SUBSIDIO '!O28</f>
        <v>0</v>
      </c>
      <c r="AA28" s="66">
        <f>+ABS('AJUSTE AL SUBSIDIO '!P28)</f>
        <v>0</v>
      </c>
      <c r="AB28" s="66">
        <f>+'OTRAS RETENCIONES'!L28</f>
        <v>0</v>
      </c>
      <c r="AC28" s="27">
        <f>+'ISR '!T29</f>
        <v>0</v>
      </c>
      <c r="AD28" s="27"/>
      <c r="AE28" s="27"/>
      <c r="AF28" s="27">
        <f>+'AJUSTE AL SUBSIDIO '!Q28</f>
        <v>0</v>
      </c>
      <c r="AG28" s="27">
        <f>+'AJUSTE AL SUBSIDIO '!R28</f>
        <v>0</v>
      </c>
      <c r="AH28" s="27">
        <f t="shared" si="0"/>
        <v>0</v>
      </c>
    </row>
    <row r="29" spans="2:34" x14ac:dyDescent="0.25">
      <c r="E29" s="28">
        <v>23</v>
      </c>
      <c r="F29" s="251">
        <f>+'LISTA TRABAJADORES'!F29</f>
        <v>0</v>
      </c>
      <c r="G29" s="251">
        <f>+'LISTA TRABAJADORES'!G29</f>
        <v>0</v>
      </c>
      <c r="H29" s="27">
        <f>+'LISTA TRABAJADORES'!H29*'ISR '!I30</f>
        <v>0</v>
      </c>
      <c r="I29" s="27">
        <f>+'OTRAS PRESTACIONES'!Y30+'OTRAS PRESTACIONES'!Z30</f>
        <v>0</v>
      </c>
      <c r="J29" s="27">
        <f>+'OTRAS PRESTACIONES'!W30+'OTRAS PRESTACIONES'!X30</f>
        <v>0</v>
      </c>
      <c r="K29" s="27">
        <f>+'OTRAS PRESTACIONES'!L30</f>
        <v>0</v>
      </c>
      <c r="L29" s="27">
        <f>+'OTRAS PRESTACIONES'!O30+'OTRAS PRESTACIONES'!P30</f>
        <v>0</v>
      </c>
      <c r="M29" s="27">
        <f>+'OTRAS PRESTACIONES'!S30+'OTRAS PRESTACIONES'!T30</f>
        <v>0</v>
      </c>
      <c r="N29" s="27">
        <f>+'OTRAS PRESTACIONES'!Q30+'OTRAS PRESTACIONES'!R30</f>
        <v>0</v>
      </c>
      <c r="O29" s="27">
        <f>+'OTRAS PRESTACIONES'!V30</f>
        <v>0</v>
      </c>
      <c r="P29" s="27">
        <f>+'OTRAS PRESTACIONES'!AA30+'OTRAS PRESTACIONES'!AB30</f>
        <v>0</v>
      </c>
      <c r="Q29" s="27">
        <f>+'OTRAS PRESTACIONES'!N30</f>
        <v>0</v>
      </c>
      <c r="R29" s="27"/>
      <c r="S29" s="66"/>
      <c r="T29" s="66">
        <f>+'ISR '!S30</f>
        <v>0</v>
      </c>
      <c r="U29" s="66">
        <f>+'AJUSTE AL SUBSIDIO '!N29</f>
        <v>0</v>
      </c>
      <c r="V29" s="66">
        <f>+'OTRAS RETENCIONES'!H29</f>
        <v>0</v>
      </c>
      <c r="W29" s="66">
        <f>+'OTRAS RETENCIONES'!I29</f>
        <v>0</v>
      </c>
      <c r="X29" s="66">
        <f>+'CUOTAS IMSS'!X29</f>
        <v>0</v>
      </c>
      <c r="Y29" s="66">
        <f>+'OTRAS RETENCIONES'!L29</f>
        <v>0</v>
      </c>
      <c r="Z29" s="66">
        <f>+'AJUSTE AL SUBSIDIO '!O29</f>
        <v>0</v>
      </c>
      <c r="AA29" s="66">
        <f>+ABS('AJUSTE AL SUBSIDIO '!P29)</f>
        <v>0</v>
      </c>
      <c r="AB29" s="66">
        <f>+'OTRAS RETENCIONES'!L29</f>
        <v>0</v>
      </c>
      <c r="AC29" s="27">
        <f>+'ISR '!T30</f>
        <v>0</v>
      </c>
      <c r="AD29" s="27"/>
      <c r="AE29" s="27"/>
      <c r="AF29" s="27">
        <f>+'AJUSTE AL SUBSIDIO '!Q29</f>
        <v>0</v>
      </c>
      <c r="AG29" s="27">
        <f>+'AJUSTE AL SUBSIDIO '!R29</f>
        <v>0</v>
      </c>
      <c r="AH29" s="27">
        <f t="shared" si="0"/>
        <v>0</v>
      </c>
    </row>
    <row r="30" spans="2:34" x14ac:dyDescent="0.25">
      <c r="E30" s="28">
        <v>24</v>
      </c>
      <c r="F30" s="251">
        <f>+'LISTA TRABAJADORES'!F30</f>
        <v>0</v>
      </c>
      <c r="G30" s="251">
        <f>+'LISTA TRABAJADORES'!G30</f>
        <v>0</v>
      </c>
      <c r="H30" s="27">
        <f>+'LISTA TRABAJADORES'!H30*'ISR '!I31</f>
        <v>0</v>
      </c>
      <c r="I30" s="27">
        <f>+'OTRAS PRESTACIONES'!Y31+'OTRAS PRESTACIONES'!Z31</f>
        <v>0</v>
      </c>
      <c r="J30" s="27">
        <f>+'OTRAS PRESTACIONES'!W31+'OTRAS PRESTACIONES'!X31</f>
        <v>0</v>
      </c>
      <c r="K30" s="27">
        <f>+'OTRAS PRESTACIONES'!L31</f>
        <v>0</v>
      </c>
      <c r="L30" s="27">
        <f>+'OTRAS PRESTACIONES'!O31+'OTRAS PRESTACIONES'!P31</f>
        <v>0</v>
      </c>
      <c r="M30" s="27">
        <f>+'OTRAS PRESTACIONES'!S31+'OTRAS PRESTACIONES'!T31</f>
        <v>0</v>
      </c>
      <c r="N30" s="27">
        <f>+'OTRAS PRESTACIONES'!Q31+'OTRAS PRESTACIONES'!R31</f>
        <v>0</v>
      </c>
      <c r="O30" s="27">
        <f>+'OTRAS PRESTACIONES'!V31</f>
        <v>0</v>
      </c>
      <c r="P30" s="27">
        <f>+'OTRAS PRESTACIONES'!AA31+'OTRAS PRESTACIONES'!AB31</f>
        <v>0</v>
      </c>
      <c r="Q30" s="27">
        <f>+'OTRAS PRESTACIONES'!N31</f>
        <v>0</v>
      </c>
      <c r="R30" s="27"/>
      <c r="S30" s="66"/>
      <c r="T30" s="66">
        <f>+'ISR '!S31</f>
        <v>0</v>
      </c>
      <c r="U30" s="66">
        <f>+'AJUSTE AL SUBSIDIO '!N30</f>
        <v>0</v>
      </c>
      <c r="V30" s="66">
        <f>+'OTRAS RETENCIONES'!H30</f>
        <v>0</v>
      </c>
      <c r="W30" s="66">
        <f>+'OTRAS RETENCIONES'!I30</f>
        <v>0</v>
      </c>
      <c r="X30" s="66">
        <f>+'CUOTAS IMSS'!X30</f>
        <v>0</v>
      </c>
      <c r="Y30" s="66">
        <f>+'OTRAS RETENCIONES'!L30</f>
        <v>0</v>
      </c>
      <c r="Z30" s="66">
        <f>+'AJUSTE AL SUBSIDIO '!O30</f>
        <v>0</v>
      </c>
      <c r="AA30" s="66">
        <f>+ABS('AJUSTE AL SUBSIDIO '!P30)</f>
        <v>0</v>
      </c>
      <c r="AB30" s="66">
        <f>+'OTRAS RETENCIONES'!L30</f>
        <v>0</v>
      </c>
      <c r="AC30" s="27">
        <f>+'ISR '!T31</f>
        <v>0</v>
      </c>
      <c r="AD30" s="27"/>
      <c r="AE30" s="27"/>
      <c r="AF30" s="27">
        <f>+'AJUSTE AL SUBSIDIO '!Q30</f>
        <v>0</v>
      </c>
      <c r="AG30" s="27">
        <f>+'AJUSTE AL SUBSIDIO '!R30</f>
        <v>0</v>
      </c>
      <c r="AH30" s="27">
        <f t="shared" si="0"/>
        <v>0</v>
      </c>
    </row>
    <row r="31" spans="2:34" x14ac:dyDescent="0.25">
      <c r="E31" s="28">
        <v>25</v>
      </c>
      <c r="F31" s="251">
        <f>+'LISTA TRABAJADORES'!F31</f>
        <v>0</v>
      </c>
      <c r="G31" s="251">
        <f>+'LISTA TRABAJADORES'!G31</f>
        <v>0</v>
      </c>
      <c r="H31" s="27">
        <f>+'LISTA TRABAJADORES'!H31*'ISR '!I32</f>
        <v>0</v>
      </c>
      <c r="I31" s="27">
        <f>+'OTRAS PRESTACIONES'!Y32+'OTRAS PRESTACIONES'!Z32</f>
        <v>0</v>
      </c>
      <c r="J31" s="27">
        <f>+'OTRAS PRESTACIONES'!W32+'OTRAS PRESTACIONES'!X32</f>
        <v>0</v>
      </c>
      <c r="K31" s="27">
        <f>+'OTRAS PRESTACIONES'!L32</f>
        <v>0</v>
      </c>
      <c r="L31" s="27">
        <f>+'OTRAS PRESTACIONES'!O32+'OTRAS PRESTACIONES'!P32</f>
        <v>0</v>
      </c>
      <c r="M31" s="27">
        <f>+'OTRAS PRESTACIONES'!S32+'OTRAS PRESTACIONES'!T32</f>
        <v>0</v>
      </c>
      <c r="N31" s="27">
        <f>+'OTRAS PRESTACIONES'!Q32+'OTRAS PRESTACIONES'!R32</f>
        <v>0</v>
      </c>
      <c r="O31" s="27">
        <f>+'OTRAS PRESTACIONES'!V32</f>
        <v>0</v>
      </c>
      <c r="P31" s="27">
        <f>+'OTRAS PRESTACIONES'!AA32+'OTRAS PRESTACIONES'!AB32</f>
        <v>0</v>
      </c>
      <c r="Q31" s="27">
        <f>+'OTRAS PRESTACIONES'!N32</f>
        <v>0</v>
      </c>
      <c r="R31" s="27"/>
      <c r="S31" s="66"/>
      <c r="T31" s="66">
        <f>+'ISR '!S32</f>
        <v>0</v>
      </c>
      <c r="U31" s="66">
        <f>+'AJUSTE AL SUBSIDIO '!N31</f>
        <v>0</v>
      </c>
      <c r="V31" s="66">
        <f>+'OTRAS RETENCIONES'!H31</f>
        <v>0</v>
      </c>
      <c r="W31" s="66">
        <f>+'OTRAS RETENCIONES'!I31</f>
        <v>0</v>
      </c>
      <c r="X31" s="66">
        <f>+'CUOTAS IMSS'!X31</f>
        <v>0</v>
      </c>
      <c r="Y31" s="66">
        <f>+'OTRAS RETENCIONES'!L31</f>
        <v>0</v>
      </c>
      <c r="Z31" s="66">
        <f>+'AJUSTE AL SUBSIDIO '!O31</f>
        <v>0</v>
      </c>
      <c r="AA31" s="66">
        <f>+ABS('AJUSTE AL SUBSIDIO '!P31)</f>
        <v>0</v>
      </c>
      <c r="AB31" s="66">
        <f>+'OTRAS RETENCIONES'!L31</f>
        <v>0</v>
      </c>
      <c r="AC31" s="27">
        <f>+'ISR '!T32</f>
        <v>0</v>
      </c>
      <c r="AD31" s="27"/>
      <c r="AE31" s="27"/>
      <c r="AF31" s="27">
        <f>+'AJUSTE AL SUBSIDIO '!Q31</f>
        <v>0</v>
      </c>
      <c r="AG31" s="27">
        <f>+'AJUSTE AL SUBSIDIO '!R31</f>
        <v>0</v>
      </c>
      <c r="AH31" s="27">
        <f t="shared" si="0"/>
        <v>0</v>
      </c>
    </row>
    <row r="32" spans="2:34" x14ac:dyDescent="0.25">
      <c r="E32" s="28">
        <v>26</v>
      </c>
      <c r="F32" s="251">
        <f>+'LISTA TRABAJADORES'!F32</f>
        <v>0</v>
      </c>
      <c r="G32" s="251">
        <f>+'LISTA TRABAJADORES'!G32</f>
        <v>0</v>
      </c>
      <c r="H32" s="27">
        <f>+'LISTA TRABAJADORES'!H32*'ISR '!I33</f>
        <v>0</v>
      </c>
      <c r="I32" s="27">
        <f>+'OTRAS PRESTACIONES'!Y33+'OTRAS PRESTACIONES'!Z33</f>
        <v>0</v>
      </c>
      <c r="J32" s="27">
        <f>+'OTRAS PRESTACIONES'!W33+'OTRAS PRESTACIONES'!X33</f>
        <v>0</v>
      </c>
      <c r="K32" s="27">
        <f>+'OTRAS PRESTACIONES'!L33</f>
        <v>0</v>
      </c>
      <c r="L32" s="27">
        <f>+'OTRAS PRESTACIONES'!O33+'OTRAS PRESTACIONES'!P33</f>
        <v>0</v>
      </c>
      <c r="M32" s="27">
        <f>+'OTRAS PRESTACIONES'!S33+'OTRAS PRESTACIONES'!T33</f>
        <v>0</v>
      </c>
      <c r="N32" s="27">
        <f>+'OTRAS PRESTACIONES'!Q33+'OTRAS PRESTACIONES'!R33</f>
        <v>0</v>
      </c>
      <c r="O32" s="27">
        <f>+'OTRAS PRESTACIONES'!V33</f>
        <v>0</v>
      </c>
      <c r="P32" s="27">
        <f>+'OTRAS PRESTACIONES'!AA33+'OTRAS PRESTACIONES'!AB33</f>
        <v>0</v>
      </c>
      <c r="Q32" s="27">
        <f>+'OTRAS PRESTACIONES'!N33</f>
        <v>0</v>
      </c>
      <c r="R32" s="27"/>
      <c r="S32" s="66"/>
      <c r="T32" s="66">
        <f>+'ISR '!S33</f>
        <v>0</v>
      </c>
      <c r="U32" s="66">
        <f>+'AJUSTE AL SUBSIDIO '!N32</f>
        <v>0</v>
      </c>
      <c r="V32" s="66">
        <f>+'OTRAS RETENCIONES'!H32</f>
        <v>0</v>
      </c>
      <c r="W32" s="66">
        <f>+'OTRAS RETENCIONES'!I32</f>
        <v>0</v>
      </c>
      <c r="X32" s="66">
        <f>+'CUOTAS IMSS'!X32</f>
        <v>0</v>
      </c>
      <c r="Y32" s="66">
        <f>+'OTRAS RETENCIONES'!L32</f>
        <v>0</v>
      </c>
      <c r="Z32" s="66">
        <f>+'AJUSTE AL SUBSIDIO '!O32</f>
        <v>0</v>
      </c>
      <c r="AA32" s="66">
        <f>+ABS('AJUSTE AL SUBSIDIO '!P32)</f>
        <v>0</v>
      </c>
      <c r="AB32" s="66">
        <f>+'OTRAS RETENCIONES'!L32</f>
        <v>0</v>
      </c>
      <c r="AC32" s="27">
        <f>+'ISR '!T33</f>
        <v>0</v>
      </c>
      <c r="AD32" s="27"/>
      <c r="AE32" s="27"/>
      <c r="AF32" s="27">
        <f>+'AJUSTE AL SUBSIDIO '!Q32</f>
        <v>0</v>
      </c>
      <c r="AG32" s="27">
        <f>+'AJUSTE AL SUBSIDIO '!R32</f>
        <v>0</v>
      </c>
      <c r="AH32" s="27">
        <f t="shared" si="0"/>
        <v>0</v>
      </c>
    </row>
    <row r="33" spans="5:34" x14ac:dyDescent="0.25">
      <c r="E33" s="28">
        <v>27</v>
      </c>
      <c r="F33" s="251">
        <f>+'LISTA TRABAJADORES'!F33</f>
        <v>0</v>
      </c>
      <c r="G33" s="251">
        <f>+'LISTA TRABAJADORES'!G33</f>
        <v>0</v>
      </c>
      <c r="H33" s="27">
        <f>+'LISTA TRABAJADORES'!H33*'ISR '!I34</f>
        <v>0</v>
      </c>
      <c r="I33" s="27">
        <f>+'OTRAS PRESTACIONES'!Y34+'OTRAS PRESTACIONES'!Z34</f>
        <v>0</v>
      </c>
      <c r="J33" s="27">
        <f>+'OTRAS PRESTACIONES'!W34+'OTRAS PRESTACIONES'!X34</f>
        <v>0</v>
      </c>
      <c r="K33" s="27">
        <f>+'OTRAS PRESTACIONES'!L34</f>
        <v>0</v>
      </c>
      <c r="L33" s="27">
        <f>+'OTRAS PRESTACIONES'!O34+'OTRAS PRESTACIONES'!P34</f>
        <v>0</v>
      </c>
      <c r="M33" s="27">
        <f>+'OTRAS PRESTACIONES'!S34+'OTRAS PRESTACIONES'!T34</f>
        <v>0</v>
      </c>
      <c r="N33" s="27">
        <f>+'OTRAS PRESTACIONES'!Q34+'OTRAS PRESTACIONES'!R34</f>
        <v>0</v>
      </c>
      <c r="O33" s="27">
        <f>+'OTRAS PRESTACIONES'!V34</f>
        <v>0</v>
      </c>
      <c r="P33" s="27">
        <f>+'OTRAS PRESTACIONES'!AA34+'OTRAS PRESTACIONES'!AB34</f>
        <v>0</v>
      </c>
      <c r="Q33" s="27">
        <f>+'OTRAS PRESTACIONES'!N34</f>
        <v>0</v>
      </c>
      <c r="R33" s="27"/>
      <c r="S33" s="66"/>
      <c r="T33" s="66">
        <f>+'ISR '!S34</f>
        <v>0</v>
      </c>
      <c r="U33" s="66">
        <f>+'AJUSTE AL SUBSIDIO '!N33</f>
        <v>0</v>
      </c>
      <c r="V33" s="66">
        <f>+'OTRAS RETENCIONES'!H33</f>
        <v>0</v>
      </c>
      <c r="W33" s="66">
        <f>+'OTRAS RETENCIONES'!I33</f>
        <v>0</v>
      </c>
      <c r="X33" s="66">
        <f>+'CUOTAS IMSS'!X33</f>
        <v>0</v>
      </c>
      <c r="Y33" s="66">
        <f>+'OTRAS RETENCIONES'!L33</f>
        <v>0</v>
      </c>
      <c r="Z33" s="66">
        <f>+'AJUSTE AL SUBSIDIO '!O33</f>
        <v>0</v>
      </c>
      <c r="AA33" s="66">
        <f>+ABS('AJUSTE AL SUBSIDIO '!P33)</f>
        <v>0</v>
      </c>
      <c r="AB33" s="66">
        <f>+'OTRAS RETENCIONES'!L33</f>
        <v>0</v>
      </c>
      <c r="AC33" s="27">
        <f>+'ISR '!T34</f>
        <v>0</v>
      </c>
      <c r="AD33" s="27"/>
      <c r="AE33" s="27"/>
      <c r="AF33" s="27">
        <f>+'AJUSTE AL SUBSIDIO '!Q33</f>
        <v>0</v>
      </c>
      <c r="AG33" s="27">
        <f>+'AJUSTE AL SUBSIDIO '!R33</f>
        <v>0</v>
      </c>
      <c r="AH33" s="27">
        <f t="shared" si="0"/>
        <v>0</v>
      </c>
    </row>
    <row r="34" spans="5:34" x14ac:dyDescent="0.25">
      <c r="E34" s="28">
        <v>28</v>
      </c>
      <c r="F34" s="251">
        <f>+'LISTA TRABAJADORES'!F34</f>
        <v>0</v>
      </c>
      <c r="G34" s="251">
        <f>+'LISTA TRABAJADORES'!G34</f>
        <v>0</v>
      </c>
      <c r="H34" s="27">
        <f>+'LISTA TRABAJADORES'!H34*'ISR '!I35</f>
        <v>0</v>
      </c>
      <c r="I34" s="27">
        <f>+'OTRAS PRESTACIONES'!Y35+'OTRAS PRESTACIONES'!Z35</f>
        <v>0</v>
      </c>
      <c r="J34" s="27">
        <f>+'OTRAS PRESTACIONES'!W35+'OTRAS PRESTACIONES'!X35</f>
        <v>0</v>
      </c>
      <c r="K34" s="27">
        <f>+'OTRAS PRESTACIONES'!L35</f>
        <v>0</v>
      </c>
      <c r="L34" s="27">
        <f>+'OTRAS PRESTACIONES'!O35+'OTRAS PRESTACIONES'!P35</f>
        <v>0</v>
      </c>
      <c r="M34" s="27">
        <f>+'OTRAS PRESTACIONES'!S35+'OTRAS PRESTACIONES'!T35</f>
        <v>0</v>
      </c>
      <c r="N34" s="27">
        <f>+'OTRAS PRESTACIONES'!Q35+'OTRAS PRESTACIONES'!R35</f>
        <v>0</v>
      </c>
      <c r="O34" s="27">
        <f>+'OTRAS PRESTACIONES'!V35</f>
        <v>0</v>
      </c>
      <c r="P34" s="27">
        <f>+'OTRAS PRESTACIONES'!AA35+'OTRAS PRESTACIONES'!AB35</f>
        <v>0</v>
      </c>
      <c r="Q34" s="27">
        <f>+'OTRAS PRESTACIONES'!N35</f>
        <v>0</v>
      </c>
      <c r="R34" s="27"/>
      <c r="S34" s="66"/>
      <c r="T34" s="66">
        <f>+'ISR '!S35</f>
        <v>0</v>
      </c>
      <c r="U34" s="66">
        <f>+'AJUSTE AL SUBSIDIO '!N34</f>
        <v>0</v>
      </c>
      <c r="V34" s="66">
        <f>+'OTRAS RETENCIONES'!H34</f>
        <v>0</v>
      </c>
      <c r="W34" s="66">
        <f>+'OTRAS RETENCIONES'!I34</f>
        <v>0</v>
      </c>
      <c r="X34" s="66">
        <f>+'CUOTAS IMSS'!X34</f>
        <v>0</v>
      </c>
      <c r="Y34" s="66">
        <f>+'OTRAS RETENCIONES'!L34</f>
        <v>0</v>
      </c>
      <c r="Z34" s="66">
        <f>+'AJUSTE AL SUBSIDIO '!O34</f>
        <v>0</v>
      </c>
      <c r="AA34" s="66">
        <f>+ABS('AJUSTE AL SUBSIDIO '!P34)</f>
        <v>0</v>
      </c>
      <c r="AB34" s="66">
        <f>+'OTRAS RETENCIONES'!L34</f>
        <v>0</v>
      </c>
      <c r="AC34" s="27">
        <f>+'ISR '!T35</f>
        <v>0</v>
      </c>
      <c r="AD34" s="27"/>
      <c r="AE34" s="27"/>
      <c r="AF34" s="27">
        <f>+'AJUSTE AL SUBSIDIO '!Q34</f>
        <v>0</v>
      </c>
      <c r="AG34" s="27">
        <f>+'AJUSTE AL SUBSIDIO '!R34</f>
        <v>0</v>
      </c>
      <c r="AH34" s="27">
        <f t="shared" si="0"/>
        <v>0</v>
      </c>
    </row>
    <row r="35" spans="5:34" x14ac:dyDescent="0.25">
      <c r="E35" s="28">
        <v>29</v>
      </c>
      <c r="F35" s="251">
        <f>+'LISTA TRABAJADORES'!F35</f>
        <v>0</v>
      </c>
      <c r="G35" s="251">
        <f>+'LISTA TRABAJADORES'!G35</f>
        <v>0</v>
      </c>
      <c r="H35" s="27">
        <f>+'LISTA TRABAJADORES'!H35*'ISR '!I36</f>
        <v>0</v>
      </c>
      <c r="I35" s="27">
        <f>+'OTRAS PRESTACIONES'!Y36+'OTRAS PRESTACIONES'!Z36</f>
        <v>0</v>
      </c>
      <c r="J35" s="27">
        <f>+'OTRAS PRESTACIONES'!W36+'OTRAS PRESTACIONES'!X36</f>
        <v>0</v>
      </c>
      <c r="K35" s="27">
        <f>+'OTRAS PRESTACIONES'!L36</f>
        <v>0</v>
      </c>
      <c r="L35" s="27">
        <f>+'OTRAS PRESTACIONES'!O36+'OTRAS PRESTACIONES'!P36</f>
        <v>0</v>
      </c>
      <c r="M35" s="27">
        <f>+'OTRAS PRESTACIONES'!S36+'OTRAS PRESTACIONES'!T36</f>
        <v>0</v>
      </c>
      <c r="N35" s="27">
        <f>+'OTRAS PRESTACIONES'!Q36+'OTRAS PRESTACIONES'!R36</f>
        <v>0</v>
      </c>
      <c r="O35" s="27">
        <f>+'OTRAS PRESTACIONES'!V36</f>
        <v>0</v>
      </c>
      <c r="P35" s="27">
        <f>+'OTRAS PRESTACIONES'!AA36+'OTRAS PRESTACIONES'!AB36</f>
        <v>0</v>
      </c>
      <c r="Q35" s="27">
        <f>+'OTRAS PRESTACIONES'!N36</f>
        <v>0</v>
      </c>
      <c r="R35" s="27"/>
      <c r="S35" s="66"/>
      <c r="T35" s="66">
        <f>+'ISR '!S36</f>
        <v>0</v>
      </c>
      <c r="U35" s="66">
        <f>+'AJUSTE AL SUBSIDIO '!N35</f>
        <v>0</v>
      </c>
      <c r="V35" s="66">
        <f>+'OTRAS RETENCIONES'!H35</f>
        <v>0</v>
      </c>
      <c r="W35" s="66">
        <f>+'OTRAS RETENCIONES'!I35</f>
        <v>0</v>
      </c>
      <c r="X35" s="66">
        <f>+'CUOTAS IMSS'!X35</f>
        <v>0</v>
      </c>
      <c r="Y35" s="66">
        <f>+'OTRAS RETENCIONES'!L35</f>
        <v>0</v>
      </c>
      <c r="Z35" s="66">
        <f>+'AJUSTE AL SUBSIDIO '!O35</f>
        <v>0</v>
      </c>
      <c r="AA35" s="66">
        <f>+ABS('AJUSTE AL SUBSIDIO '!P35)</f>
        <v>0</v>
      </c>
      <c r="AB35" s="66">
        <f>+'OTRAS RETENCIONES'!L35</f>
        <v>0</v>
      </c>
      <c r="AC35" s="27">
        <f>+'ISR '!T36</f>
        <v>0</v>
      </c>
      <c r="AD35" s="27"/>
      <c r="AE35" s="27"/>
      <c r="AF35" s="27">
        <f>+'AJUSTE AL SUBSIDIO '!Q35</f>
        <v>0</v>
      </c>
      <c r="AG35" s="27">
        <f>+'AJUSTE AL SUBSIDIO '!R35</f>
        <v>0</v>
      </c>
      <c r="AH35" s="27">
        <f t="shared" si="0"/>
        <v>0</v>
      </c>
    </row>
    <row r="36" spans="5:34" x14ac:dyDescent="0.25">
      <c r="E36" s="28">
        <v>30</v>
      </c>
      <c r="F36" s="251">
        <f>+'LISTA TRABAJADORES'!F36</f>
        <v>0</v>
      </c>
      <c r="G36" s="251">
        <f>+'LISTA TRABAJADORES'!G36</f>
        <v>0</v>
      </c>
      <c r="H36" s="27">
        <f>+'LISTA TRABAJADORES'!H36*'ISR '!I37</f>
        <v>0</v>
      </c>
      <c r="I36" s="27">
        <f>+'OTRAS PRESTACIONES'!Y37+'OTRAS PRESTACIONES'!Z37</f>
        <v>0</v>
      </c>
      <c r="J36" s="27">
        <f>+'OTRAS PRESTACIONES'!W37+'OTRAS PRESTACIONES'!X37</f>
        <v>0</v>
      </c>
      <c r="K36" s="27">
        <f>+'OTRAS PRESTACIONES'!L37</f>
        <v>0</v>
      </c>
      <c r="L36" s="27">
        <f>+'OTRAS PRESTACIONES'!O37+'OTRAS PRESTACIONES'!P37</f>
        <v>0</v>
      </c>
      <c r="M36" s="27">
        <f>+'OTRAS PRESTACIONES'!S37+'OTRAS PRESTACIONES'!T37</f>
        <v>0</v>
      </c>
      <c r="N36" s="27">
        <f>+'OTRAS PRESTACIONES'!Q37+'OTRAS PRESTACIONES'!R37</f>
        <v>0</v>
      </c>
      <c r="O36" s="27">
        <f>+'OTRAS PRESTACIONES'!V37</f>
        <v>0</v>
      </c>
      <c r="P36" s="27">
        <f>+'OTRAS PRESTACIONES'!AA37+'OTRAS PRESTACIONES'!AB37</f>
        <v>0</v>
      </c>
      <c r="Q36" s="27">
        <f>+'OTRAS PRESTACIONES'!N37</f>
        <v>0</v>
      </c>
      <c r="R36" s="27"/>
      <c r="S36" s="66"/>
      <c r="T36" s="66">
        <f>+'ISR '!S37</f>
        <v>0</v>
      </c>
      <c r="U36" s="66">
        <f>+'AJUSTE AL SUBSIDIO '!N36</f>
        <v>0</v>
      </c>
      <c r="V36" s="66">
        <f>+'OTRAS RETENCIONES'!H36</f>
        <v>0</v>
      </c>
      <c r="W36" s="66">
        <f>+'OTRAS RETENCIONES'!I36</f>
        <v>0</v>
      </c>
      <c r="X36" s="66">
        <f>+'CUOTAS IMSS'!X36</f>
        <v>0</v>
      </c>
      <c r="Y36" s="66">
        <f>+'OTRAS RETENCIONES'!L36</f>
        <v>0</v>
      </c>
      <c r="Z36" s="66">
        <f>+'AJUSTE AL SUBSIDIO '!O36</f>
        <v>0</v>
      </c>
      <c r="AA36" s="66">
        <f>+ABS('AJUSTE AL SUBSIDIO '!P36)</f>
        <v>0</v>
      </c>
      <c r="AB36" s="66">
        <f>+'OTRAS RETENCIONES'!L36</f>
        <v>0</v>
      </c>
      <c r="AC36" s="27">
        <f>+'ISR '!T37</f>
        <v>0</v>
      </c>
      <c r="AD36" s="27"/>
      <c r="AE36" s="27"/>
      <c r="AF36" s="27">
        <f>+'AJUSTE AL SUBSIDIO '!Q36</f>
        <v>0</v>
      </c>
      <c r="AG36" s="27">
        <f>+'AJUSTE AL SUBSIDIO '!R36</f>
        <v>0</v>
      </c>
      <c r="AH36" s="27">
        <f t="shared" si="0"/>
        <v>0</v>
      </c>
    </row>
    <row r="37" spans="5:34" x14ac:dyDescent="0.25">
      <c r="E37" s="28">
        <v>31</v>
      </c>
      <c r="F37" s="251">
        <f>+'LISTA TRABAJADORES'!F37</f>
        <v>0</v>
      </c>
      <c r="G37" s="251">
        <f>+'LISTA TRABAJADORES'!G37</f>
        <v>0</v>
      </c>
      <c r="H37" s="27">
        <f>+'LISTA TRABAJADORES'!H37*'ISR '!I38</f>
        <v>0</v>
      </c>
      <c r="I37" s="27">
        <f>+'OTRAS PRESTACIONES'!Y38+'OTRAS PRESTACIONES'!Z38</f>
        <v>0</v>
      </c>
      <c r="J37" s="27">
        <f>+'OTRAS PRESTACIONES'!W38+'OTRAS PRESTACIONES'!X38</f>
        <v>0</v>
      </c>
      <c r="K37" s="27">
        <f>+'OTRAS PRESTACIONES'!L38</f>
        <v>0</v>
      </c>
      <c r="L37" s="27">
        <f>+'OTRAS PRESTACIONES'!O38+'OTRAS PRESTACIONES'!P38</f>
        <v>0</v>
      </c>
      <c r="M37" s="27">
        <f>+'OTRAS PRESTACIONES'!S38+'OTRAS PRESTACIONES'!T38</f>
        <v>0</v>
      </c>
      <c r="N37" s="27">
        <f>+'OTRAS PRESTACIONES'!Q38+'OTRAS PRESTACIONES'!R38</f>
        <v>0</v>
      </c>
      <c r="O37" s="27">
        <f>+'OTRAS PRESTACIONES'!V38</f>
        <v>0</v>
      </c>
      <c r="P37" s="27">
        <f>+'OTRAS PRESTACIONES'!AA38+'OTRAS PRESTACIONES'!AB38</f>
        <v>0</v>
      </c>
      <c r="Q37" s="27">
        <f>+'OTRAS PRESTACIONES'!N38</f>
        <v>0</v>
      </c>
      <c r="R37" s="27"/>
      <c r="S37" s="66"/>
      <c r="T37" s="66">
        <f>+'ISR '!S38</f>
        <v>0</v>
      </c>
      <c r="U37" s="66">
        <f>+'AJUSTE AL SUBSIDIO '!N37</f>
        <v>0</v>
      </c>
      <c r="V37" s="66">
        <f>+'OTRAS RETENCIONES'!H37</f>
        <v>0</v>
      </c>
      <c r="W37" s="66">
        <f>+'OTRAS RETENCIONES'!I37</f>
        <v>0</v>
      </c>
      <c r="X37" s="66">
        <f>+'CUOTAS IMSS'!X37</f>
        <v>0</v>
      </c>
      <c r="Y37" s="66">
        <f>+'OTRAS RETENCIONES'!L37</f>
        <v>0</v>
      </c>
      <c r="Z37" s="66">
        <f>+'AJUSTE AL SUBSIDIO '!O37</f>
        <v>0</v>
      </c>
      <c r="AA37" s="66">
        <f>+ABS('AJUSTE AL SUBSIDIO '!P37)</f>
        <v>0</v>
      </c>
      <c r="AB37" s="66">
        <f>+'OTRAS RETENCIONES'!L37</f>
        <v>0</v>
      </c>
      <c r="AC37" s="27">
        <f>+'ISR '!T38</f>
        <v>0</v>
      </c>
      <c r="AD37" s="27"/>
      <c r="AE37" s="27"/>
      <c r="AF37" s="27">
        <f>+'AJUSTE AL SUBSIDIO '!Q37</f>
        <v>0</v>
      </c>
      <c r="AG37" s="27">
        <f>+'AJUSTE AL SUBSIDIO '!R37</f>
        <v>0</v>
      </c>
      <c r="AH37" s="27">
        <f t="shared" si="0"/>
        <v>0</v>
      </c>
    </row>
    <row r="38" spans="5:34" x14ac:dyDescent="0.25">
      <c r="E38" s="28">
        <v>32</v>
      </c>
      <c r="F38" s="251">
        <f>+'LISTA TRABAJADORES'!F38</f>
        <v>0</v>
      </c>
      <c r="G38" s="251">
        <f>+'LISTA TRABAJADORES'!G38</f>
        <v>0</v>
      </c>
      <c r="H38" s="27">
        <f>+'LISTA TRABAJADORES'!H38*'ISR '!I39</f>
        <v>0</v>
      </c>
      <c r="I38" s="27">
        <f>+'OTRAS PRESTACIONES'!Y39+'OTRAS PRESTACIONES'!Z39</f>
        <v>0</v>
      </c>
      <c r="J38" s="27">
        <f>+'OTRAS PRESTACIONES'!W39+'OTRAS PRESTACIONES'!X39</f>
        <v>0</v>
      </c>
      <c r="K38" s="27">
        <f>+'OTRAS PRESTACIONES'!L39</f>
        <v>0</v>
      </c>
      <c r="L38" s="27">
        <f>+'OTRAS PRESTACIONES'!O39+'OTRAS PRESTACIONES'!P39</f>
        <v>0</v>
      </c>
      <c r="M38" s="27">
        <f>+'OTRAS PRESTACIONES'!S39+'OTRAS PRESTACIONES'!T39</f>
        <v>0</v>
      </c>
      <c r="N38" s="27">
        <f>+'OTRAS PRESTACIONES'!Q39+'OTRAS PRESTACIONES'!R39</f>
        <v>0</v>
      </c>
      <c r="O38" s="27">
        <f>+'OTRAS PRESTACIONES'!V39</f>
        <v>0</v>
      </c>
      <c r="P38" s="27">
        <f>+'OTRAS PRESTACIONES'!AA39+'OTRAS PRESTACIONES'!AB39</f>
        <v>0</v>
      </c>
      <c r="Q38" s="27">
        <f>+'OTRAS PRESTACIONES'!N39</f>
        <v>0</v>
      </c>
      <c r="R38" s="27"/>
      <c r="S38" s="66"/>
      <c r="T38" s="66">
        <f>+'ISR '!S39</f>
        <v>0</v>
      </c>
      <c r="U38" s="66">
        <f>+'AJUSTE AL SUBSIDIO '!N38</f>
        <v>0</v>
      </c>
      <c r="V38" s="66">
        <f>+'OTRAS RETENCIONES'!H38</f>
        <v>0</v>
      </c>
      <c r="W38" s="66">
        <f>+'OTRAS RETENCIONES'!I38</f>
        <v>0</v>
      </c>
      <c r="X38" s="66">
        <f>+'CUOTAS IMSS'!X38</f>
        <v>0</v>
      </c>
      <c r="Y38" s="66">
        <f>+'OTRAS RETENCIONES'!L38</f>
        <v>0</v>
      </c>
      <c r="Z38" s="66">
        <f>+'AJUSTE AL SUBSIDIO '!O38</f>
        <v>0</v>
      </c>
      <c r="AA38" s="66">
        <f>+ABS('AJUSTE AL SUBSIDIO '!P38)</f>
        <v>0</v>
      </c>
      <c r="AB38" s="66">
        <f>+'OTRAS RETENCIONES'!L38</f>
        <v>0</v>
      </c>
      <c r="AC38" s="27">
        <f>+'ISR '!T39</f>
        <v>0</v>
      </c>
      <c r="AD38" s="27"/>
      <c r="AE38" s="27"/>
      <c r="AF38" s="27">
        <f>+'AJUSTE AL SUBSIDIO '!Q38</f>
        <v>0</v>
      </c>
      <c r="AG38" s="27">
        <f>+'AJUSTE AL SUBSIDIO '!R38</f>
        <v>0</v>
      </c>
      <c r="AH38" s="27">
        <f t="shared" si="0"/>
        <v>0</v>
      </c>
    </row>
    <row r="39" spans="5:34" x14ac:dyDescent="0.25">
      <c r="E39" s="28">
        <v>33</v>
      </c>
      <c r="F39" s="251">
        <f>+'LISTA TRABAJADORES'!F39</f>
        <v>0</v>
      </c>
      <c r="G39" s="251">
        <f>+'LISTA TRABAJADORES'!G39</f>
        <v>0</v>
      </c>
      <c r="H39" s="27">
        <f>+'LISTA TRABAJADORES'!H39*'ISR '!I40</f>
        <v>0</v>
      </c>
      <c r="I39" s="27">
        <f>+'OTRAS PRESTACIONES'!Y40+'OTRAS PRESTACIONES'!Z40</f>
        <v>0</v>
      </c>
      <c r="J39" s="27">
        <f>+'OTRAS PRESTACIONES'!W40+'OTRAS PRESTACIONES'!X40</f>
        <v>0</v>
      </c>
      <c r="K39" s="27">
        <f>+'OTRAS PRESTACIONES'!L40</f>
        <v>0</v>
      </c>
      <c r="L39" s="27">
        <f>+'OTRAS PRESTACIONES'!O40+'OTRAS PRESTACIONES'!P40</f>
        <v>0</v>
      </c>
      <c r="M39" s="27">
        <f>+'OTRAS PRESTACIONES'!S40+'OTRAS PRESTACIONES'!T40</f>
        <v>0</v>
      </c>
      <c r="N39" s="27">
        <f>+'OTRAS PRESTACIONES'!Q40+'OTRAS PRESTACIONES'!R40</f>
        <v>0</v>
      </c>
      <c r="O39" s="27">
        <f>+'OTRAS PRESTACIONES'!V40</f>
        <v>0</v>
      </c>
      <c r="P39" s="27">
        <f>+'OTRAS PRESTACIONES'!AA40+'OTRAS PRESTACIONES'!AB40</f>
        <v>0</v>
      </c>
      <c r="Q39" s="27">
        <f>+'OTRAS PRESTACIONES'!N40</f>
        <v>0</v>
      </c>
      <c r="R39" s="27"/>
      <c r="S39" s="66"/>
      <c r="T39" s="66">
        <f>+'ISR '!S40</f>
        <v>0</v>
      </c>
      <c r="U39" s="66">
        <f>+'AJUSTE AL SUBSIDIO '!N39</f>
        <v>0</v>
      </c>
      <c r="V39" s="66">
        <f>+'OTRAS RETENCIONES'!H39</f>
        <v>0</v>
      </c>
      <c r="W39" s="66">
        <f>+'OTRAS RETENCIONES'!I39</f>
        <v>0</v>
      </c>
      <c r="X39" s="66">
        <f>+'CUOTAS IMSS'!X39</f>
        <v>0</v>
      </c>
      <c r="Y39" s="66">
        <f>+'OTRAS RETENCIONES'!L39</f>
        <v>0</v>
      </c>
      <c r="Z39" s="66">
        <f>+'AJUSTE AL SUBSIDIO '!O39</f>
        <v>0</v>
      </c>
      <c r="AA39" s="66">
        <f>+ABS('AJUSTE AL SUBSIDIO '!P39)</f>
        <v>0</v>
      </c>
      <c r="AB39" s="66">
        <f>+'OTRAS RETENCIONES'!L39</f>
        <v>0</v>
      </c>
      <c r="AC39" s="27">
        <f>+'ISR '!T40</f>
        <v>0</v>
      </c>
      <c r="AD39" s="27"/>
      <c r="AE39" s="27"/>
      <c r="AF39" s="27">
        <f>+'AJUSTE AL SUBSIDIO '!Q39</f>
        <v>0</v>
      </c>
      <c r="AG39" s="27">
        <f>+'AJUSTE AL SUBSIDIO '!R39</f>
        <v>0</v>
      </c>
      <c r="AH39" s="27">
        <f t="shared" si="0"/>
        <v>0</v>
      </c>
    </row>
    <row r="40" spans="5:34" x14ac:dyDescent="0.25">
      <c r="E40" s="28">
        <v>34</v>
      </c>
      <c r="F40" s="251">
        <f>+'LISTA TRABAJADORES'!F40</f>
        <v>0</v>
      </c>
      <c r="G40" s="251">
        <f>+'LISTA TRABAJADORES'!G40</f>
        <v>0</v>
      </c>
      <c r="H40" s="27">
        <f>+'LISTA TRABAJADORES'!H40*'ISR '!I41</f>
        <v>0</v>
      </c>
      <c r="I40" s="27">
        <f>+'OTRAS PRESTACIONES'!Y41+'OTRAS PRESTACIONES'!Z41</f>
        <v>0</v>
      </c>
      <c r="J40" s="27">
        <f>+'OTRAS PRESTACIONES'!W41+'OTRAS PRESTACIONES'!X41</f>
        <v>0</v>
      </c>
      <c r="K40" s="27">
        <f>+'OTRAS PRESTACIONES'!L41</f>
        <v>0</v>
      </c>
      <c r="L40" s="27">
        <f>+'OTRAS PRESTACIONES'!O41+'OTRAS PRESTACIONES'!P41</f>
        <v>0</v>
      </c>
      <c r="M40" s="27">
        <f>+'OTRAS PRESTACIONES'!S41+'OTRAS PRESTACIONES'!T41</f>
        <v>0</v>
      </c>
      <c r="N40" s="27">
        <f>+'OTRAS PRESTACIONES'!Q41+'OTRAS PRESTACIONES'!R41</f>
        <v>0</v>
      </c>
      <c r="O40" s="27">
        <f>+'OTRAS PRESTACIONES'!V41</f>
        <v>0</v>
      </c>
      <c r="P40" s="27">
        <f>+'OTRAS PRESTACIONES'!AA41+'OTRAS PRESTACIONES'!AB41</f>
        <v>0</v>
      </c>
      <c r="Q40" s="27">
        <f>+'OTRAS PRESTACIONES'!N41</f>
        <v>0</v>
      </c>
      <c r="R40" s="27"/>
      <c r="S40" s="66"/>
      <c r="T40" s="66">
        <f>+'ISR '!S41</f>
        <v>0</v>
      </c>
      <c r="U40" s="66">
        <f>+'AJUSTE AL SUBSIDIO '!N40</f>
        <v>0</v>
      </c>
      <c r="V40" s="66">
        <f>+'OTRAS RETENCIONES'!H40</f>
        <v>0</v>
      </c>
      <c r="W40" s="66">
        <f>+'OTRAS RETENCIONES'!I40</f>
        <v>0</v>
      </c>
      <c r="X40" s="66">
        <f>+'CUOTAS IMSS'!X40</f>
        <v>0</v>
      </c>
      <c r="Y40" s="66">
        <f>+'OTRAS RETENCIONES'!L40</f>
        <v>0</v>
      </c>
      <c r="Z40" s="66">
        <f>+'AJUSTE AL SUBSIDIO '!O40</f>
        <v>0</v>
      </c>
      <c r="AA40" s="66">
        <f>+ABS('AJUSTE AL SUBSIDIO '!P40)</f>
        <v>0</v>
      </c>
      <c r="AB40" s="66">
        <f>+'OTRAS RETENCIONES'!L40</f>
        <v>0</v>
      </c>
      <c r="AC40" s="27">
        <f>+'ISR '!T41</f>
        <v>0</v>
      </c>
      <c r="AD40" s="27"/>
      <c r="AE40" s="27"/>
      <c r="AF40" s="27">
        <f>+'AJUSTE AL SUBSIDIO '!Q40</f>
        <v>0</v>
      </c>
      <c r="AG40" s="27">
        <f>+'AJUSTE AL SUBSIDIO '!R40</f>
        <v>0</v>
      </c>
      <c r="AH40" s="27">
        <f t="shared" si="0"/>
        <v>0</v>
      </c>
    </row>
    <row r="41" spans="5:34" x14ac:dyDescent="0.25">
      <c r="E41" s="28">
        <v>35</v>
      </c>
      <c r="F41" s="251">
        <f>+'LISTA TRABAJADORES'!F41</f>
        <v>0</v>
      </c>
      <c r="G41" s="251">
        <f>+'LISTA TRABAJADORES'!G41</f>
        <v>0</v>
      </c>
      <c r="H41" s="27">
        <f>+'LISTA TRABAJADORES'!H41*'ISR '!I42</f>
        <v>0</v>
      </c>
      <c r="I41" s="27">
        <f>+'OTRAS PRESTACIONES'!Y42+'OTRAS PRESTACIONES'!Z42</f>
        <v>0</v>
      </c>
      <c r="J41" s="27">
        <f>+'OTRAS PRESTACIONES'!W42+'OTRAS PRESTACIONES'!X42</f>
        <v>0</v>
      </c>
      <c r="K41" s="27">
        <f>+'OTRAS PRESTACIONES'!L42</f>
        <v>0</v>
      </c>
      <c r="L41" s="27">
        <f>+'OTRAS PRESTACIONES'!O42+'OTRAS PRESTACIONES'!P42</f>
        <v>0</v>
      </c>
      <c r="M41" s="27">
        <f>+'OTRAS PRESTACIONES'!S42+'OTRAS PRESTACIONES'!T42</f>
        <v>0</v>
      </c>
      <c r="N41" s="27">
        <f>+'OTRAS PRESTACIONES'!Q42+'OTRAS PRESTACIONES'!R42</f>
        <v>0</v>
      </c>
      <c r="O41" s="27">
        <f>+'OTRAS PRESTACIONES'!V42</f>
        <v>0</v>
      </c>
      <c r="P41" s="27">
        <f>+'OTRAS PRESTACIONES'!AA42+'OTRAS PRESTACIONES'!AB42</f>
        <v>0</v>
      </c>
      <c r="Q41" s="27">
        <f>+'OTRAS PRESTACIONES'!N42</f>
        <v>0</v>
      </c>
      <c r="R41" s="27"/>
      <c r="S41" s="66"/>
      <c r="T41" s="66">
        <f>+'ISR '!S42</f>
        <v>0</v>
      </c>
      <c r="U41" s="66">
        <f>+'AJUSTE AL SUBSIDIO '!N41</f>
        <v>0</v>
      </c>
      <c r="V41" s="66">
        <f>+'OTRAS RETENCIONES'!H41</f>
        <v>0</v>
      </c>
      <c r="W41" s="66">
        <f>+'OTRAS RETENCIONES'!I41</f>
        <v>0</v>
      </c>
      <c r="X41" s="66">
        <f>+'CUOTAS IMSS'!X41</f>
        <v>0</v>
      </c>
      <c r="Y41" s="66">
        <f>+'OTRAS RETENCIONES'!L41</f>
        <v>0</v>
      </c>
      <c r="Z41" s="66">
        <f>+'AJUSTE AL SUBSIDIO '!O41</f>
        <v>0</v>
      </c>
      <c r="AA41" s="66">
        <f>+ABS('AJUSTE AL SUBSIDIO '!P41)</f>
        <v>0</v>
      </c>
      <c r="AB41" s="66">
        <f>+'OTRAS RETENCIONES'!L41</f>
        <v>0</v>
      </c>
      <c r="AC41" s="27">
        <f>+'ISR '!T42</f>
        <v>0</v>
      </c>
      <c r="AD41" s="27"/>
      <c r="AE41" s="27"/>
      <c r="AF41" s="27">
        <f>+'AJUSTE AL SUBSIDIO '!Q41</f>
        <v>0</v>
      </c>
      <c r="AG41" s="27">
        <f>+'AJUSTE AL SUBSIDIO '!R41</f>
        <v>0</v>
      </c>
      <c r="AH41" s="27">
        <f t="shared" si="0"/>
        <v>0</v>
      </c>
    </row>
    <row r="42" spans="5:34" x14ac:dyDescent="0.25">
      <c r="E42" s="28">
        <v>36</v>
      </c>
      <c r="F42" s="251">
        <f>+'LISTA TRABAJADORES'!F42</f>
        <v>0</v>
      </c>
      <c r="G42" s="251">
        <f>+'LISTA TRABAJADORES'!G42</f>
        <v>0</v>
      </c>
      <c r="H42" s="27">
        <f>+'LISTA TRABAJADORES'!H42*'ISR '!I43</f>
        <v>0</v>
      </c>
      <c r="I42" s="27">
        <f>+'OTRAS PRESTACIONES'!Y43+'OTRAS PRESTACIONES'!Z43</f>
        <v>0</v>
      </c>
      <c r="J42" s="27">
        <f>+'OTRAS PRESTACIONES'!W43+'OTRAS PRESTACIONES'!X43</f>
        <v>0</v>
      </c>
      <c r="K42" s="27">
        <f>+'OTRAS PRESTACIONES'!L43</f>
        <v>0</v>
      </c>
      <c r="L42" s="27">
        <f>+'OTRAS PRESTACIONES'!O43+'OTRAS PRESTACIONES'!P43</f>
        <v>0</v>
      </c>
      <c r="M42" s="27">
        <f>+'OTRAS PRESTACIONES'!S43+'OTRAS PRESTACIONES'!T43</f>
        <v>0</v>
      </c>
      <c r="N42" s="27">
        <f>+'OTRAS PRESTACIONES'!Q43+'OTRAS PRESTACIONES'!R43</f>
        <v>0</v>
      </c>
      <c r="O42" s="27">
        <f>+'OTRAS PRESTACIONES'!V43</f>
        <v>0</v>
      </c>
      <c r="P42" s="27">
        <f>+'OTRAS PRESTACIONES'!AA43+'OTRAS PRESTACIONES'!AB43</f>
        <v>0</v>
      </c>
      <c r="Q42" s="27">
        <f>+'OTRAS PRESTACIONES'!N43</f>
        <v>0</v>
      </c>
      <c r="R42" s="27"/>
      <c r="S42" s="66"/>
      <c r="T42" s="66">
        <f>+'ISR '!S43</f>
        <v>0</v>
      </c>
      <c r="U42" s="66">
        <f>+'AJUSTE AL SUBSIDIO '!N42</f>
        <v>0</v>
      </c>
      <c r="V42" s="66">
        <f>+'OTRAS RETENCIONES'!H42</f>
        <v>0</v>
      </c>
      <c r="W42" s="66">
        <f>+'OTRAS RETENCIONES'!I42</f>
        <v>0</v>
      </c>
      <c r="X42" s="66">
        <f>+'CUOTAS IMSS'!X42</f>
        <v>0</v>
      </c>
      <c r="Y42" s="66">
        <f>+'OTRAS RETENCIONES'!L42</f>
        <v>0</v>
      </c>
      <c r="Z42" s="66">
        <f>+'AJUSTE AL SUBSIDIO '!O42</f>
        <v>0</v>
      </c>
      <c r="AA42" s="66">
        <f>+ABS('AJUSTE AL SUBSIDIO '!P42)</f>
        <v>0</v>
      </c>
      <c r="AB42" s="66">
        <f>+'OTRAS RETENCIONES'!L42</f>
        <v>0</v>
      </c>
      <c r="AC42" s="27">
        <f>+'ISR '!T43</f>
        <v>0</v>
      </c>
      <c r="AD42" s="27"/>
      <c r="AE42" s="27"/>
      <c r="AF42" s="27">
        <f>+'AJUSTE AL SUBSIDIO '!Q42</f>
        <v>0</v>
      </c>
      <c r="AG42" s="27">
        <f>+'AJUSTE AL SUBSIDIO '!R42</f>
        <v>0</v>
      </c>
      <c r="AH42" s="27">
        <f t="shared" si="0"/>
        <v>0</v>
      </c>
    </row>
    <row r="43" spans="5:34" x14ac:dyDescent="0.25">
      <c r="E43" s="28">
        <v>37</v>
      </c>
      <c r="F43" s="251">
        <f>+'LISTA TRABAJADORES'!F43</f>
        <v>0</v>
      </c>
      <c r="G43" s="251">
        <f>+'LISTA TRABAJADORES'!G43</f>
        <v>0</v>
      </c>
      <c r="H43" s="27">
        <f>+'LISTA TRABAJADORES'!H43*'ISR '!I44</f>
        <v>0</v>
      </c>
      <c r="I43" s="27">
        <f>+'OTRAS PRESTACIONES'!Y44+'OTRAS PRESTACIONES'!Z44</f>
        <v>0</v>
      </c>
      <c r="J43" s="27">
        <f>+'OTRAS PRESTACIONES'!W44+'OTRAS PRESTACIONES'!X44</f>
        <v>0</v>
      </c>
      <c r="K43" s="27">
        <f>+'OTRAS PRESTACIONES'!L44</f>
        <v>0</v>
      </c>
      <c r="L43" s="27">
        <f>+'OTRAS PRESTACIONES'!O44+'OTRAS PRESTACIONES'!P44</f>
        <v>0</v>
      </c>
      <c r="M43" s="27">
        <f>+'OTRAS PRESTACIONES'!S44+'OTRAS PRESTACIONES'!T44</f>
        <v>0</v>
      </c>
      <c r="N43" s="27">
        <f>+'OTRAS PRESTACIONES'!Q44+'OTRAS PRESTACIONES'!R44</f>
        <v>0</v>
      </c>
      <c r="O43" s="27">
        <f>+'OTRAS PRESTACIONES'!V44</f>
        <v>0</v>
      </c>
      <c r="P43" s="27">
        <f>+'OTRAS PRESTACIONES'!AA44+'OTRAS PRESTACIONES'!AB44</f>
        <v>0</v>
      </c>
      <c r="Q43" s="27">
        <f>+'OTRAS PRESTACIONES'!N44</f>
        <v>0</v>
      </c>
      <c r="R43" s="27"/>
      <c r="S43" s="66"/>
      <c r="T43" s="66">
        <f>+'ISR '!S44</f>
        <v>0</v>
      </c>
      <c r="U43" s="66">
        <f>+'AJUSTE AL SUBSIDIO '!N43</f>
        <v>0</v>
      </c>
      <c r="V43" s="66">
        <f>+'OTRAS RETENCIONES'!H43</f>
        <v>0</v>
      </c>
      <c r="W43" s="66">
        <f>+'OTRAS RETENCIONES'!I43</f>
        <v>0</v>
      </c>
      <c r="X43" s="66">
        <f>+'CUOTAS IMSS'!X43</f>
        <v>0</v>
      </c>
      <c r="Y43" s="66">
        <f>+'OTRAS RETENCIONES'!L43</f>
        <v>0</v>
      </c>
      <c r="Z43" s="66">
        <f>+'AJUSTE AL SUBSIDIO '!O43</f>
        <v>0</v>
      </c>
      <c r="AA43" s="66">
        <f>+ABS('AJUSTE AL SUBSIDIO '!P43)</f>
        <v>0</v>
      </c>
      <c r="AB43" s="66">
        <f>+'OTRAS RETENCIONES'!L43</f>
        <v>0</v>
      </c>
      <c r="AC43" s="27">
        <f>+'ISR '!T44</f>
        <v>0</v>
      </c>
      <c r="AD43" s="27"/>
      <c r="AE43" s="27"/>
      <c r="AF43" s="27">
        <f>+'AJUSTE AL SUBSIDIO '!Q43</f>
        <v>0</v>
      </c>
      <c r="AG43" s="27">
        <f>+'AJUSTE AL SUBSIDIO '!R43</f>
        <v>0</v>
      </c>
      <c r="AH43" s="27">
        <f t="shared" si="0"/>
        <v>0</v>
      </c>
    </row>
    <row r="44" spans="5:34" x14ac:dyDescent="0.25">
      <c r="E44" s="28">
        <v>38</v>
      </c>
      <c r="F44" s="251">
        <f>+'LISTA TRABAJADORES'!F44</f>
        <v>0</v>
      </c>
      <c r="G44" s="251">
        <f>+'LISTA TRABAJADORES'!G44</f>
        <v>0</v>
      </c>
      <c r="H44" s="27">
        <f>+'LISTA TRABAJADORES'!H44*'ISR '!I45</f>
        <v>0</v>
      </c>
      <c r="I44" s="27">
        <f>+'OTRAS PRESTACIONES'!Y45+'OTRAS PRESTACIONES'!Z45</f>
        <v>0</v>
      </c>
      <c r="J44" s="27">
        <f>+'OTRAS PRESTACIONES'!W45+'OTRAS PRESTACIONES'!X45</f>
        <v>0</v>
      </c>
      <c r="K44" s="27">
        <f>+'OTRAS PRESTACIONES'!L45</f>
        <v>0</v>
      </c>
      <c r="L44" s="27">
        <f>+'OTRAS PRESTACIONES'!O45+'OTRAS PRESTACIONES'!P45</f>
        <v>0</v>
      </c>
      <c r="M44" s="27">
        <f>+'OTRAS PRESTACIONES'!S45+'OTRAS PRESTACIONES'!T45</f>
        <v>0</v>
      </c>
      <c r="N44" s="27">
        <f>+'OTRAS PRESTACIONES'!Q45+'OTRAS PRESTACIONES'!R45</f>
        <v>0</v>
      </c>
      <c r="O44" s="27">
        <f>+'OTRAS PRESTACIONES'!V45</f>
        <v>0</v>
      </c>
      <c r="P44" s="27">
        <f>+'OTRAS PRESTACIONES'!AA45+'OTRAS PRESTACIONES'!AB45</f>
        <v>0</v>
      </c>
      <c r="Q44" s="27">
        <f>+'OTRAS PRESTACIONES'!N45</f>
        <v>0</v>
      </c>
      <c r="R44" s="27"/>
      <c r="S44" s="66"/>
      <c r="T44" s="66">
        <f>+'ISR '!S45</f>
        <v>0</v>
      </c>
      <c r="U44" s="66">
        <f>+'AJUSTE AL SUBSIDIO '!N44</f>
        <v>0</v>
      </c>
      <c r="V44" s="66">
        <f>+'OTRAS RETENCIONES'!H44</f>
        <v>0</v>
      </c>
      <c r="W44" s="66">
        <f>+'OTRAS RETENCIONES'!I44</f>
        <v>0</v>
      </c>
      <c r="X44" s="66">
        <f>+'CUOTAS IMSS'!X44</f>
        <v>0</v>
      </c>
      <c r="Y44" s="66">
        <f>+'OTRAS RETENCIONES'!L44</f>
        <v>0</v>
      </c>
      <c r="Z44" s="66">
        <f>+'AJUSTE AL SUBSIDIO '!O44</f>
        <v>0</v>
      </c>
      <c r="AA44" s="66">
        <f>+ABS('AJUSTE AL SUBSIDIO '!P44)</f>
        <v>0</v>
      </c>
      <c r="AB44" s="66">
        <f>+'OTRAS RETENCIONES'!L44</f>
        <v>0</v>
      </c>
      <c r="AC44" s="27">
        <f>+'ISR '!T45</f>
        <v>0</v>
      </c>
      <c r="AD44" s="27"/>
      <c r="AE44" s="27"/>
      <c r="AF44" s="27">
        <f>+'AJUSTE AL SUBSIDIO '!Q44</f>
        <v>0</v>
      </c>
      <c r="AG44" s="27">
        <f>+'AJUSTE AL SUBSIDIO '!R44</f>
        <v>0</v>
      </c>
      <c r="AH44" s="27">
        <f t="shared" si="0"/>
        <v>0</v>
      </c>
    </row>
    <row r="45" spans="5:34" x14ac:dyDescent="0.25">
      <c r="E45" s="28">
        <v>39</v>
      </c>
      <c r="F45" s="251">
        <f>+'LISTA TRABAJADORES'!F45</f>
        <v>0</v>
      </c>
      <c r="G45" s="251">
        <f>+'LISTA TRABAJADORES'!G45</f>
        <v>0</v>
      </c>
      <c r="H45" s="27">
        <f>+'LISTA TRABAJADORES'!H45*'ISR '!I46</f>
        <v>0</v>
      </c>
      <c r="I45" s="27">
        <f>+'OTRAS PRESTACIONES'!Y46+'OTRAS PRESTACIONES'!Z46</f>
        <v>0</v>
      </c>
      <c r="J45" s="27">
        <f>+'OTRAS PRESTACIONES'!W46+'OTRAS PRESTACIONES'!X46</f>
        <v>0</v>
      </c>
      <c r="K45" s="27">
        <f>+'OTRAS PRESTACIONES'!L46</f>
        <v>0</v>
      </c>
      <c r="L45" s="27">
        <f>+'OTRAS PRESTACIONES'!O46+'OTRAS PRESTACIONES'!P46</f>
        <v>0</v>
      </c>
      <c r="M45" s="27">
        <f>+'OTRAS PRESTACIONES'!S46+'OTRAS PRESTACIONES'!T46</f>
        <v>0</v>
      </c>
      <c r="N45" s="27">
        <f>+'OTRAS PRESTACIONES'!Q46+'OTRAS PRESTACIONES'!R46</f>
        <v>0</v>
      </c>
      <c r="O45" s="27">
        <f>+'OTRAS PRESTACIONES'!V46</f>
        <v>0</v>
      </c>
      <c r="P45" s="27">
        <f>+'OTRAS PRESTACIONES'!AA46+'OTRAS PRESTACIONES'!AB46</f>
        <v>0</v>
      </c>
      <c r="Q45" s="27">
        <f>+'OTRAS PRESTACIONES'!N46</f>
        <v>0</v>
      </c>
      <c r="R45" s="27"/>
      <c r="S45" s="66"/>
      <c r="T45" s="66">
        <f>+'ISR '!S46</f>
        <v>0</v>
      </c>
      <c r="U45" s="66">
        <f>+'AJUSTE AL SUBSIDIO '!N45</f>
        <v>0</v>
      </c>
      <c r="V45" s="66">
        <f>+'OTRAS RETENCIONES'!H45</f>
        <v>0</v>
      </c>
      <c r="W45" s="66">
        <f>+'OTRAS RETENCIONES'!I45</f>
        <v>0</v>
      </c>
      <c r="X45" s="66">
        <f>+'CUOTAS IMSS'!X45</f>
        <v>0</v>
      </c>
      <c r="Y45" s="66">
        <f>+'OTRAS RETENCIONES'!L45</f>
        <v>0</v>
      </c>
      <c r="Z45" s="66">
        <f>+'AJUSTE AL SUBSIDIO '!O45</f>
        <v>0</v>
      </c>
      <c r="AA45" s="66">
        <f>+ABS('AJUSTE AL SUBSIDIO '!P45)</f>
        <v>0</v>
      </c>
      <c r="AB45" s="66">
        <f>+'OTRAS RETENCIONES'!L45</f>
        <v>0</v>
      </c>
      <c r="AC45" s="27">
        <f>+'ISR '!T46</f>
        <v>0</v>
      </c>
      <c r="AD45" s="27"/>
      <c r="AE45" s="27"/>
      <c r="AF45" s="27">
        <f>+'AJUSTE AL SUBSIDIO '!Q45</f>
        <v>0</v>
      </c>
      <c r="AG45" s="27">
        <f>+'AJUSTE AL SUBSIDIO '!R45</f>
        <v>0</v>
      </c>
      <c r="AH45" s="27">
        <f t="shared" si="0"/>
        <v>0</v>
      </c>
    </row>
    <row r="46" spans="5:34" x14ac:dyDescent="0.25">
      <c r="E46" s="28">
        <v>40</v>
      </c>
      <c r="F46" s="251">
        <f>+'LISTA TRABAJADORES'!F46</f>
        <v>0</v>
      </c>
      <c r="G46" s="251">
        <f>+'LISTA TRABAJADORES'!G46</f>
        <v>0</v>
      </c>
      <c r="H46" s="27">
        <f>+'LISTA TRABAJADORES'!H46*'ISR '!I47</f>
        <v>0</v>
      </c>
      <c r="I46" s="27">
        <f>+'OTRAS PRESTACIONES'!Y47+'OTRAS PRESTACIONES'!Z47</f>
        <v>0</v>
      </c>
      <c r="J46" s="27">
        <f>+'OTRAS PRESTACIONES'!W47+'OTRAS PRESTACIONES'!X47</f>
        <v>0</v>
      </c>
      <c r="K46" s="27">
        <f>+'OTRAS PRESTACIONES'!L47</f>
        <v>0</v>
      </c>
      <c r="L46" s="27">
        <f>+'OTRAS PRESTACIONES'!O47+'OTRAS PRESTACIONES'!P47</f>
        <v>0</v>
      </c>
      <c r="M46" s="27">
        <f>+'OTRAS PRESTACIONES'!S47+'OTRAS PRESTACIONES'!T47</f>
        <v>0</v>
      </c>
      <c r="N46" s="27">
        <f>+'OTRAS PRESTACIONES'!Q47+'OTRAS PRESTACIONES'!R47</f>
        <v>0</v>
      </c>
      <c r="O46" s="27">
        <f>+'OTRAS PRESTACIONES'!V47</f>
        <v>0</v>
      </c>
      <c r="P46" s="27">
        <f>+'OTRAS PRESTACIONES'!AA47+'OTRAS PRESTACIONES'!AB47</f>
        <v>0</v>
      </c>
      <c r="Q46" s="27">
        <f>+'OTRAS PRESTACIONES'!N47</f>
        <v>0</v>
      </c>
      <c r="R46" s="27"/>
      <c r="S46" s="66"/>
      <c r="T46" s="66">
        <f>+'ISR '!S47</f>
        <v>0</v>
      </c>
      <c r="U46" s="66">
        <f>+'AJUSTE AL SUBSIDIO '!N46</f>
        <v>0</v>
      </c>
      <c r="V46" s="66">
        <f>+'OTRAS RETENCIONES'!H46</f>
        <v>0</v>
      </c>
      <c r="W46" s="66">
        <f>+'OTRAS RETENCIONES'!I46</f>
        <v>0</v>
      </c>
      <c r="X46" s="66">
        <f>+'CUOTAS IMSS'!X46</f>
        <v>0</v>
      </c>
      <c r="Y46" s="66">
        <f>+'OTRAS RETENCIONES'!L46</f>
        <v>0</v>
      </c>
      <c r="Z46" s="66">
        <f>+'AJUSTE AL SUBSIDIO '!O46</f>
        <v>0</v>
      </c>
      <c r="AA46" s="66">
        <f>+ABS('AJUSTE AL SUBSIDIO '!P46)</f>
        <v>0</v>
      </c>
      <c r="AB46" s="66">
        <f>+'OTRAS RETENCIONES'!L46</f>
        <v>0</v>
      </c>
      <c r="AC46" s="27">
        <f>+'ISR '!T47</f>
        <v>0</v>
      </c>
      <c r="AD46" s="27"/>
      <c r="AE46" s="27"/>
      <c r="AF46" s="27">
        <f>+'AJUSTE AL SUBSIDIO '!Q46</f>
        <v>0</v>
      </c>
      <c r="AG46" s="27">
        <f>+'AJUSTE AL SUBSIDIO '!R46</f>
        <v>0</v>
      </c>
      <c r="AH46" s="27">
        <f t="shared" si="0"/>
        <v>0</v>
      </c>
    </row>
    <row r="47" spans="5:34" x14ac:dyDescent="0.25">
      <c r="E47" s="28">
        <v>41</v>
      </c>
      <c r="F47" s="251">
        <f>+'LISTA TRABAJADORES'!F47</f>
        <v>0</v>
      </c>
      <c r="G47" s="251">
        <f>+'LISTA TRABAJADORES'!G47</f>
        <v>0</v>
      </c>
      <c r="H47" s="27">
        <f>+'LISTA TRABAJADORES'!H47*'ISR '!I48</f>
        <v>0</v>
      </c>
      <c r="I47" s="27">
        <f>+'OTRAS PRESTACIONES'!Y48+'OTRAS PRESTACIONES'!Z48</f>
        <v>0</v>
      </c>
      <c r="J47" s="27">
        <f>+'OTRAS PRESTACIONES'!W48+'OTRAS PRESTACIONES'!X48</f>
        <v>0</v>
      </c>
      <c r="K47" s="27">
        <f>+'OTRAS PRESTACIONES'!L48</f>
        <v>0</v>
      </c>
      <c r="L47" s="27">
        <f>+'OTRAS PRESTACIONES'!O48+'OTRAS PRESTACIONES'!P48</f>
        <v>0</v>
      </c>
      <c r="M47" s="27">
        <f>+'OTRAS PRESTACIONES'!S48+'OTRAS PRESTACIONES'!T48</f>
        <v>0</v>
      </c>
      <c r="N47" s="27">
        <f>+'OTRAS PRESTACIONES'!Q48+'OTRAS PRESTACIONES'!R48</f>
        <v>0</v>
      </c>
      <c r="O47" s="27">
        <f>+'OTRAS PRESTACIONES'!V48</f>
        <v>0</v>
      </c>
      <c r="P47" s="27">
        <f>+'OTRAS PRESTACIONES'!AA48+'OTRAS PRESTACIONES'!AB48</f>
        <v>0</v>
      </c>
      <c r="Q47" s="27">
        <f>+'OTRAS PRESTACIONES'!N48</f>
        <v>0</v>
      </c>
      <c r="R47" s="27"/>
      <c r="S47" s="66"/>
      <c r="T47" s="66">
        <f>+'ISR '!S48</f>
        <v>0</v>
      </c>
      <c r="U47" s="66">
        <f>+'AJUSTE AL SUBSIDIO '!N47</f>
        <v>0</v>
      </c>
      <c r="V47" s="66">
        <f>+'OTRAS RETENCIONES'!H47</f>
        <v>0</v>
      </c>
      <c r="W47" s="66">
        <f>+'OTRAS RETENCIONES'!I47</f>
        <v>0</v>
      </c>
      <c r="X47" s="66">
        <f>+'CUOTAS IMSS'!X47</f>
        <v>0</v>
      </c>
      <c r="Y47" s="66">
        <f>+'OTRAS RETENCIONES'!L47</f>
        <v>0</v>
      </c>
      <c r="Z47" s="66">
        <f>+'AJUSTE AL SUBSIDIO '!O47</f>
        <v>0</v>
      </c>
      <c r="AA47" s="66">
        <f>+ABS('AJUSTE AL SUBSIDIO '!P47)</f>
        <v>0</v>
      </c>
      <c r="AB47" s="66">
        <f>+'OTRAS RETENCIONES'!L47</f>
        <v>0</v>
      </c>
      <c r="AC47" s="27">
        <f>+'ISR '!T48</f>
        <v>0</v>
      </c>
      <c r="AD47" s="27"/>
      <c r="AE47" s="27"/>
      <c r="AF47" s="27">
        <f>+'AJUSTE AL SUBSIDIO '!Q47</f>
        <v>0</v>
      </c>
      <c r="AG47" s="27">
        <f>+'AJUSTE AL SUBSIDIO '!R47</f>
        <v>0</v>
      </c>
      <c r="AH47" s="27">
        <f t="shared" si="0"/>
        <v>0</v>
      </c>
    </row>
    <row r="48" spans="5:34" x14ac:dyDescent="0.25">
      <c r="E48" s="28">
        <v>42</v>
      </c>
      <c r="F48" s="251">
        <f>+'LISTA TRABAJADORES'!F48</f>
        <v>0</v>
      </c>
      <c r="G48" s="251">
        <f>+'LISTA TRABAJADORES'!G48</f>
        <v>0</v>
      </c>
      <c r="H48" s="27">
        <f>+'LISTA TRABAJADORES'!H48*'ISR '!I49</f>
        <v>0</v>
      </c>
      <c r="I48" s="27">
        <f>+'OTRAS PRESTACIONES'!Y49+'OTRAS PRESTACIONES'!Z49</f>
        <v>0</v>
      </c>
      <c r="J48" s="27">
        <f>+'OTRAS PRESTACIONES'!W49+'OTRAS PRESTACIONES'!X49</f>
        <v>0</v>
      </c>
      <c r="K48" s="27">
        <f>+'OTRAS PRESTACIONES'!L49</f>
        <v>0</v>
      </c>
      <c r="L48" s="27">
        <f>+'OTRAS PRESTACIONES'!O49+'OTRAS PRESTACIONES'!P49</f>
        <v>0</v>
      </c>
      <c r="M48" s="27">
        <f>+'OTRAS PRESTACIONES'!S49+'OTRAS PRESTACIONES'!T49</f>
        <v>0</v>
      </c>
      <c r="N48" s="27">
        <f>+'OTRAS PRESTACIONES'!Q49+'OTRAS PRESTACIONES'!R49</f>
        <v>0</v>
      </c>
      <c r="O48" s="27">
        <f>+'OTRAS PRESTACIONES'!V49</f>
        <v>0</v>
      </c>
      <c r="P48" s="27">
        <f>+'OTRAS PRESTACIONES'!AA49+'OTRAS PRESTACIONES'!AB49</f>
        <v>0</v>
      </c>
      <c r="Q48" s="27">
        <f>+'OTRAS PRESTACIONES'!N49</f>
        <v>0</v>
      </c>
      <c r="R48" s="27"/>
      <c r="S48" s="66"/>
      <c r="T48" s="66">
        <f>+'ISR '!S49</f>
        <v>0</v>
      </c>
      <c r="U48" s="66">
        <f>+'AJUSTE AL SUBSIDIO '!N48</f>
        <v>0</v>
      </c>
      <c r="V48" s="66">
        <f>+'OTRAS RETENCIONES'!H48</f>
        <v>0</v>
      </c>
      <c r="W48" s="66">
        <f>+'OTRAS RETENCIONES'!I48</f>
        <v>0</v>
      </c>
      <c r="X48" s="66">
        <f>+'CUOTAS IMSS'!X48</f>
        <v>0</v>
      </c>
      <c r="Y48" s="66">
        <f>+'OTRAS RETENCIONES'!L48</f>
        <v>0</v>
      </c>
      <c r="Z48" s="66">
        <f>+'AJUSTE AL SUBSIDIO '!O48</f>
        <v>0</v>
      </c>
      <c r="AA48" s="66">
        <f>+ABS('AJUSTE AL SUBSIDIO '!P48)</f>
        <v>0</v>
      </c>
      <c r="AB48" s="66">
        <f>+'OTRAS RETENCIONES'!L48</f>
        <v>0</v>
      </c>
      <c r="AC48" s="27">
        <f>+'ISR '!T49</f>
        <v>0</v>
      </c>
      <c r="AD48" s="27"/>
      <c r="AE48" s="27"/>
      <c r="AF48" s="27">
        <f>+'AJUSTE AL SUBSIDIO '!Q48</f>
        <v>0</v>
      </c>
      <c r="AG48" s="27">
        <f>+'AJUSTE AL SUBSIDIO '!R48</f>
        <v>0</v>
      </c>
      <c r="AH48" s="27">
        <f t="shared" si="0"/>
        <v>0</v>
      </c>
    </row>
    <row r="49" spans="5:34" x14ac:dyDescent="0.25">
      <c r="E49" s="28">
        <v>43</v>
      </c>
      <c r="F49" s="251">
        <f>+'LISTA TRABAJADORES'!F49</f>
        <v>0</v>
      </c>
      <c r="G49" s="251">
        <f>+'LISTA TRABAJADORES'!G49</f>
        <v>0</v>
      </c>
      <c r="H49" s="27">
        <f>+'LISTA TRABAJADORES'!H49*'ISR '!I50</f>
        <v>0</v>
      </c>
      <c r="I49" s="27">
        <f>+'OTRAS PRESTACIONES'!Y50+'OTRAS PRESTACIONES'!Z50</f>
        <v>0</v>
      </c>
      <c r="J49" s="27">
        <f>+'OTRAS PRESTACIONES'!W50+'OTRAS PRESTACIONES'!X50</f>
        <v>0</v>
      </c>
      <c r="K49" s="27">
        <f>+'OTRAS PRESTACIONES'!L50</f>
        <v>0</v>
      </c>
      <c r="L49" s="27">
        <f>+'OTRAS PRESTACIONES'!O50+'OTRAS PRESTACIONES'!P50</f>
        <v>0</v>
      </c>
      <c r="M49" s="27">
        <f>+'OTRAS PRESTACIONES'!S50+'OTRAS PRESTACIONES'!T50</f>
        <v>0</v>
      </c>
      <c r="N49" s="27">
        <f>+'OTRAS PRESTACIONES'!Q50+'OTRAS PRESTACIONES'!R50</f>
        <v>0</v>
      </c>
      <c r="O49" s="27">
        <f>+'OTRAS PRESTACIONES'!V50</f>
        <v>0</v>
      </c>
      <c r="P49" s="27">
        <f>+'OTRAS PRESTACIONES'!AA50+'OTRAS PRESTACIONES'!AB50</f>
        <v>0</v>
      </c>
      <c r="Q49" s="27">
        <f>+'OTRAS PRESTACIONES'!N50</f>
        <v>0</v>
      </c>
      <c r="R49" s="27"/>
      <c r="S49" s="66"/>
      <c r="T49" s="66">
        <f>+'ISR '!S50</f>
        <v>0</v>
      </c>
      <c r="U49" s="66">
        <f>+'AJUSTE AL SUBSIDIO '!N49</f>
        <v>0</v>
      </c>
      <c r="V49" s="66">
        <f>+'OTRAS RETENCIONES'!H49</f>
        <v>0</v>
      </c>
      <c r="W49" s="66">
        <f>+'OTRAS RETENCIONES'!I49</f>
        <v>0</v>
      </c>
      <c r="X49" s="66">
        <f>+'CUOTAS IMSS'!X49</f>
        <v>0</v>
      </c>
      <c r="Y49" s="66">
        <f>+'OTRAS RETENCIONES'!L49</f>
        <v>0</v>
      </c>
      <c r="Z49" s="66">
        <f>+'AJUSTE AL SUBSIDIO '!O49</f>
        <v>0</v>
      </c>
      <c r="AA49" s="66">
        <f>+ABS('AJUSTE AL SUBSIDIO '!P49)</f>
        <v>0</v>
      </c>
      <c r="AB49" s="66">
        <f>+'OTRAS RETENCIONES'!L49</f>
        <v>0</v>
      </c>
      <c r="AC49" s="27">
        <f>+'ISR '!T50</f>
        <v>0</v>
      </c>
      <c r="AD49" s="27"/>
      <c r="AE49" s="27"/>
      <c r="AF49" s="27">
        <f>+'AJUSTE AL SUBSIDIO '!Q49</f>
        <v>0</v>
      </c>
      <c r="AG49" s="27">
        <f>+'AJUSTE AL SUBSIDIO '!R49</f>
        <v>0</v>
      </c>
      <c r="AH49" s="27">
        <f t="shared" si="0"/>
        <v>0</v>
      </c>
    </row>
    <row r="50" spans="5:34" x14ac:dyDescent="0.25">
      <c r="E50" s="28">
        <v>44</v>
      </c>
      <c r="F50" s="251">
        <f>+'LISTA TRABAJADORES'!F50</f>
        <v>0</v>
      </c>
      <c r="G50" s="251">
        <f>+'LISTA TRABAJADORES'!G50</f>
        <v>0</v>
      </c>
      <c r="H50" s="27">
        <f>+'LISTA TRABAJADORES'!H50*'ISR '!I51</f>
        <v>0</v>
      </c>
      <c r="I50" s="27">
        <f>+'OTRAS PRESTACIONES'!Y51+'OTRAS PRESTACIONES'!Z51</f>
        <v>0</v>
      </c>
      <c r="J50" s="27">
        <f>+'OTRAS PRESTACIONES'!W51+'OTRAS PRESTACIONES'!X51</f>
        <v>0</v>
      </c>
      <c r="K50" s="27">
        <f>+'OTRAS PRESTACIONES'!L51</f>
        <v>0</v>
      </c>
      <c r="L50" s="27">
        <f>+'OTRAS PRESTACIONES'!O51+'OTRAS PRESTACIONES'!P51</f>
        <v>0</v>
      </c>
      <c r="M50" s="27">
        <f>+'OTRAS PRESTACIONES'!S51+'OTRAS PRESTACIONES'!T51</f>
        <v>0</v>
      </c>
      <c r="N50" s="27">
        <f>+'OTRAS PRESTACIONES'!Q51+'OTRAS PRESTACIONES'!R51</f>
        <v>0</v>
      </c>
      <c r="O50" s="27">
        <f>+'OTRAS PRESTACIONES'!V51</f>
        <v>0</v>
      </c>
      <c r="P50" s="27">
        <f>+'OTRAS PRESTACIONES'!AA51+'OTRAS PRESTACIONES'!AB51</f>
        <v>0</v>
      </c>
      <c r="Q50" s="27">
        <f>+'OTRAS PRESTACIONES'!N51</f>
        <v>0</v>
      </c>
      <c r="R50" s="27"/>
      <c r="S50" s="66"/>
      <c r="T50" s="66">
        <f>+'ISR '!S51</f>
        <v>0</v>
      </c>
      <c r="U50" s="66">
        <f>+'AJUSTE AL SUBSIDIO '!N50</f>
        <v>0</v>
      </c>
      <c r="V50" s="66">
        <f>+'OTRAS RETENCIONES'!H50</f>
        <v>0</v>
      </c>
      <c r="W50" s="66">
        <f>+'OTRAS RETENCIONES'!I50</f>
        <v>0</v>
      </c>
      <c r="X50" s="66">
        <f>+'CUOTAS IMSS'!X50</f>
        <v>0</v>
      </c>
      <c r="Y50" s="66">
        <f>+'OTRAS RETENCIONES'!L50</f>
        <v>0</v>
      </c>
      <c r="Z50" s="66">
        <f>+'AJUSTE AL SUBSIDIO '!O50</f>
        <v>0</v>
      </c>
      <c r="AA50" s="66">
        <f>+ABS('AJUSTE AL SUBSIDIO '!P50)</f>
        <v>0</v>
      </c>
      <c r="AB50" s="66">
        <f>+'OTRAS RETENCIONES'!L50</f>
        <v>0</v>
      </c>
      <c r="AC50" s="27">
        <f>+'ISR '!T51</f>
        <v>0</v>
      </c>
      <c r="AD50" s="27"/>
      <c r="AE50" s="27"/>
      <c r="AF50" s="27">
        <f>+'AJUSTE AL SUBSIDIO '!Q50</f>
        <v>0</v>
      </c>
      <c r="AG50" s="27">
        <f>+'AJUSTE AL SUBSIDIO '!R50</f>
        <v>0</v>
      </c>
      <c r="AH50" s="27">
        <f t="shared" si="0"/>
        <v>0</v>
      </c>
    </row>
    <row r="51" spans="5:34" x14ac:dyDescent="0.25">
      <c r="E51" s="28">
        <v>45</v>
      </c>
      <c r="F51" s="251">
        <f>+'LISTA TRABAJADORES'!F51</f>
        <v>0</v>
      </c>
      <c r="G51" s="251">
        <f>+'LISTA TRABAJADORES'!G51</f>
        <v>0</v>
      </c>
      <c r="H51" s="27">
        <f>+'LISTA TRABAJADORES'!H51*'ISR '!I52</f>
        <v>0</v>
      </c>
      <c r="I51" s="27">
        <f>+'OTRAS PRESTACIONES'!Y52+'OTRAS PRESTACIONES'!Z52</f>
        <v>0</v>
      </c>
      <c r="J51" s="27">
        <f>+'OTRAS PRESTACIONES'!W52+'OTRAS PRESTACIONES'!X52</f>
        <v>0</v>
      </c>
      <c r="K51" s="27">
        <f>+'OTRAS PRESTACIONES'!L52</f>
        <v>0</v>
      </c>
      <c r="L51" s="27">
        <f>+'OTRAS PRESTACIONES'!O52+'OTRAS PRESTACIONES'!P52</f>
        <v>0</v>
      </c>
      <c r="M51" s="27">
        <f>+'OTRAS PRESTACIONES'!S52+'OTRAS PRESTACIONES'!T52</f>
        <v>0</v>
      </c>
      <c r="N51" s="27">
        <f>+'OTRAS PRESTACIONES'!Q52+'OTRAS PRESTACIONES'!R52</f>
        <v>0</v>
      </c>
      <c r="O51" s="27">
        <f>+'OTRAS PRESTACIONES'!V52</f>
        <v>0</v>
      </c>
      <c r="P51" s="27">
        <f>+'OTRAS PRESTACIONES'!AA52+'OTRAS PRESTACIONES'!AB52</f>
        <v>0</v>
      </c>
      <c r="Q51" s="27">
        <f>+'OTRAS PRESTACIONES'!N52</f>
        <v>0</v>
      </c>
      <c r="R51" s="27"/>
      <c r="S51" s="66"/>
      <c r="T51" s="66">
        <f>+'ISR '!S52</f>
        <v>0</v>
      </c>
      <c r="U51" s="66">
        <f>+'AJUSTE AL SUBSIDIO '!N51</f>
        <v>0</v>
      </c>
      <c r="V51" s="66">
        <f>+'OTRAS RETENCIONES'!H51</f>
        <v>0</v>
      </c>
      <c r="W51" s="66">
        <f>+'OTRAS RETENCIONES'!I51</f>
        <v>0</v>
      </c>
      <c r="X51" s="66">
        <f>+'CUOTAS IMSS'!X51</f>
        <v>0</v>
      </c>
      <c r="Y51" s="66">
        <f>+'OTRAS RETENCIONES'!L51</f>
        <v>0</v>
      </c>
      <c r="Z51" s="66">
        <f>+'AJUSTE AL SUBSIDIO '!O51</f>
        <v>0</v>
      </c>
      <c r="AA51" s="66">
        <f>+ABS('AJUSTE AL SUBSIDIO '!P51)</f>
        <v>0</v>
      </c>
      <c r="AB51" s="66">
        <f>+'OTRAS RETENCIONES'!L51</f>
        <v>0</v>
      </c>
      <c r="AC51" s="27">
        <f>+'ISR '!T52</f>
        <v>0</v>
      </c>
      <c r="AD51" s="27"/>
      <c r="AE51" s="27"/>
      <c r="AF51" s="27">
        <f>+'AJUSTE AL SUBSIDIO '!Q51</f>
        <v>0</v>
      </c>
      <c r="AG51" s="27">
        <f>+'AJUSTE AL SUBSIDIO '!R51</f>
        <v>0</v>
      </c>
      <c r="AH51" s="27">
        <f t="shared" si="0"/>
        <v>0</v>
      </c>
    </row>
    <row r="52" spans="5:34" x14ac:dyDescent="0.25">
      <c r="E52" s="28">
        <v>46</v>
      </c>
      <c r="F52" s="251">
        <f>+'LISTA TRABAJADORES'!F52</f>
        <v>0</v>
      </c>
      <c r="G52" s="251">
        <f>+'LISTA TRABAJADORES'!G52</f>
        <v>0</v>
      </c>
      <c r="H52" s="27">
        <f>+'LISTA TRABAJADORES'!H52*'ISR '!I53</f>
        <v>0</v>
      </c>
      <c r="I52" s="27">
        <f>+'OTRAS PRESTACIONES'!Y53+'OTRAS PRESTACIONES'!Z53</f>
        <v>0</v>
      </c>
      <c r="J52" s="27">
        <f>+'OTRAS PRESTACIONES'!W53+'OTRAS PRESTACIONES'!X53</f>
        <v>0</v>
      </c>
      <c r="K52" s="27">
        <f>+'OTRAS PRESTACIONES'!L53</f>
        <v>0</v>
      </c>
      <c r="L52" s="27">
        <f>+'OTRAS PRESTACIONES'!O53+'OTRAS PRESTACIONES'!P53</f>
        <v>0</v>
      </c>
      <c r="M52" s="27">
        <f>+'OTRAS PRESTACIONES'!S53+'OTRAS PRESTACIONES'!T53</f>
        <v>0</v>
      </c>
      <c r="N52" s="27">
        <f>+'OTRAS PRESTACIONES'!Q53+'OTRAS PRESTACIONES'!R53</f>
        <v>0</v>
      </c>
      <c r="O52" s="27">
        <f>+'OTRAS PRESTACIONES'!V53</f>
        <v>0</v>
      </c>
      <c r="P52" s="27">
        <f>+'OTRAS PRESTACIONES'!AA53+'OTRAS PRESTACIONES'!AB53</f>
        <v>0</v>
      </c>
      <c r="Q52" s="27">
        <f>+'OTRAS PRESTACIONES'!N53</f>
        <v>0</v>
      </c>
      <c r="R52" s="27"/>
      <c r="S52" s="66"/>
      <c r="T52" s="66">
        <f>+'ISR '!S53</f>
        <v>0</v>
      </c>
      <c r="U52" s="66">
        <f>+'AJUSTE AL SUBSIDIO '!N52</f>
        <v>0</v>
      </c>
      <c r="V52" s="66">
        <f>+'OTRAS RETENCIONES'!H52</f>
        <v>0</v>
      </c>
      <c r="W52" s="66">
        <f>+'OTRAS RETENCIONES'!I52</f>
        <v>0</v>
      </c>
      <c r="X52" s="66">
        <f>+'CUOTAS IMSS'!X52</f>
        <v>0</v>
      </c>
      <c r="Y52" s="66">
        <f>+'OTRAS RETENCIONES'!L52</f>
        <v>0</v>
      </c>
      <c r="Z52" s="66">
        <f>+'AJUSTE AL SUBSIDIO '!O52</f>
        <v>0</v>
      </c>
      <c r="AA52" s="66">
        <f>+ABS('AJUSTE AL SUBSIDIO '!P52)</f>
        <v>0</v>
      </c>
      <c r="AB52" s="66">
        <f>+'OTRAS RETENCIONES'!L52</f>
        <v>0</v>
      </c>
      <c r="AC52" s="27">
        <f>+'ISR '!T53</f>
        <v>0</v>
      </c>
      <c r="AD52" s="27"/>
      <c r="AE52" s="27"/>
      <c r="AF52" s="27">
        <f>+'AJUSTE AL SUBSIDIO '!Q52</f>
        <v>0</v>
      </c>
      <c r="AG52" s="27">
        <f>+'AJUSTE AL SUBSIDIO '!R52</f>
        <v>0</v>
      </c>
      <c r="AH52" s="27">
        <f t="shared" si="0"/>
        <v>0</v>
      </c>
    </row>
    <row r="53" spans="5:34" x14ac:dyDescent="0.25">
      <c r="E53" s="28">
        <v>47</v>
      </c>
      <c r="F53" s="251">
        <f>+'LISTA TRABAJADORES'!F53</f>
        <v>0</v>
      </c>
      <c r="G53" s="251">
        <f>+'LISTA TRABAJADORES'!G53</f>
        <v>0</v>
      </c>
      <c r="H53" s="27">
        <f>+'LISTA TRABAJADORES'!H53*'ISR '!I54</f>
        <v>0</v>
      </c>
      <c r="I53" s="27">
        <f>+'OTRAS PRESTACIONES'!Y54+'OTRAS PRESTACIONES'!Z54</f>
        <v>0</v>
      </c>
      <c r="J53" s="27">
        <f>+'OTRAS PRESTACIONES'!W54+'OTRAS PRESTACIONES'!X54</f>
        <v>0</v>
      </c>
      <c r="K53" s="27">
        <f>+'OTRAS PRESTACIONES'!L54</f>
        <v>0</v>
      </c>
      <c r="L53" s="27">
        <f>+'OTRAS PRESTACIONES'!O54+'OTRAS PRESTACIONES'!P54</f>
        <v>0</v>
      </c>
      <c r="M53" s="27">
        <f>+'OTRAS PRESTACIONES'!S54+'OTRAS PRESTACIONES'!T54</f>
        <v>0</v>
      </c>
      <c r="N53" s="27">
        <f>+'OTRAS PRESTACIONES'!Q54+'OTRAS PRESTACIONES'!R54</f>
        <v>0</v>
      </c>
      <c r="O53" s="27">
        <f>+'OTRAS PRESTACIONES'!V54</f>
        <v>0</v>
      </c>
      <c r="P53" s="27">
        <f>+'OTRAS PRESTACIONES'!AA54+'OTRAS PRESTACIONES'!AB54</f>
        <v>0</v>
      </c>
      <c r="Q53" s="27">
        <f>+'OTRAS PRESTACIONES'!N54</f>
        <v>0</v>
      </c>
      <c r="R53" s="27"/>
      <c r="S53" s="66"/>
      <c r="T53" s="66">
        <f>+'ISR '!S54</f>
        <v>0</v>
      </c>
      <c r="U53" s="66">
        <f>+'AJUSTE AL SUBSIDIO '!N53</f>
        <v>0</v>
      </c>
      <c r="V53" s="66">
        <f>+'OTRAS RETENCIONES'!H53</f>
        <v>0</v>
      </c>
      <c r="W53" s="66">
        <f>+'OTRAS RETENCIONES'!I53</f>
        <v>0</v>
      </c>
      <c r="X53" s="66">
        <f>+'CUOTAS IMSS'!X53</f>
        <v>0</v>
      </c>
      <c r="Y53" s="66">
        <f>+'OTRAS RETENCIONES'!L53</f>
        <v>0</v>
      </c>
      <c r="Z53" s="66">
        <f>+'AJUSTE AL SUBSIDIO '!O53</f>
        <v>0</v>
      </c>
      <c r="AA53" s="66">
        <f>+ABS('AJUSTE AL SUBSIDIO '!P53)</f>
        <v>0</v>
      </c>
      <c r="AB53" s="66">
        <f>+'OTRAS RETENCIONES'!L53</f>
        <v>0</v>
      </c>
      <c r="AC53" s="27">
        <f>+'ISR '!T54</f>
        <v>0</v>
      </c>
      <c r="AD53" s="27"/>
      <c r="AE53" s="27"/>
      <c r="AF53" s="27">
        <f>+'AJUSTE AL SUBSIDIO '!Q53</f>
        <v>0</v>
      </c>
      <c r="AG53" s="27">
        <f>+'AJUSTE AL SUBSIDIO '!R53</f>
        <v>0</v>
      </c>
      <c r="AH53" s="27">
        <f t="shared" si="0"/>
        <v>0</v>
      </c>
    </row>
    <row r="54" spans="5:34" x14ac:dyDescent="0.25">
      <c r="E54" s="28">
        <v>48</v>
      </c>
      <c r="F54" s="251">
        <f>+'LISTA TRABAJADORES'!F54</f>
        <v>0</v>
      </c>
      <c r="G54" s="251">
        <f>+'LISTA TRABAJADORES'!G54</f>
        <v>0</v>
      </c>
      <c r="H54" s="27">
        <f>+'LISTA TRABAJADORES'!H54*'ISR '!I55</f>
        <v>0</v>
      </c>
      <c r="I54" s="27">
        <f>+'OTRAS PRESTACIONES'!Y55+'OTRAS PRESTACIONES'!Z55</f>
        <v>0</v>
      </c>
      <c r="J54" s="27">
        <f>+'OTRAS PRESTACIONES'!W55+'OTRAS PRESTACIONES'!X55</f>
        <v>0</v>
      </c>
      <c r="K54" s="27">
        <f>+'OTRAS PRESTACIONES'!L55</f>
        <v>0</v>
      </c>
      <c r="L54" s="27">
        <f>+'OTRAS PRESTACIONES'!O55+'OTRAS PRESTACIONES'!P55</f>
        <v>0</v>
      </c>
      <c r="M54" s="27">
        <f>+'OTRAS PRESTACIONES'!S55+'OTRAS PRESTACIONES'!T55</f>
        <v>0</v>
      </c>
      <c r="N54" s="27">
        <f>+'OTRAS PRESTACIONES'!Q55+'OTRAS PRESTACIONES'!R55</f>
        <v>0</v>
      </c>
      <c r="O54" s="27">
        <f>+'OTRAS PRESTACIONES'!V55</f>
        <v>0</v>
      </c>
      <c r="P54" s="27">
        <f>+'OTRAS PRESTACIONES'!AA55+'OTRAS PRESTACIONES'!AB55</f>
        <v>0</v>
      </c>
      <c r="Q54" s="27">
        <f>+'OTRAS PRESTACIONES'!N55</f>
        <v>0</v>
      </c>
      <c r="R54" s="27"/>
      <c r="S54" s="66"/>
      <c r="T54" s="66">
        <f>+'ISR '!S55</f>
        <v>0</v>
      </c>
      <c r="U54" s="66">
        <f>+'AJUSTE AL SUBSIDIO '!N54</f>
        <v>0</v>
      </c>
      <c r="V54" s="66">
        <f>+'OTRAS RETENCIONES'!H54</f>
        <v>0</v>
      </c>
      <c r="W54" s="66">
        <f>+'OTRAS RETENCIONES'!I54</f>
        <v>0</v>
      </c>
      <c r="X54" s="66">
        <f>+'CUOTAS IMSS'!X54</f>
        <v>0</v>
      </c>
      <c r="Y54" s="66">
        <f>+'OTRAS RETENCIONES'!L54</f>
        <v>0</v>
      </c>
      <c r="Z54" s="66">
        <f>+'AJUSTE AL SUBSIDIO '!O54</f>
        <v>0</v>
      </c>
      <c r="AA54" s="66">
        <f>+ABS('AJUSTE AL SUBSIDIO '!P54)</f>
        <v>0</v>
      </c>
      <c r="AB54" s="66">
        <f>+'OTRAS RETENCIONES'!L54</f>
        <v>0</v>
      </c>
      <c r="AC54" s="27">
        <f>+'ISR '!T55</f>
        <v>0</v>
      </c>
      <c r="AD54" s="27"/>
      <c r="AE54" s="27"/>
      <c r="AF54" s="27">
        <f>+'AJUSTE AL SUBSIDIO '!Q54</f>
        <v>0</v>
      </c>
      <c r="AG54" s="27">
        <f>+'AJUSTE AL SUBSIDIO '!R54</f>
        <v>0</v>
      </c>
      <c r="AH54" s="27">
        <f t="shared" si="0"/>
        <v>0</v>
      </c>
    </row>
    <row r="55" spans="5:34" x14ac:dyDescent="0.25">
      <c r="E55" s="28">
        <v>49</v>
      </c>
      <c r="F55" s="251">
        <f>+'LISTA TRABAJADORES'!F55</f>
        <v>0</v>
      </c>
      <c r="G55" s="251">
        <f>+'LISTA TRABAJADORES'!G55</f>
        <v>0</v>
      </c>
      <c r="H55" s="27">
        <f>+'LISTA TRABAJADORES'!H55*'ISR '!I56</f>
        <v>0</v>
      </c>
      <c r="I55" s="27">
        <f>+'OTRAS PRESTACIONES'!Y56+'OTRAS PRESTACIONES'!Z56</f>
        <v>0</v>
      </c>
      <c r="J55" s="27">
        <f>+'OTRAS PRESTACIONES'!W56+'OTRAS PRESTACIONES'!X56</f>
        <v>0</v>
      </c>
      <c r="K55" s="27">
        <f>+'OTRAS PRESTACIONES'!L56</f>
        <v>0</v>
      </c>
      <c r="L55" s="27">
        <f>+'OTRAS PRESTACIONES'!O56+'OTRAS PRESTACIONES'!P56</f>
        <v>0</v>
      </c>
      <c r="M55" s="27">
        <f>+'OTRAS PRESTACIONES'!S56+'OTRAS PRESTACIONES'!T56</f>
        <v>0</v>
      </c>
      <c r="N55" s="27">
        <f>+'OTRAS PRESTACIONES'!Q56+'OTRAS PRESTACIONES'!R56</f>
        <v>0</v>
      </c>
      <c r="O55" s="27">
        <f>+'OTRAS PRESTACIONES'!V56</f>
        <v>0</v>
      </c>
      <c r="P55" s="27">
        <f>+'OTRAS PRESTACIONES'!AA56+'OTRAS PRESTACIONES'!AB56</f>
        <v>0</v>
      </c>
      <c r="Q55" s="27">
        <f>+'OTRAS PRESTACIONES'!N56</f>
        <v>0</v>
      </c>
      <c r="R55" s="27"/>
      <c r="S55" s="66"/>
      <c r="T55" s="66">
        <f>+'ISR '!S56</f>
        <v>0</v>
      </c>
      <c r="U55" s="66">
        <f>+'AJUSTE AL SUBSIDIO '!N55</f>
        <v>0</v>
      </c>
      <c r="V55" s="66">
        <f>+'OTRAS RETENCIONES'!H55</f>
        <v>0</v>
      </c>
      <c r="W55" s="66">
        <f>+'OTRAS RETENCIONES'!I55</f>
        <v>0</v>
      </c>
      <c r="X55" s="66">
        <f>+'CUOTAS IMSS'!X55</f>
        <v>0</v>
      </c>
      <c r="Y55" s="66">
        <f>+'OTRAS RETENCIONES'!L55</f>
        <v>0</v>
      </c>
      <c r="Z55" s="66">
        <f>+'AJUSTE AL SUBSIDIO '!O55</f>
        <v>0</v>
      </c>
      <c r="AA55" s="66">
        <f>+ABS('AJUSTE AL SUBSIDIO '!P55)</f>
        <v>0</v>
      </c>
      <c r="AB55" s="66">
        <f>+'OTRAS RETENCIONES'!L55</f>
        <v>0</v>
      </c>
      <c r="AC55" s="27">
        <f>+'ISR '!T56</f>
        <v>0</v>
      </c>
      <c r="AD55" s="27"/>
      <c r="AE55" s="27"/>
      <c r="AF55" s="27">
        <f>+'AJUSTE AL SUBSIDIO '!Q55</f>
        <v>0</v>
      </c>
      <c r="AG55" s="27">
        <f>+'AJUSTE AL SUBSIDIO '!R55</f>
        <v>0</v>
      </c>
      <c r="AH55" s="27">
        <f t="shared" si="0"/>
        <v>0</v>
      </c>
    </row>
    <row r="56" spans="5:34" x14ac:dyDescent="0.25">
      <c r="E56" s="30">
        <v>50</v>
      </c>
      <c r="F56" s="251">
        <f>+'LISTA TRABAJADORES'!F56</f>
        <v>0</v>
      </c>
      <c r="G56" s="251">
        <f>+'LISTA TRABAJADORES'!G56</f>
        <v>0</v>
      </c>
      <c r="H56" s="27">
        <f>+'LISTA TRABAJADORES'!H56*'ISR '!I57</f>
        <v>0</v>
      </c>
      <c r="I56" s="27">
        <f>+'OTRAS PRESTACIONES'!Y57+'OTRAS PRESTACIONES'!Z57</f>
        <v>0</v>
      </c>
      <c r="J56" s="27">
        <f>+'OTRAS PRESTACIONES'!W57+'OTRAS PRESTACIONES'!X57</f>
        <v>0</v>
      </c>
      <c r="K56" s="27">
        <f>+'OTRAS PRESTACIONES'!L57</f>
        <v>0</v>
      </c>
      <c r="L56" s="27">
        <f>+'OTRAS PRESTACIONES'!O57+'OTRAS PRESTACIONES'!P57</f>
        <v>0</v>
      </c>
      <c r="M56" s="27">
        <f>+'OTRAS PRESTACIONES'!S57+'OTRAS PRESTACIONES'!T57</f>
        <v>0</v>
      </c>
      <c r="N56" s="27">
        <f>+'OTRAS PRESTACIONES'!Q57+'OTRAS PRESTACIONES'!R57</f>
        <v>0</v>
      </c>
      <c r="O56" s="27">
        <f>+'OTRAS PRESTACIONES'!V57</f>
        <v>0</v>
      </c>
      <c r="P56" s="27">
        <f>+'OTRAS PRESTACIONES'!AA57+'OTRAS PRESTACIONES'!AB57</f>
        <v>0</v>
      </c>
      <c r="Q56" s="27">
        <f>+'OTRAS PRESTACIONES'!N57</f>
        <v>0</v>
      </c>
      <c r="R56" s="27"/>
      <c r="S56" s="66"/>
      <c r="T56" s="66">
        <f>+'ISR '!S57</f>
        <v>0</v>
      </c>
      <c r="U56" s="66">
        <f>+'AJUSTE AL SUBSIDIO '!N56</f>
        <v>0</v>
      </c>
      <c r="V56" s="66">
        <f>+'OTRAS RETENCIONES'!H56</f>
        <v>0</v>
      </c>
      <c r="W56" s="66">
        <f>+'OTRAS RETENCIONES'!I56</f>
        <v>0</v>
      </c>
      <c r="X56" s="66">
        <f>+'CUOTAS IMSS'!X56</f>
        <v>0</v>
      </c>
      <c r="Y56" s="66">
        <f>+'OTRAS RETENCIONES'!L56</f>
        <v>0</v>
      </c>
      <c r="Z56" s="66">
        <f>+'AJUSTE AL SUBSIDIO '!O56</f>
        <v>0</v>
      </c>
      <c r="AA56" s="66">
        <f>+ABS('AJUSTE AL SUBSIDIO '!P56)</f>
        <v>0</v>
      </c>
      <c r="AB56" s="66">
        <f>+'OTRAS RETENCIONES'!L56</f>
        <v>0</v>
      </c>
      <c r="AC56" s="27">
        <f>+'ISR '!T57</f>
        <v>0</v>
      </c>
      <c r="AD56" s="27"/>
      <c r="AE56" s="27"/>
      <c r="AF56" s="27">
        <f>+'AJUSTE AL SUBSIDIO '!Q56</f>
        <v>0</v>
      </c>
      <c r="AG56" s="27">
        <f>+'AJUSTE AL SUBSIDIO '!R56</f>
        <v>0</v>
      </c>
      <c r="AH56" s="27">
        <f t="shared" si="0"/>
        <v>0</v>
      </c>
    </row>
    <row r="57" spans="5:34" ht="15.75" thickBot="1" x14ac:dyDescent="0.3">
      <c r="E57" s="32">
        <v>50</v>
      </c>
      <c r="F57" s="36"/>
      <c r="G57" s="31"/>
      <c r="H57" s="74">
        <f>SUM(H7:H56)</f>
        <v>40164.15</v>
      </c>
      <c r="I57" s="74">
        <f t="shared" ref="I57:N57" si="1">SUM(I7:I56)</f>
        <v>0</v>
      </c>
      <c r="J57" s="74">
        <f t="shared" si="1"/>
        <v>0</v>
      </c>
      <c r="K57" s="74">
        <f t="shared" si="1"/>
        <v>0</v>
      </c>
      <c r="L57" s="74">
        <f t="shared" si="1"/>
        <v>0</v>
      </c>
      <c r="M57" s="74">
        <f t="shared" si="1"/>
        <v>0</v>
      </c>
      <c r="N57" s="74">
        <f t="shared" si="1"/>
        <v>0</v>
      </c>
      <c r="O57" s="74">
        <f t="shared" ref="O57" si="2">SUM(O7:O56)</f>
        <v>0</v>
      </c>
      <c r="P57" s="74">
        <f t="shared" ref="P57" si="3">SUM(P7:P56)</f>
        <v>0</v>
      </c>
      <c r="Q57" s="74">
        <f t="shared" ref="Q57" si="4">SUM(Q7:Q56)</f>
        <v>0</v>
      </c>
      <c r="R57" s="74">
        <f t="shared" ref="R57" si="5">SUM(R7:R56)</f>
        <v>0</v>
      </c>
      <c r="S57" s="74">
        <f t="shared" ref="S57:T57" si="6">SUM(S7:S56)</f>
        <v>0</v>
      </c>
      <c r="T57" s="74">
        <f t="shared" si="6"/>
        <v>2096.7600000000002</v>
      </c>
      <c r="U57" s="74">
        <f t="shared" ref="U57" si="7">SUM(U7:U56)</f>
        <v>0</v>
      </c>
      <c r="V57" s="74">
        <f t="shared" ref="V57" si="8">SUM(V7:V56)</f>
        <v>0</v>
      </c>
      <c r="W57" s="74">
        <f t="shared" ref="W57" si="9">SUM(W7:W56)</f>
        <v>0</v>
      </c>
      <c r="X57" s="74">
        <f t="shared" ref="X57" si="10">SUM(X7:X56)</f>
        <v>916.7763623812499</v>
      </c>
      <c r="Y57" s="74">
        <f t="shared" ref="Y57:Z57" si="11">SUM(Y7:Y56)</f>
        <v>0</v>
      </c>
      <c r="Z57" s="74">
        <f t="shared" si="11"/>
        <v>0</v>
      </c>
      <c r="AA57" s="74">
        <f t="shared" ref="AA57" si="12">SUM(AA7:AA56)</f>
        <v>0</v>
      </c>
      <c r="AB57" s="74">
        <f t="shared" ref="AB57" si="13">SUM(AB7:AB56)</f>
        <v>0</v>
      </c>
      <c r="AC57" s="74">
        <f t="shared" ref="AC57" si="14">SUM(AC7:AC56)</f>
        <v>0</v>
      </c>
      <c r="AD57" s="74">
        <f t="shared" ref="AD57" si="15">SUM(AD7:AD56)</f>
        <v>0</v>
      </c>
      <c r="AE57" s="74">
        <f t="shared" ref="AE57:AF57" si="16">SUM(AE7:AE56)</f>
        <v>0</v>
      </c>
      <c r="AF57" s="74">
        <f t="shared" si="16"/>
        <v>0</v>
      </c>
      <c r="AG57" s="74">
        <f t="shared" ref="AG57:AH57" si="17">SUM(AG7:AG56)</f>
        <v>0</v>
      </c>
      <c r="AH57" s="35">
        <f t="shared" si="17"/>
        <v>37150.61363761875</v>
      </c>
    </row>
    <row r="58" spans="5:34" ht="15.75" thickTop="1" x14ac:dyDescent="0.25">
      <c r="K58" s="38"/>
    </row>
    <row r="61" spans="5:34" ht="15.75" x14ac:dyDescent="0.25">
      <c r="G61" s="138"/>
    </row>
    <row r="62" spans="5:34" x14ac:dyDescent="0.25">
      <c r="G62" s="252"/>
    </row>
    <row r="63" spans="5:34" ht="15.75" x14ac:dyDescent="0.25">
      <c r="G63" s="138"/>
    </row>
  </sheetData>
  <mergeCells count="49">
    <mergeCell ref="B18:C18"/>
    <mergeCell ref="AH5:AH6"/>
    <mergeCell ref="B13:C13"/>
    <mergeCell ref="B14:C14"/>
    <mergeCell ref="B15:C15"/>
    <mergeCell ref="B16:C16"/>
    <mergeCell ref="E5:E6"/>
    <mergeCell ref="F5:F6"/>
    <mergeCell ref="G5:G6"/>
    <mergeCell ref="H5:H6"/>
    <mergeCell ref="M5:M6"/>
    <mergeCell ref="AE5:AE6"/>
    <mergeCell ref="AF5:AF6"/>
    <mergeCell ref="AG5:AG6"/>
    <mergeCell ref="B7:C7"/>
    <mergeCell ref="AC5:AC6"/>
    <mergeCell ref="B17:C17"/>
    <mergeCell ref="B8:C8"/>
    <mergeCell ref="B9:C9"/>
    <mergeCell ref="B10:C10"/>
    <mergeCell ref="B11:C11"/>
    <mergeCell ref="B12:C12"/>
    <mergeCell ref="AA5:AA6"/>
    <mergeCell ref="B2:C3"/>
    <mergeCell ref="B4:C4"/>
    <mergeCell ref="B5:C5"/>
    <mergeCell ref="B6:C6"/>
    <mergeCell ref="P5:P6"/>
    <mergeCell ref="T5:T6"/>
    <mergeCell ref="V5:V6"/>
    <mergeCell ref="W5:W6"/>
    <mergeCell ref="X5:X6"/>
    <mergeCell ref="S5:S6"/>
    <mergeCell ref="AD5:AD6"/>
    <mergeCell ref="AC4:AG4"/>
    <mergeCell ref="U5:U6"/>
    <mergeCell ref="H4:R4"/>
    <mergeCell ref="L5:L6"/>
    <mergeCell ref="R5:R6"/>
    <mergeCell ref="I5:I6"/>
    <mergeCell ref="J5:J6"/>
    <mergeCell ref="K5:K6"/>
    <mergeCell ref="N5:N6"/>
    <mergeCell ref="O5:O6"/>
    <mergeCell ref="S4:AB4"/>
    <mergeCell ref="Z5:Z6"/>
    <mergeCell ref="AB5:AB6"/>
    <mergeCell ref="Y5:Y6"/>
    <mergeCell ref="Q5:Q6"/>
  </mergeCells>
  <phoneticPr fontId="18" type="noConversion"/>
  <hyperlinks>
    <hyperlink ref="B4:C4" location="'Datos y Resumen '!A1" display="DATOS Y RESUMEN" xr:uid="{C47BBB55-2CFE-4FEE-823D-EC8C2958C500}"/>
    <hyperlink ref="B5:C5" location="'LISTA TRABAJADORES'!A1" display="LISTA DE TRABAJADORES" xr:uid="{5F7AE04E-52CC-44A5-A373-4CBADCE03C79}"/>
    <hyperlink ref="B6:C6" location="'ISR '!A1" display="ISR" xr:uid="{E54F35B8-042D-4ACC-9B36-52F7021DF16A}"/>
    <hyperlink ref="B7:C7" location="'OTRAS PRESTACIONES'!A1" display="OTRAS PRESTACIONES" xr:uid="{A746001C-4566-4B89-B5BD-61C9D06766A3}"/>
    <hyperlink ref="B8:C8" location="'OTRAS RETENCIONES'!A1" display="OTRAS RETENCIONES" xr:uid="{199A03BB-37B5-4FBA-865F-32341CE71533}"/>
    <hyperlink ref="B12:C12" location="'CUOTAS IMSS'!A1" display="CUOTAS IMSS" xr:uid="{1A417E8F-7F53-4B62-8FC2-C04E21B43730}"/>
    <hyperlink ref="B13:C13" location="'HORAS EXTRAS'!A1" display="HORAS EXTRAS" xr:uid="{54897810-5815-4BFB-B8BE-5B6C38EC8425}"/>
    <hyperlink ref="B14:C14" location="AGUINALDO!A1" display="AGUINALDO" xr:uid="{44CCBE0E-AF71-4CC4-913A-F37991D447B0}"/>
    <hyperlink ref="B15:C15" location="'NOMINA FISCAL'!A1" display="NOMINA FISCAL " xr:uid="{C4D6B73E-A81A-4CD1-89D3-7060DF9520EC}"/>
    <hyperlink ref="B16:C16" location="CONCEN!A1" display="CONCENTRADO" xr:uid="{7BAB8E1D-03BA-45F7-9D63-AB744445B921}"/>
    <hyperlink ref="B17:C17" location="'TARIFAS 2025'!A1" display="TARIFAS 2025" xr:uid="{DB9A8420-58F7-48C5-9074-51CE2020A577}"/>
    <hyperlink ref="B18:C18" location="'DATOS EXTRAS'!A1" display="DATOS EXTRAS" xr:uid="{47FC3661-383F-4407-8048-548F98BA6016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Datos y Resumen </vt:lpstr>
      <vt:lpstr>LISTA TRABAJADORES</vt:lpstr>
      <vt:lpstr>ISR </vt:lpstr>
      <vt:lpstr>OTRAS PRESTACIONES</vt:lpstr>
      <vt:lpstr>OTRAS RETENCIONES</vt:lpstr>
      <vt:lpstr>DATOS PARA AJUSTE</vt:lpstr>
      <vt:lpstr>AJUSTE AL SUBSIDIO </vt:lpstr>
      <vt:lpstr>COMPARACIÓN MENSUAL</vt:lpstr>
      <vt:lpstr>NOMINA FISCAL</vt:lpstr>
      <vt:lpstr>CUOTAS IMSS</vt:lpstr>
      <vt:lpstr>HORAS EXTRAS</vt:lpstr>
      <vt:lpstr>AGUINALDO</vt:lpstr>
      <vt:lpstr>CONCEN</vt:lpstr>
      <vt:lpstr>DATOS EXTRAS</vt:lpstr>
      <vt:lpstr>TARIFAS 2025</vt:lpstr>
      <vt:lpstr>TARIFAS_2023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</dc:creator>
  <cp:lastModifiedBy>user</cp:lastModifiedBy>
  <cp:lastPrinted>2021-01-18T06:17:05Z</cp:lastPrinted>
  <dcterms:created xsi:type="dcterms:W3CDTF">2020-12-03T22:29:49Z</dcterms:created>
  <dcterms:modified xsi:type="dcterms:W3CDTF">2025-02-08T02:04:36Z</dcterms:modified>
</cp:coreProperties>
</file>