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aggy/Desktop/Finance /"/>
    </mc:Choice>
  </mc:AlternateContent>
  <xr:revisionPtr revIDLastSave="0" documentId="13_ncr:1_{DB70EB58-136B-FD4E-B99C-8E716F14D081}" xr6:coauthVersionLast="47" xr6:coauthVersionMax="47" xr10:uidLastSave="{00000000-0000-0000-0000-000000000000}"/>
  <bookViews>
    <workbookView xWindow="0" yWindow="680" windowWidth="30240" windowHeight="17840" firstSheet="2" activeTab="15" xr2:uid="{94DF95E3-B4E1-F943-8C1C-47AB4CD88932}"/>
  </bookViews>
  <sheets>
    <sheet name="LBO Model &gt;" sheetId="1" r:id="rId1"/>
    <sheet name="Model - 1 &gt;" sheetId="5" r:id="rId2"/>
    <sheet name="LBO" sheetId="4" r:id="rId3"/>
    <sheet name="Financials" sheetId="3" r:id="rId4"/>
    <sheet name="Data - 1 &gt;" sheetId="6" r:id="rId5"/>
    <sheet name="Assumptions" sheetId="7" r:id="rId6"/>
    <sheet name="Shares" sheetId="8" r:id="rId7"/>
    <sheet name="DCF Model &gt;" sheetId="2" r:id="rId8"/>
    <sheet name="Model - 2 &gt;" sheetId="9" r:id="rId9"/>
    <sheet name="Historical FS" sheetId="11" r:id="rId10"/>
    <sheet name="Ratio Analysis" sheetId="12" r:id="rId11"/>
    <sheet name="WACC" sheetId="13" r:id="rId12"/>
    <sheet name="Intrinsic Growth " sheetId="14" r:id="rId13"/>
    <sheet name="DCF" sheetId="15" r:id="rId14"/>
    <sheet name="Data - 2 &gt;" sheetId="10" r:id="rId15"/>
    <sheet name="Data Sheet" sheetId="17" r:id="rId16"/>
    <sheet name="Raw FS" sheetId="18" r:id="rId17"/>
    <sheet name="Peer Comps" sheetId="19" r:id="rId18"/>
    <sheet name="Rm" sheetId="20" r:id="rId19"/>
  </sheets>
  <externalReferences>
    <externalReference r:id="rId20"/>
    <externalReference r:id="rId21"/>
  </externalReferences>
  <definedNames>
    <definedName name="CASE">'[1]LBO - 2'!$E$9</definedName>
    <definedName name="CIRC">'[1]LBO - 2'!$E$8</definedName>
    <definedName name="_xlnm.Print_Area" localSheetId="2">LBO!$B$1:$K$285</definedName>
  </definedNames>
  <calcPr calcId="191029" iterate="1" iterateCount="1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20" l="1"/>
  <c r="F8" i="20" s="1"/>
  <c r="H71" i="18"/>
  <c r="G71" i="18"/>
  <c r="F71" i="18"/>
  <c r="E71" i="18"/>
  <c r="D71" i="18"/>
  <c r="C71" i="18"/>
  <c r="H69" i="18"/>
  <c r="G69" i="18"/>
  <c r="F69" i="18"/>
  <c r="E69" i="18"/>
  <c r="D69" i="18"/>
  <c r="C69" i="18"/>
  <c r="B69" i="18"/>
  <c r="H68" i="18"/>
  <c r="G68" i="18"/>
  <c r="F68" i="18"/>
  <c r="E68" i="18"/>
  <c r="D68" i="18"/>
  <c r="C68" i="18"/>
  <c r="B68" i="18"/>
  <c r="H67" i="18"/>
  <c r="G67" i="18"/>
  <c r="F67" i="18"/>
  <c r="E67" i="18"/>
  <c r="D67" i="18"/>
  <c r="C67" i="18"/>
  <c r="B67" i="18"/>
  <c r="H66" i="18"/>
  <c r="G66" i="18"/>
  <c r="F66" i="18"/>
  <c r="E66" i="18"/>
  <c r="D66" i="18"/>
  <c r="C66" i="18"/>
  <c r="B66" i="18"/>
  <c r="H65" i="18"/>
  <c r="G65" i="18"/>
  <c r="F65" i="18"/>
  <c r="E65" i="18"/>
  <c r="D65" i="18"/>
  <c r="C65" i="18"/>
  <c r="B65" i="18"/>
  <c r="H64" i="18"/>
  <c r="G64" i="18"/>
  <c r="F64" i="18"/>
  <c r="E64" i="18"/>
  <c r="D64" i="18"/>
  <c r="C64" i="18"/>
  <c r="B64" i="18"/>
  <c r="H63" i="18"/>
  <c r="G63" i="18"/>
  <c r="F63" i="18"/>
  <c r="E63" i="18"/>
  <c r="D63" i="18"/>
  <c r="C63" i="18"/>
  <c r="B63" i="18"/>
  <c r="H61" i="18"/>
  <c r="G61" i="18"/>
  <c r="F61" i="18"/>
  <c r="E61" i="18"/>
  <c r="D61" i="18"/>
  <c r="C61" i="18"/>
  <c r="B61" i="18"/>
  <c r="H60" i="18"/>
  <c r="G60" i="18"/>
  <c r="F60" i="18"/>
  <c r="E60" i="18"/>
  <c r="D60" i="18"/>
  <c r="C60" i="18"/>
  <c r="B60" i="18"/>
  <c r="H59" i="18"/>
  <c r="G59" i="18"/>
  <c r="F59" i="18"/>
  <c r="E59" i="18"/>
  <c r="D59" i="18"/>
  <c r="C59" i="18"/>
  <c r="B59" i="18"/>
  <c r="H58" i="18"/>
  <c r="G58" i="18"/>
  <c r="F58" i="18"/>
  <c r="E58" i="18"/>
  <c r="D58" i="18"/>
  <c r="C58" i="18"/>
  <c r="B58" i="18"/>
  <c r="H57" i="18"/>
  <c r="G57" i="18"/>
  <c r="F57" i="18"/>
  <c r="E57" i="18"/>
  <c r="D57" i="18"/>
  <c r="C57" i="18"/>
  <c r="B57" i="18"/>
  <c r="H56" i="18"/>
  <c r="G56" i="18"/>
  <c r="F56" i="18"/>
  <c r="E56" i="18"/>
  <c r="D56" i="18"/>
  <c r="C56" i="18"/>
  <c r="B56" i="18"/>
  <c r="H55" i="18"/>
  <c r="G55" i="18"/>
  <c r="F55" i="18"/>
  <c r="E55" i="18"/>
  <c r="D55" i="18"/>
  <c r="C55" i="18"/>
  <c r="B55" i="18"/>
  <c r="H53" i="18"/>
  <c r="G53" i="18"/>
  <c r="F53" i="18"/>
  <c r="E53" i="18"/>
  <c r="D53" i="18"/>
  <c r="C53" i="18"/>
  <c r="B53" i="18"/>
  <c r="H52" i="18"/>
  <c r="G52" i="18"/>
  <c r="F52" i="18"/>
  <c r="E52" i="18"/>
  <c r="D52" i="18"/>
  <c r="C52" i="18"/>
  <c r="B52" i="18"/>
  <c r="H51" i="18"/>
  <c r="G51" i="18"/>
  <c r="F51" i="18"/>
  <c r="E51" i="18"/>
  <c r="D51" i="18"/>
  <c r="C51" i="18"/>
  <c r="B51" i="18"/>
  <c r="H50" i="18"/>
  <c r="G50" i="18"/>
  <c r="F50" i="18"/>
  <c r="E50" i="18"/>
  <c r="D50" i="18"/>
  <c r="C50" i="18"/>
  <c r="B50" i="18"/>
  <c r="H49" i="18"/>
  <c r="G49" i="18"/>
  <c r="F49" i="18"/>
  <c r="E49" i="18"/>
  <c r="D49" i="18"/>
  <c r="C49" i="18"/>
  <c r="B49" i="18"/>
  <c r="H48" i="18"/>
  <c r="G48" i="18"/>
  <c r="F48" i="18"/>
  <c r="E48" i="18"/>
  <c r="D48" i="18"/>
  <c r="C48" i="18"/>
  <c r="B48" i="18"/>
  <c r="H47" i="18"/>
  <c r="G47" i="18"/>
  <c r="F47" i="18"/>
  <c r="E47" i="18"/>
  <c r="D47" i="18"/>
  <c r="C47" i="18"/>
  <c r="B47" i="18"/>
  <c r="H46" i="18"/>
  <c r="G46" i="18"/>
  <c r="F46" i="18"/>
  <c r="E46" i="18"/>
  <c r="D46" i="18"/>
  <c r="C46" i="18"/>
  <c r="B46" i="18"/>
  <c r="H45" i="18"/>
  <c r="G45" i="18"/>
  <c r="F45" i="18"/>
  <c r="E45" i="18"/>
  <c r="D45" i="18"/>
  <c r="C45" i="18"/>
  <c r="B45" i="18"/>
  <c r="H44" i="18"/>
  <c r="G44" i="18"/>
  <c r="F44" i="18"/>
  <c r="E44" i="18"/>
  <c r="D44" i="18"/>
  <c r="C44" i="18"/>
  <c r="B44" i="18"/>
  <c r="H39" i="18"/>
  <c r="G39" i="18"/>
  <c r="F39" i="18"/>
  <c r="E39" i="18"/>
  <c r="D39" i="18"/>
  <c r="C39" i="18"/>
  <c r="H38" i="18"/>
  <c r="G38" i="18"/>
  <c r="F38" i="18"/>
  <c r="E38" i="18"/>
  <c r="D38" i="18"/>
  <c r="C38" i="18"/>
  <c r="B38" i="18"/>
  <c r="H37" i="18"/>
  <c r="G37" i="18"/>
  <c r="F37" i="18"/>
  <c r="E37" i="18"/>
  <c r="D37" i="18"/>
  <c r="C37" i="18"/>
  <c r="B37" i="18"/>
  <c r="H36" i="18"/>
  <c r="G36" i="18"/>
  <c r="F36" i="18"/>
  <c r="E36" i="18"/>
  <c r="D36" i="18"/>
  <c r="C36" i="18"/>
  <c r="H35" i="18"/>
  <c r="G35" i="18"/>
  <c r="F35" i="18"/>
  <c r="E35" i="18"/>
  <c r="D35" i="18"/>
  <c r="C35" i="18"/>
  <c r="B35" i="18" a="1"/>
  <c r="B35" i="18" s="1"/>
  <c r="H34" i="18"/>
  <c r="G34" i="18"/>
  <c r="F34" i="18"/>
  <c r="E34" i="18"/>
  <c r="D34" i="18"/>
  <c r="C34" i="18"/>
  <c r="H33" i="18"/>
  <c r="G33" i="18"/>
  <c r="F33" i="18"/>
  <c r="E33" i="18"/>
  <c r="D33" i="18"/>
  <c r="C33" i="18"/>
  <c r="B33" i="18" a="1"/>
  <c r="B33" i="18" s="1"/>
  <c r="H32" i="18"/>
  <c r="G32" i="18"/>
  <c r="F32" i="18"/>
  <c r="E32" i="18"/>
  <c r="D32" i="18"/>
  <c r="C32" i="18"/>
  <c r="B32" i="18"/>
  <c r="H29" i="18"/>
  <c r="G29" i="18"/>
  <c r="F29" i="18"/>
  <c r="E29" i="18"/>
  <c r="D29" i="18"/>
  <c r="C29" i="18"/>
  <c r="H26" i="18"/>
  <c r="G26" i="18"/>
  <c r="F26" i="18"/>
  <c r="E26" i="18"/>
  <c r="D26" i="18"/>
  <c r="C26" i="18"/>
  <c r="B26" i="18"/>
  <c r="G25" i="18"/>
  <c r="H24" i="18"/>
  <c r="H25" i="18" s="1"/>
  <c r="H27" i="18" s="1"/>
  <c r="G24" i="18"/>
  <c r="F24" i="18"/>
  <c r="F25" i="18" s="1"/>
  <c r="F27" i="18" s="1"/>
  <c r="E24" i="18"/>
  <c r="E25" i="18" s="1"/>
  <c r="D24" i="18"/>
  <c r="D25" i="18" s="1"/>
  <c r="D27" i="18" s="1"/>
  <c r="C24" i="18"/>
  <c r="C25" i="18" s="1"/>
  <c r="B24" i="18"/>
  <c r="H20" i="18"/>
  <c r="G20" i="18"/>
  <c r="F20" i="18"/>
  <c r="E20" i="18"/>
  <c r="D20" i="18"/>
  <c r="C20" i="18"/>
  <c r="B20" i="18"/>
  <c r="H19" i="18"/>
  <c r="G19" i="18"/>
  <c r="F19" i="18"/>
  <c r="E19" i="18"/>
  <c r="D19" i="18"/>
  <c r="C19" i="18"/>
  <c r="B19" i="18"/>
  <c r="H18" i="18"/>
  <c r="G18" i="18"/>
  <c r="F18" i="18"/>
  <c r="E18" i="18"/>
  <c r="D18" i="18"/>
  <c r="C18" i="18"/>
  <c r="B18" i="18"/>
  <c r="H16" i="18"/>
  <c r="G16" i="18"/>
  <c r="F16" i="18"/>
  <c r="E16" i="18"/>
  <c r="D16" i="18"/>
  <c r="C16" i="18"/>
  <c r="H15" i="18"/>
  <c r="G15" i="18"/>
  <c r="F15" i="18"/>
  <c r="E15" i="18"/>
  <c r="D15" i="18"/>
  <c r="C15" i="18"/>
  <c r="H14" i="18"/>
  <c r="G14" i="18"/>
  <c r="F14" i="18"/>
  <c r="E14" i="18"/>
  <c r="D14" i="18"/>
  <c r="C14" i="18"/>
  <c r="H13" i="18"/>
  <c r="G13" i="18"/>
  <c r="F13" i="18"/>
  <c r="E13" i="18"/>
  <c r="D13" i="18"/>
  <c r="C13" i="18"/>
  <c r="H12" i="18"/>
  <c r="G12" i="18"/>
  <c r="F12" i="18"/>
  <c r="E12" i="18"/>
  <c r="D12" i="18"/>
  <c r="C12" i="18"/>
  <c r="H11" i="18"/>
  <c r="G11" i="18"/>
  <c r="F11" i="18"/>
  <c r="E11" i="18"/>
  <c r="D11" i="18"/>
  <c r="C11" i="18"/>
  <c r="H10" i="18"/>
  <c r="G10" i="18"/>
  <c r="F10" i="18"/>
  <c r="E10" i="18"/>
  <c r="D10" i="18"/>
  <c r="C10" i="18"/>
  <c r="B10" i="18" a="1"/>
  <c r="B10" i="18" s="1"/>
  <c r="H8" i="18"/>
  <c r="G8" i="18"/>
  <c r="F8" i="18"/>
  <c r="E8" i="18"/>
  <c r="D8" i="18"/>
  <c r="C8" i="18"/>
  <c r="H7" i="18"/>
  <c r="G7" i="18"/>
  <c r="F7" i="18"/>
  <c r="E7" i="18"/>
  <c r="D7" i="18"/>
  <c r="C7" i="18"/>
  <c r="D40" i="15"/>
  <c r="D37" i="15"/>
  <c r="D35" i="15"/>
  <c r="D34" i="15"/>
  <c r="D24" i="15"/>
  <c r="D18" i="15"/>
  <c r="D23" i="15" s="1"/>
  <c r="D16" i="15"/>
  <c r="G11" i="15"/>
  <c r="G12" i="15" s="1"/>
  <c r="F9" i="15"/>
  <c r="G9" i="15" s="1"/>
  <c r="H9" i="15" s="1"/>
  <c r="I9" i="15" s="1"/>
  <c r="J9" i="15" s="1"/>
  <c r="F7" i="15"/>
  <c r="G7" i="15" s="1"/>
  <c r="H7" i="15" s="1"/>
  <c r="I7" i="15" s="1"/>
  <c r="J7" i="15" s="1"/>
  <c r="E6" i="15"/>
  <c r="E8" i="15" s="1"/>
  <c r="E10" i="15" s="1"/>
  <c r="E4" i="15"/>
  <c r="F4" i="15" s="1"/>
  <c r="G4" i="15" s="1"/>
  <c r="H4" i="15" s="1"/>
  <c r="I4" i="15" s="1"/>
  <c r="J4" i="15" s="1"/>
  <c r="K58" i="14"/>
  <c r="J58" i="14"/>
  <c r="I58" i="14"/>
  <c r="H58" i="14"/>
  <c r="G58" i="14"/>
  <c r="H48" i="14"/>
  <c r="I48" i="14" s="1"/>
  <c r="J48" i="14" s="1"/>
  <c r="K48" i="14" s="1"/>
  <c r="K44" i="14"/>
  <c r="J44" i="14"/>
  <c r="I44" i="14"/>
  <c r="H44" i="14"/>
  <c r="G44" i="14"/>
  <c r="K42" i="14"/>
  <c r="J42" i="14"/>
  <c r="I42" i="14"/>
  <c r="H42" i="14"/>
  <c r="G42" i="14"/>
  <c r="K38" i="14"/>
  <c r="K47" i="14" s="1"/>
  <c r="J38" i="14"/>
  <c r="J47" i="14" s="1"/>
  <c r="I38" i="14"/>
  <c r="I47" i="14" s="1"/>
  <c r="H38" i="14"/>
  <c r="G38" i="14"/>
  <c r="K34" i="14"/>
  <c r="J34" i="14"/>
  <c r="I34" i="14"/>
  <c r="H34" i="14"/>
  <c r="G34" i="14"/>
  <c r="B34" i="14"/>
  <c r="K33" i="14"/>
  <c r="J33" i="14"/>
  <c r="I33" i="14"/>
  <c r="H33" i="14"/>
  <c r="G33" i="14"/>
  <c r="B33" i="14"/>
  <c r="K30" i="14"/>
  <c r="J30" i="14"/>
  <c r="I30" i="14"/>
  <c r="H30" i="14"/>
  <c r="G30" i="14"/>
  <c r="B30" i="14"/>
  <c r="K29" i="14"/>
  <c r="K32" i="14" s="1"/>
  <c r="K35" i="14" s="1"/>
  <c r="J29" i="14"/>
  <c r="I29" i="14"/>
  <c r="H29" i="14"/>
  <c r="G29" i="14"/>
  <c r="B29" i="14"/>
  <c r="K27" i="14"/>
  <c r="J27" i="14"/>
  <c r="I27" i="14"/>
  <c r="H27" i="14"/>
  <c r="G27" i="14"/>
  <c r="B27" i="14"/>
  <c r="K21" i="14"/>
  <c r="J21" i="14"/>
  <c r="I21" i="14"/>
  <c r="H21" i="14"/>
  <c r="G21" i="14"/>
  <c r="B21" i="14"/>
  <c r="K20" i="14"/>
  <c r="J20" i="14"/>
  <c r="I20" i="14"/>
  <c r="H20" i="14"/>
  <c r="G20" i="14"/>
  <c r="B20" i="14"/>
  <c r="K19" i="14"/>
  <c r="J19" i="14"/>
  <c r="I19" i="14"/>
  <c r="H19" i="14"/>
  <c r="G19" i="14"/>
  <c r="B19" i="14"/>
  <c r="K18" i="14"/>
  <c r="J18" i="14"/>
  <c r="I18" i="14"/>
  <c r="H18" i="14"/>
  <c r="G18" i="14"/>
  <c r="B18" i="14"/>
  <c r="K17" i="14"/>
  <c r="J17" i="14"/>
  <c r="I17" i="14"/>
  <c r="H17" i="14"/>
  <c r="G17" i="14"/>
  <c r="B17" i="14"/>
  <c r="K16" i="14"/>
  <c r="J16" i="14"/>
  <c r="I16" i="14"/>
  <c r="H16" i="14"/>
  <c r="G16" i="14"/>
  <c r="B16" i="14"/>
  <c r="K15" i="14"/>
  <c r="J15" i="14"/>
  <c r="I15" i="14"/>
  <c r="H15" i="14"/>
  <c r="G15" i="14"/>
  <c r="B15" i="14"/>
  <c r="K11" i="14"/>
  <c r="J11" i="14"/>
  <c r="I11" i="14"/>
  <c r="H11" i="14"/>
  <c r="G11" i="14"/>
  <c r="B11" i="14"/>
  <c r="K10" i="14"/>
  <c r="J10" i="14"/>
  <c r="I10" i="14"/>
  <c r="H10" i="14"/>
  <c r="G10" i="14"/>
  <c r="B10" i="14"/>
  <c r="K9" i="14"/>
  <c r="J9" i="14"/>
  <c r="I9" i="14"/>
  <c r="H9" i="14"/>
  <c r="G9" i="14"/>
  <c r="B9" i="14"/>
  <c r="K8" i="14"/>
  <c r="J8" i="14"/>
  <c r="I8" i="14"/>
  <c r="H8" i="14"/>
  <c r="G8" i="14"/>
  <c r="B8" i="14"/>
  <c r="K7" i="14"/>
  <c r="J7" i="14"/>
  <c r="I7" i="14"/>
  <c r="H7" i="14"/>
  <c r="G7" i="14"/>
  <c r="B7" i="14"/>
  <c r="K4" i="14"/>
  <c r="J4" i="14"/>
  <c r="I4" i="14"/>
  <c r="H4" i="14"/>
  <c r="G4" i="14"/>
  <c r="C36" i="13"/>
  <c r="K27" i="13"/>
  <c r="E26" i="13"/>
  <c r="G22" i="13"/>
  <c r="G21" i="13"/>
  <c r="J20" i="13"/>
  <c r="F20" i="13"/>
  <c r="E20" i="13"/>
  <c r="B20" i="13"/>
  <c r="J19" i="13"/>
  <c r="F19" i="13"/>
  <c r="E19" i="13"/>
  <c r="I19" i="13" s="1"/>
  <c r="B19" i="13"/>
  <c r="J18" i="13"/>
  <c r="F18" i="13"/>
  <c r="E18" i="13"/>
  <c r="B18" i="13"/>
  <c r="J17" i="13"/>
  <c r="F17" i="13"/>
  <c r="E17" i="13"/>
  <c r="B17" i="13"/>
  <c r="J16" i="13"/>
  <c r="F16" i="13"/>
  <c r="E16" i="13"/>
  <c r="I16" i="13" s="1"/>
  <c r="B16" i="13"/>
  <c r="J15" i="13"/>
  <c r="F15" i="13"/>
  <c r="E15" i="13"/>
  <c r="B15" i="13"/>
  <c r="J14" i="13"/>
  <c r="F14" i="13"/>
  <c r="E14" i="13"/>
  <c r="I14" i="13" s="1"/>
  <c r="B14" i="13"/>
  <c r="J13" i="13"/>
  <c r="F13" i="13"/>
  <c r="E13" i="13"/>
  <c r="B13" i="13"/>
  <c r="J12" i="13"/>
  <c r="F12" i="13"/>
  <c r="E12" i="13"/>
  <c r="B12" i="13"/>
  <c r="G11" i="13"/>
  <c r="E27" i="13" s="1"/>
  <c r="K36" i="13" s="1"/>
  <c r="F11" i="13"/>
  <c r="E11" i="13"/>
  <c r="H11" i="13" s="1"/>
  <c r="B11" i="13"/>
  <c r="B2" i="13"/>
  <c r="G46" i="12"/>
  <c r="J46" i="12" s="1"/>
  <c r="F46" i="12"/>
  <c r="E46" i="12"/>
  <c r="D46" i="12"/>
  <c r="C46" i="12"/>
  <c r="G45" i="12"/>
  <c r="F45" i="12"/>
  <c r="E45" i="12"/>
  <c r="D45" i="12"/>
  <c r="C45" i="12"/>
  <c r="G44" i="12"/>
  <c r="F44" i="12"/>
  <c r="E44" i="12"/>
  <c r="D44" i="12"/>
  <c r="C44" i="12"/>
  <c r="G35" i="12"/>
  <c r="F35" i="12"/>
  <c r="E35" i="12"/>
  <c r="D35" i="12"/>
  <c r="C35" i="12"/>
  <c r="G34" i="12"/>
  <c r="F34" i="12"/>
  <c r="E34" i="12"/>
  <c r="D34" i="12"/>
  <c r="C34" i="12"/>
  <c r="G33" i="12"/>
  <c r="G40" i="12" s="1"/>
  <c r="F33" i="12"/>
  <c r="F40" i="12" s="1"/>
  <c r="E33" i="12"/>
  <c r="E40" i="12" s="1"/>
  <c r="D33" i="12"/>
  <c r="D40" i="12" s="1"/>
  <c r="C33" i="12"/>
  <c r="J33" i="12" s="1"/>
  <c r="G32" i="12"/>
  <c r="G39" i="12" s="1"/>
  <c r="F32" i="12"/>
  <c r="F39" i="12" s="1"/>
  <c r="E32" i="12"/>
  <c r="E39" i="12" s="1"/>
  <c r="D32" i="12"/>
  <c r="D39" i="12" s="1"/>
  <c r="C32" i="12"/>
  <c r="G31" i="12"/>
  <c r="G38" i="12" s="1"/>
  <c r="F31" i="12"/>
  <c r="F38" i="12" s="1"/>
  <c r="E31" i="12"/>
  <c r="E38" i="12" s="1"/>
  <c r="D31" i="12"/>
  <c r="D38" i="12" s="1"/>
  <c r="C31" i="12"/>
  <c r="J31" i="12" s="1"/>
  <c r="G28" i="12"/>
  <c r="F28" i="12"/>
  <c r="E28" i="12"/>
  <c r="D28" i="12"/>
  <c r="C28" i="12"/>
  <c r="G26" i="12"/>
  <c r="F26" i="12"/>
  <c r="E26" i="12"/>
  <c r="D26" i="12"/>
  <c r="D27" i="12" s="1"/>
  <c r="C26" i="12"/>
  <c r="G25" i="12"/>
  <c r="F25" i="12"/>
  <c r="E25" i="12"/>
  <c r="D25" i="12"/>
  <c r="C25" i="12"/>
  <c r="J25" i="12" s="1"/>
  <c r="G24" i="12"/>
  <c r="F24" i="12"/>
  <c r="E24" i="12"/>
  <c r="J24" i="12" s="1"/>
  <c r="D24" i="12"/>
  <c r="C24" i="12"/>
  <c r="C21" i="12"/>
  <c r="G20" i="12"/>
  <c r="F20" i="12"/>
  <c r="E20" i="12"/>
  <c r="D20" i="12"/>
  <c r="C20" i="12"/>
  <c r="G19" i="12"/>
  <c r="F19" i="12"/>
  <c r="E19" i="12"/>
  <c r="D19" i="12"/>
  <c r="C19" i="12"/>
  <c r="I19" i="12" s="1"/>
  <c r="G16" i="12"/>
  <c r="F16" i="12"/>
  <c r="E16" i="12"/>
  <c r="D16" i="12"/>
  <c r="C16" i="12"/>
  <c r="G15" i="12"/>
  <c r="F15" i="12"/>
  <c r="E15" i="12"/>
  <c r="D15" i="12"/>
  <c r="C15" i="12"/>
  <c r="J15" i="12" s="1"/>
  <c r="G14" i="12"/>
  <c r="G21" i="12" s="1"/>
  <c r="F14" i="12"/>
  <c r="F21" i="12" s="1"/>
  <c r="E14" i="12"/>
  <c r="E21" i="12" s="1"/>
  <c r="D14" i="12"/>
  <c r="D21" i="12" s="1"/>
  <c r="C14" i="12"/>
  <c r="G13" i="12"/>
  <c r="F13" i="12"/>
  <c r="E13" i="12"/>
  <c r="D13" i="12"/>
  <c r="C13" i="12"/>
  <c r="J13" i="12" s="1"/>
  <c r="G12" i="12"/>
  <c r="F12" i="12"/>
  <c r="E12" i="12"/>
  <c r="D12" i="12"/>
  <c r="J12" i="12" s="1"/>
  <c r="C12" i="12"/>
  <c r="G9" i="12"/>
  <c r="F9" i="12"/>
  <c r="E9" i="12"/>
  <c r="D9" i="12"/>
  <c r="G8" i="12"/>
  <c r="F8" i="12"/>
  <c r="E8" i="12"/>
  <c r="D8" i="12"/>
  <c r="G7" i="12"/>
  <c r="F7" i="12"/>
  <c r="E7" i="12"/>
  <c r="D7" i="12"/>
  <c r="G6" i="12"/>
  <c r="F6" i="12"/>
  <c r="E6" i="12"/>
  <c r="D6" i="12"/>
  <c r="G5" i="12"/>
  <c r="F5" i="12"/>
  <c r="E5" i="12"/>
  <c r="D5" i="12"/>
  <c r="G3" i="12"/>
  <c r="F3" i="12"/>
  <c r="E3" i="12"/>
  <c r="D3" i="12"/>
  <c r="C3" i="12"/>
  <c r="B2" i="12"/>
  <c r="H119" i="11"/>
  <c r="G119" i="11"/>
  <c r="F119" i="11"/>
  <c r="E119" i="11"/>
  <c r="D119" i="11"/>
  <c r="C119" i="11"/>
  <c r="B119" i="11"/>
  <c r="H118" i="11"/>
  <c r="G118" i="11"/>
  <c r="F118" i="11"/>
  <c r="E118" i="11"/>
  <c r="D118" i="11"/>
  <c r="C118" i="11"/>
  <c r="B118" i="11"/>
  <c r="H117" i="11"/>
  <c r="G117" i="11"/>
  <c r="F117" i="11"/>
  <c r="E117" i="11"/>
  <c r="D117" i="11"/>
  <c r="C117" i="11"/>
  <c r="B117" i="11"/>
  <c r="H116" i="11"/>
  <c r="G116" i="11"/>
  <c r="F116" i="11"/>
  <c r="E116" i="11"/>
  <c r="D116" i="11"/>
  <c r="C116" i="11"/>
  <c r="B116" i="11"/>
  <c r="H115" i="11"/>
  <c r="G115" i="11"/>
  <c r="F115" i="11"/>
  <c r="E115" i="11"/>
  <c r="D115" i="11"/>
  <c r="C115" i="11"/>
  <c r="B115" i="11"/>
  <c r="H114" i="11"/>
  <c r="G114" i="11"/>
  <c r="F114" i="11"/>
  <c r="F113" i="11" s="1"/>
  <c r="E114" i="11"/>
  <c r="E113" i="11" s="1"/>
  <c r="D114" i="11"/>
  <c r="C114" i="11"/>
  <c r="C113" i="11" s="1"/>
  <c r="B114" i="11"/>
  <c r="H113" i="11"/>
  <c r="B113" i="11"/>
  <c r="H112" i="11"/>
  <c r="G112" i="11"/>
  <c r="F112" i="11"/>
  <c r="E112" i="11"/>
  <c r="D112" i="11"/>
  <c r="C112" i="11"/>
  <c r="B112" i="11"/>
  <c r="H111" i="11"/>
  <c r="G111" i="11"/>
  <c r="F111" i="11"/>
  <c r="E111" i="11"/>
  <c r="D111" i="11"/>
  <c r="D110" i="11" s="1"/>
  <c r="C111" i="11"/>
  <c r="C110" i="11" s="1"/>
  <c r="B111" i="11"/>
  <c r="H110" i="11"/>
  <c r="B110" i="11"/>
  <c r="H106" i="11"/>
  <c r="G106" i="11"/>
  <c r="F106" i="11"/>
  <c r="E106" i="11"/>
  <c r="D106" i="11"/>
  <c r="C106" i="11"/>
  <c r="B106" i="11"/>
  <c r="H105" i="11"/>
  <c r="G105" i="11"/>
  <c r="F105" i="11"/>
  <c r="E105" i="11"/>
  <c r="D105" i="11"/>
  <c r="C105" i="11"/>
  <c r="B105" i="11"/>
  <c r="H104" i="11"/>
  <c r="G104" i="11"/>
  <c r="F104" i="11"/>
  <c r="E104" i="11"/>
  <c r="D104" i="11"/>
  <c r="C104" i="11"/>
  <c r="B104" i="11"/>
  <c r="H103" i="11"/>
  <c r="G103" i="11"/>
  <c r="F103" i="11"/>
  <c r="E103" i="11"/>
  <c r="D103" i="11"/>
  <c r="C103" i="11"/>
  <c r="B103" i="11"/>
  <c r="H102" i="11"/>
  <c r="G102" i="11"/>
  <c r="F102" i="11"/>
  <c r="E102" i="11"/>
  <c r="D102" i="11"/>
  <c r="C102" i="11"/>
  <c r="B102" i="11"/>
  <c r="H101" i="11"/>
  <c r="G101" i="11"/>
  <c r="F101" i="11"/>
  <c r="E101" i="11"/>
  <c r="D101" i="11"/>
  <c r="C101" i="11"/>
  <c r="B101" i="11"/>
  <c r="H97" i="11"/>
  <c r="G97" i="11"/>
  <c r="F97" i="11"/>
  <c r="E97" i="11"/>
  <c r="D97" i="11"/>
  <c r="C97" i="11"/>
  <c r="B97" i="11"/>
  <c r="H96" i="11"/>
  <c r="G96" i="11"/>
  <c r="F96" i="11"/>
  <c r="E96" i="11"/>
  <c r="D96" i="11"/>
  <c r="C96" i="11"/>
  <c r="B96" i="11"/>
  <c r="H95" i="11"/>
  <c r="G95" i="11"/>
  <c r="F95" i="11"/>
  <c r="E95" i="11"/>
  <c r="D95" i="11"/>
  <c r="C95" i="11"/>
  <c r="B95" i="11"/>
  <c r="H94" i="11"/>
  <c r="G94" i="11"/>
  <c r="F94" i="11"/>
  <c r="E94" i="11"/>
  <c r="D94" i="11"/>
  <c r="C94" i="11"/>
  <c r="B94" i="11"/>
  <c r="H93" i="11"/>
  <c r="G93" i="11"/>
  <c r="F93" i="11"/>
  <c r="E93" i="11"/>
  <c r="D93" i="11"/>
  <c r="C93" i="11"/>
  <c r="B93" i="11"/>
  <c r="H92" i="11"/>
  <c r="G92" i="11"/>
  <c r="F92" i="11"/>
  <c r="E92" i="11"/>
  <c r="D92" i="11"/>
  <c r="C92" i="11"/>
  <c r="B92" i="11"/>
  <c r="H91" i="11"/>
  <c r="G91" i="11"/>
  <c r="F91" i="11"/>
  <c r="E91" i="11"/>
  <c r="D91" i="11"/>
  <c r="C91" i="11"/>
  <c r="B91" i="11"/>
  <c r="H90" i="11"/>
  <c r="G90" i="11"/>
  <c r="F90" i="11"/>
  <c r="E90" i="11"/>
  <c r="D90" i="11"/>
  <c r="C90" i="11"/>
  <c r="B90" i="11"/>
  <c r="H89" i="11"/>
  <c r="G89" i="11"/>
  <c r="F89" i="11"/>
  <c r="E89" i="11"/>
  <c r="D89" i="11"/>
  <c r="C89" i="11"/>
  <c r="B89" i="11"/>
  <c r="H82" i="11"/>
  <c r="G82" i="11"/>
  <c r="F82" i="11"/>
  <c r="E82" i="11"/>
  <c r="D82" i="11"/>
  <c r="C82" i="11"/>
  <c r="B82" i="11"/>
  <c r="H81" i="11"/>
  <c r="G81" i="11"/>
  <c r="F81" i="11"/>
  <c r="E81" i="11"/>
  <c r="D81" i="11"/>
  <c r="C81" i="11"/>
  <c r="B81" i="11"/>
  <c r="H80" i="11"/>
  <c r="G80" i="11"/>
  <c r="F80" i="11"/>
  <c r="E80" i="11"/>
  <c r="D80" i="11"/>
  <c r="C80" i="11"/>
  <c r="B80" i="11"/>
  <c r="H79" i="11"/>
  <c r="G79" i="11"/>
  <c r="G77" i="11" s="1"/>
  <c r="F79" i="11"/>
  <c r="E79" i="11"/>
  <c r="D79" i="11"/>
  <c r="C79" i="11"/>
  <c r="B79" i="11"/>
  <c r="H78" i="11"/>
  <c r="G78" i="11"/>
  <c r="F78" i="11"/>
  <c r="E78" i="11"/>
  <c r="E77" i="11" s="1"/>
  <c r="D78" i="11"/>
  <c r="C78" i="11"/>
  <c r="B78" i="11"/>
  <c r="F77" i="11"/>
  <c r="H76" i="11"/>
  <c r="G76" i="11"/>
  <c r="F76" i="11"/>
  <c r="E76" i="11"/>
  <c r="D76" i="11"/>
  <c r="C76" i="11"/>
  <c r="B76" i="11"/>
  <c r="H75" i="11"/>
  <c r="G75" i="11"/>
  <c r="F75" i="11"/>
  <c r="E75" i="11"/>
  <c r="D75" i="11"/>
  <c r="C75" i="11"/>
  <c r="B75" i="11"/>
  <c r="H74" i="11"/>
  <c r="G74" i="11"/>
  <c r="F74" i="11"/>
  <c r="E74" i="11"/>
  <c r="D74" i="11"/>
  <c r="C74" i="11"/>
  <c r="B74" i="11"/>
  <c r="H73" i="11"/>
  <c r="G73" i="11"/>
  <c r="F73" i="11"/>
  <c r="E73" i="11"/>
  <c r="D73" i="11"/>
  <c r="C73" i="11"/>
  <c r="B73" i="11"/>
  <c r="H72" i="11"/>
  <c r="G72" i="11"/>
  <c r="F72" i="11"/>
  <c r="E72" i="11"/>
  <c r="D72" i="11"/>
  <c r="C72" i="11"/>
  <c r="B72" i="11"/>
  <c r="H71" i="11"/>
  <c r="G71" i="11"/>
  <c r="F71" i="11"/>
  <c r="E71" i="11"/>
  <c r="D71" i="11"/>
  <c r="C71" i="11"/>
  <c r="B71" i="11"/>
  <c r="B68" i="11"/>
  <c r="H67" i="11"/>
  <c r="G67" i="11"/>
  <c r="F67" i="11"/>
  <c r="E67" i="11"/>
  <c r="D67" i="11"/>
  <c r="C67" i="11"/>
  <c r="B67" i="11"/>
  <c r="H66" i="11"/>
  <c r="G66" i="11"/>
  <c r="F66" i="11"/>
  <c r="E66" i="11"/>
  <c r="D66" i="11"/>
  <c r="C66" i="11"/>
  <c r="B66" i="11"/>
  <c r="H65" i="11"/>
  <c r="G65" i="11"/>
  <c r="G64" i="11" s="1"/>
  <c r="F65" i="11"/>
  <c r="E65" i="11"/>
  <c r="D65" i="11"/>
  <c r="C65" i="11"/>
  <c r="B65" i="11"/>
  <c r="B64" i="11"/>
  <c r="H63" i="11"/>
  <c r="G63" i="11"/>
  <c r="F63" i="11"/>
  <c r="E63" i="11"/>
  <c r="D63" i="11"/>
  <c r="C63" i="11"/>
  <c r="B63" i="11"/>
  <c r="H62" i="11"/>
  <c r="G62" i="11"/>
  <c r="F62" i="11"/>
  <c r="E62" i="11"/>
  <c r="D62" i="11"/>
  <c r="C62" i="11"/>
  <c r="B62" i="11"/>
  <c r="H61" i="11"/>
  <c r="G61" i="11"/>
  <c r="F61" i="11"/>
  <c r="E61" i="11"/>
  <c r="D61" i="11"/>
  <c r="C61" i="11"/>
  <c r="B61" i="11"/>
  <c r="H60" i="11"/>
  <c r="G60" i="11"/>
  <c r="F60" i="11"/>
  <c r="E60" i="11"/>
  <c r="D60" i="11"/>
  <c r="C60" i="11"/>
  <c r="B60" i="11"/>
  <c r="H59" i="11"/>
  <c r="G59" i="11"/>
  <c r="F59" i="11"/>
  <c r="E59" i="11"/>
  <c r="D59" i="11"/>
  <c r="C59" i="11"/>
  <c r="B59" i="11"/>
  <c r="H58" i="11"/>
  <c r="G58" i="11"/>
  <c r="F58" i="11"/>
  <c r="E58" i="11"/>
  <c r="D58" i="11"/>
  <c r="C58" i="11"/>
  <c r="B58" i="11"/>
  <c r="H57" i="11"/>
  <c r="G57" i="11"/>
  <c r="F57" i="11"/>
  <c r="E57" i="11"/>
  <c r="D57" i="11"/>
  <c r="C57" i="11"/>
  <c r="B57" i="11"/>
  <c r="B56" i="11"/>
  <c r="H55" i="11"/>
  <c r="G55" i="11"/>
  <c r="F55" i="11"/>
  <c r="E55" i="11"/>
  <c r="D55" i="11"/>
  <c r="C55" i="11"/>
  <c r="B55" i="11"/>
  <c r="H54" i="11"/>
  <c r="G54" i="11"/>
  <c r="F54" i="11"/>
  <c r="E54" i="11"/>
  <c r="D54" i="11"/>
  <c r="C54" i="11"/>
  <c r="B54" i="11"/>
  <c r="H53" i="11"/>
  <c r="G53" i="11"/>
  <c r="F53" i="11"/>
  <c r="E53" i="11"/>
  <c r="D53" i="11"/>
  <c r="C53" i="11"/>
  <c r="B53" i="11"/>
  <c r="H52" i="11"/>
  <c r="G52" i="11"/>
  <c r="F52" i="11"/>
  <c r="E52" i="11"/>
  <c r="D52" i="11"/>
  <c r="C52" i="11"/>
  <c r="B52" i="11"/>
  <c r="H51" i="11"/>
  <c r="G51" i="11"/>
  <c r="F51" i="11"/>
  <c r="E51" i="11"/>
  <c r="D51" i="11"/>
  <c r="C51" i="11"/>
  <c r="B51" i="11"/>
  <c r="H50" i="11"/>
  <c r="G50" i="11"/>
  <c r="F50" i="11"/>
  <c r="E50" i="11"/>
  <c r="D50" i="11"/>
  <c r="C50" i="11"/>
  <c r="B50" i="11"/>
  <c r="H49" i="11"/>
  <c r="G49" i="11"/>
  <c r="F49" i="11"/>
  <c r="E49" i="11"/>
  <c r="D49" i="11"/>
  <c r="C49" i="11"/>
  <c r="B49" i="11"/>
  <c r="H46" i="11"/>
  <c r="G46" i="11"/>
  <c r="F46" i="11"/>
  <c r="E46" i="11"/>
  <c r="D46" i="11"/>
  <c r="C46" i="11"/>
  <c r="H45" i="11"/>
  <c r="G45" i="11"/>
  <c r="F45" i="11"/>
  <c r="E45" i="11"/>
  <c r="D45" i="11"/>
  <c r="C45" i="11"/>
  <c r="H42" i="11"/>
  <c r="G42" i="11"/>
  <c r="F42" i="11"/>
  <c r="E42" i="11"/>
  <c r="E43" i="11" s="1"/>
  <c r="D42" i="11"/>
  <c r="C42" i="11"/>
  <c r="H39" i="11"/>
  <c r="G39" i="11"/>
  <c r="F39" i="11"/>
  <c r="E39" i="11"/>
  <c r="D39" i="11"/>
  <c r="C39" i="11"/>
  <c r="C40" i="11" s="1"/>
  <c r="H36" i="11"/>
  <c r="G36" i="11"/>
  <c r="G37" i="11" s="1"/>
  <c r="F36" i="11"/>
  <c r="F37" i="11" s="1"/>
  <c r="E36" i="11"/>
  <c r="E37" i="11" s="1"/>
  <c r="D36" i="11"/>
  <c r="D37" i="11" s="1"/>
  <c r="C36" i="11"/>
  <c r="C37" i="11" s="1"/>
  <c r="H33" i="11"/>
  <c r="G33" i="11"/>
  <c r="G34" i="11" s="1"/>
  <c r="F33" i="11"/>
  <c r="F34" i="11" s="1"/>
  <c r="E33" i="11"/>
  <c r="D33" i="11"/>
  <c r="C33" i="11"/>
  <c r="H30" i="11"/>
  <c r="G30" i="11"/>
  <c r="G31" i="11" s="1"/>
  <c r="F30" i="11"/>
  <c r="E30" i="11"/>
  <c r="D30" i="11"/>
  <c r="C30" i="11"/>
  <c r="H27" i="11"/>
  <c r="G27" i="11"/>
  <c r="F27" i="11"/>
  <c r="E27" i="11"/>
  <c r="D27" i="11"/>
  <c r="C27" i="11"/>
  <c r="H21" i="11"/>
  <c r="G21" i="11"/>
  <c r="F21" i="11"/>
  <c r="F22" i="11" s="1"/>
  <c r="E21" i="11"/>
  <c r="D21" i="11"/>
  <c r="D22" i="11" s="1"/>
  <c r="C21" i="11"/>
  <c r="H18" i="11"/>
  <c r="G18" i="11"/>
  <c r="F18" i="11"/>
  <c r="E18" i="11"/>
  <c r="D18" i="11"/>
  <c r="C18" i="11"/>
  <c r="C19" i="11" s="1"/>
  <c r="B18" i="11"/>
  <c r="H15" i="11"/>
  <c r="G15" i="11"/>
  <c r="F15" i="11"/>
  <c r="E15" i="11"/>
  <c r="D15" i="11"/>
  <c r="C15" i="11"/>
  <c r="H12" i="11"/>
  <c r="G12" i="11"/>
  <c r="F12" i="11"/>
  <c r="F13" i="11" s="1"/>
  <c r="E12" i="11"/>
  <c r="E13" i="11" s="1"/>
  <c r="D12" i="11"/>
  <c r="C12" i="11"/>
  <c r="H9" i="11"/>
  <c r="G9" i="11"/>
  <c r="G10" i="11" s="1"/>
  <c r="F9" i="11"/>
  <c r="F10" i="11" s="1"/>
  <c r="E9" i="11"/>
  <c r="D9" i="11"/>
  <c r="C9" i="11"/>
  <c r="H6" i="11"/>
  <c r="G6" i="11"/>
  <c r="F6" i="11"/>
  <c r="F16" i="11" s="1"/>
  <c r="E6" i="11"/>
  <c r="E40" i="11" s="1"/>
  <c r="D6" i="11"/>
  <c r="C6" i="11"/>
  <c r="C25" i="11" s="1"/>
  <c r="G3" i="11"/>
  <c r="F3" i="11"/>
  <c r="E3" i="11"/>
  <c r="D3" i="11"/>
  <c r="C3" i="11"/>
  <c r="B2" i="11"/>
  <c r="H22" i="14" l="1"/>
  <c r="J32" i="14"/>
  <c r="C21" i="18"/>
  <c r="C28" i="11"/>
  <c r="J8" i="12"/>
  <c r="C35" i="13"/>
  <c r="C37" i="13" s="1"/>
  <c r="D36" i="13" s="1"/>
  <c r="D21" i="18"/>
  <c r="C27" i="18"/>
  <c r="J5" i="12"/>
  <c r="E21" i="18"/>
  <c r="H10" i="11"/>
  <c r="H31" i="11"/>
  <c r="H64" i="11"/>
  <c r="H19" i="11"/>
  <c r="F28" i="11"/>
  <c r="C56" i="11"/>
  <c r="D113" i="11"/>
  <c r="D120" i="11" s="1"/>
  <c r="I6" i="12"/>
  <c r="I15" i="13"/>
  <c r="I20" i="13"/>
  <c r="F21" i="18"/>
  <c r="E27" i="18"/>
  <c r="I35" i="12"/>
  <c r="H18" i="13"/>
  <c r="K18" i="13" s="1"/>
  <c r="C22" i="11"/>
  <c r="H28" i="11"/>
  <c r="H40" i="11"/>
  <c r="C120" i="11"/>
  <c r="G13" i="11"/>
  <c r="G28" i="11"/>
  <c r="G27" i="18"/>
  <c r="E22" i="11"/>
  <c r="H13" i="11"/>
  <c r="H37" i="11"/>
  <c r="E110" i="11"/>
  <c r="E10" i="11"/>
  <c r="G22" i="11"/>
  <c r="D43" i="11"/>
  <c r="C70" i="11"/>
  <c r="H77" i="11"/>
  <c r="C98" i="11"/>
  <c r="F110" i="11"/>
  <c r="F27" i="12"/>
  <c r="H32" i="14"/>
  <c r="H35" i="14" s="1"/>
  <c r="G21" i="18"/>
  <c r="E27" i="12"/>
  <c r="J27" i="12" s="1"/>
  <c r="H22" i="11"/>
  <c r="F31" i="11"/>
  <c r="D70" i="11"/>
  <c r="I20" i="12"/>
  <c r="G27" i="12"/>
  <c r="K12" i="14"/>
  <c r="I22" i="14"/>
  <c r="H21" i="18"/>
  <c r="F12" i="15"/>
  <c r="J49" i="14"/>
  <c r="K49" i="14"/>
  <c r="J22" i="14"/>
  <c r="J35" i="14"/>
  <c r="K22" i="14"/>
  <c r="K24" i="14" s="1"/>
  <c r="G22" i="14"/>
  <c r="I32" i="14"/>
  <c r="I35" i="14" s="1"/>
  <c r="I12" i="14"/>
  <c r="I24" i="14" s="1"/>
  <c r="G12" i="14"/>
  <c r="G24" i="14" s="1"/>
  <c r="J12" i="14"/>
  <c r="H12" i="14"/>
  <c r="H24" i="14" s="1"/>
  <c r="G32" i="14"/>
  <c r="G35" i="14" s="1"/>
  <c r="I17" i="13"/>
  <c r="J21" i="13"/>
  <c r="H20" i="13"/>
  <c r="K20" i="13" s="1"/>
  <c r="I13" i="13"/>
  <c r="I11" i="13"/>
  <c r="H12" i="13"/>
  <c r="K12" i="13" s="1"/>
  <c r="H17" i="13"/>
  <c r="K17" i="13" s="1"/>
  <c r="E28" i="13"/>
  <c r="J42" i="13" s="1"/>
  <c r="J20" i="12"/>
  <c r="I24" i="12"/>
  <c r="J7" i="12"/>
  <c r="I28" i="12"/>
  <c r="I5" i="12"/>
  <c r="C27" i="12"/>
  <c r="J45" i="12"/>
  <c r="I13" i="12"/>
  <c r="J6" i="12"/>
  <c r="J9" i="12"/>
  <c r="I25" i="12"/>
  <c r="J28" i="12"/>
  <c r="J32" i="12"/>
  <c r="J34" i="12"/>
  <c r="J44" i="12"/>
  <c r="I46" i="12"/>
  <c r="J14" i="12"/>
  <c r="J16" i="12"/>
  <c r="J19" i="12"/>
  <c r="H11" i="15"/>
  <c r="F6" i="15"/>
  <c r="H37" i="14"/>
  <c r="H40" i="14" s="1"/>
  <c r="H61" i="14" s="1"/>
  <c r="I49" i="14"/>
  <c r="G47" i="14"/>
  <c r="G49" i="14" s="1"/>
  <c r="H47" i="14"/>
  <c r="H49" i="14" s="1"/>
  <c r="J22" i="13"/>
  <c r="I18" i="13"/>
  <c r="H13" i="13"/>
  <c r="K13" i="13" s="1"/>
  <c r="H16" i="13"/>
  <c r="K16" i="13" s="1"/>
  <c r="I12" i="13"/>
  <c r="H14" i="13"/>
  <c r="D35" i="13"/>
  <c r="H19" i="13"/>
  <c r="K19" i="13" s="1"/>
  <c r="H15" i="13"/>
  <c r="K15" i="13" s="1"/>
  <c r="D41" i="12"/>
  <c r="E41" i="12"/>
  <c r="F41" i="12"/>
  <c r="J21" i="12"/>
  <c r="G41" i="12"/>
  <c r="I21" i="12"/>
  <c r="J35" i="12"/>
  <c r="I12" i="12"/>
  <c r="I26" i="12"/>
  <c r="I7" i="12"/>
  <c r="I15" i="12"/>
  <c r="J26" i="12"/>
  <c r="I31" i="12"/>
  <c r="C38" i="12"/>
  <c r="I45" i="12"/>
  <c r="I34" i="12"/>
  <c r="I9" i="12"/>
  <c r="I14" i="12"/>
  <c r="I44" i="12"/>
  <c r="I33" i="12"/>
  <c r="C40" i="12"/>
  <c r="I8" i="12"/>
  <c r="I16" i="12"/>
  <c r="I32" i="12"/>
  <c r="C39" i="12"/>
  <c r="F120" i="11"/>
  <c r="H34" i="11"/>
  <c r="G113" i="11"/>
  <c r="G70" i="11"/>
  <c r="G83" i="11" s="1"/>
  <c r="G98" i="11"/>
  <c r="H70" i="11"/>
  <c r="H98" i="11"/>
  <c r="E107" i="11"/>
  <c r="H120" i="11"/>
  <c r="F98" i="11"/>
  <c r="D98" i="11"/>
  <c r="C16" i="11"/>
  <c r="E98" i="11"/>
  <c r="D28" i="11"/>
  <c r="C31" i="11"/>
  <c r="F70" i="11"/>
  <c r="F83" i="11" s="1"/>
  <c r="D107" i="11"/>
  <c r="G110" i="11"/>
  <c r="C34" i="11"/>
  <c r="F43" i="11"/>
  <c r="C77" i="11"/>
  <c r="G7" i="11"/>
  <c r="C13" i="11"/>
  <c r="D34" i="11"/>
  <c r="G43" i="11"/>
  <c r="C64" i="11"/>
  <c r="D77" i="11"/>
  <c r="F107" i="11"/>
  <c r="H7" i="11"/>
  <c r="D13" i="11"/>
  <c r="F19" i="11"/>
  <c r="E34" i="11"/>
  <c r="H43" i="11"/>
  <c r="F56" i="11"/>
  <c r="E56" i="11"/>
  <c r="D56" i="11"/>
  <c r="D64" i="11"/>
  <c r="G107" i="11"/>
  <c r="C10" i="11"/>
  <c r="G19" i="11"/>
  <c r="D31" i="11"/>
  <c r="G56" i="11"/>
  <c r="G68" i="11" s="1"/>
  <c r="E64" i="11"/>
  <c r="H107" i="11"/>
  <c r="E120" i="11"/>
  <c r="E70" i="11"/>
  <c r="E83" i="11" s="1"/>
  <c r="C107" i="11"/>
  <c r="D10" i="11"/>
  <c r="E31" i="11"/>
  <c r="H56" i="11"/>
  <c r="H68" i="11" s="1"/>
  <c r="F64" i="11"/>
  <c r="F122" i="11"/>
  <c r="E25" i="11"/>
  <c r="E16" i="11"/>
  <c r="D40" i="11"/>
  <c r="F40" i="11"/>
  <c r="D25" i="11"/>
  <c r="G16" i="11"/>
  <c r="F25" i="11"/>
  <c r="D7" i="11"/>
  <c r="H16" i="11"/>
  <c r="E19" i="11"/>
  <c r="G25" i="11"/>
  <c r="E28" i="11"/>
  <c r="F7" i="11"/>
  <c r="G40" i="11"/>
  <c r="E7" i="11"/>
  <c r="H25" i="11"/>
  <c r="D16" i="11"/>
  <c r="D19" i="11"/>
  <c r="C122" i="11" l="1"/>
  <c r="C83" i="11"/>
  <c r="D83" i="11"/>
  <c r="C68" i="11"/>
  <c r="C85" i="11" s="1"/>
  <c r="H83" i="11"/>
  <c r="H85" i="11" s="1"/>
  <c r="J24" i="14"/>
  <c r="J45" i="14" s="1"/>
  <c r="J51" i="14" s="1"/>
  <c r="J53" i="14" s="1"/>
  <c r="J60" i="14" s="1"/>
  <c r="G37" i="14"/>
  <c r="G40" i="14" s="1"/>
  <c r="F68" i="11"/>
  <c r="I27" i="12"/>
  <c r="I45" i="14"/>
  <c r="I51" i="14" s="1"/>
  <c r="I53" i="14" s="1"/>
  <c r="I60" i="14" s="1"/>
  <c r="I63" i="14" s="1"/>
  <c r="E68" i="11"/>
  <c r="E85" i="11" s="1"/>
  <c r="I37" i="14"/>
  <c r="I40" i="14" s="1"/>
  <c r="I61" i="14" s="1"/>
  <c r="K37" i="14"/>
  <c r="K40" i="14" s="1"/>
  <c r="K61" i="14" s="1"/>
  <c r="H45" i="14"/>
  <c r="H51" i="14" s="1"/>
  <c r="H53" i="14" s="1"/>
  <c r="H22" i="13"/>
  <c r="G120" i="11"/>
  <c r="G122" i="11" s="1"/>
  <c r="D68" i="11"/>
  <c r="D85" i="11" s="1"/>
  <c r="F8" i="15"/>
  <c r="F10" i="15" s="1"/>
  <c r="F14" i="15" s="1"/>
  <c r="G6" i="15"/>
  <c r="H12" i="15"/>
  <c r="I11" i="15"/>
  <c r="D37" i="13"/>
  <c r="E37" i="13" s="1"/>
  <c r="D39" i="13"/>
  <c r="K14" i="13"/>
  <c r="H21" i="13"/>
  <c r="K21" i="13"/>
  <c r="K22" i="13"/>
  <c r="K34" i="13" s="1"/>
  <c r="I21" i="13"/>
  <c r="E35" i="13" s="1"/>
  <c r="I22" i="13"/>
  <c r="J38" i="12"/>
  <c r="I38" i="12"/>
  <c r="J40" i="12"/>
  <c r="I40" i="12"/>
  <c r="J39" i="12"/>
  <c r="I39" i="12"/>
  <c r="C41" i="12"/>
  <c r="F85" i="11"/>
  <c r="H122" i="11"/>
  <c r="E122" i="11"/>
  <c r="D122" i="11"/>
  <c r="G85" i="11"/>
  <c r="K45" i="14" l="1"/>
  <c r="K51" i="14" s="1"/>
  <c r="K53" i="14" s="1"/>
  <c r="K60" i="14" s="1"/>
  <c r="K63" i="14" s="1"/>
  <c r="J37" i="14"/>
  <c r="J40" i="14" s="1"/>
  <c r="J61" i="14" s="1"/>
  <c r="J63" i="14" s="1"/>
  <c r="I12" i="15"/>
  <c r="J11" i="15"/>
  <c r="J12" i="15" s="1"/>
  <c r="G8" i="15"/>
  <c r="G10" i="15" s="1"/>
  <c r="G14" i="15" s="1"/>
  <c r="H6" i="15"/>
  <c r="K55" i="14"/>
  <c r="H60" i="14"/>
  <c r="H63" i="14" s="1"/>
  <c r="K56" i="14"/>
  <c r="K42" i="13"/>
  <c r="E36" i="13"/>
  <c r="K43" i="13" s="1"/>
  <c r="J41" i="12"/>
  <c r="I41" i="12"/>
  <c r="H8" i="15" l="1"/>
  <c r="H10" i="15" s="1"/>
  <c r="H14" i="15" s="1"/>
  <c r="I6" i="15"/>
  <c r="K66" i="14"/>
  <c r="K65" i="14"/>
  <c r="E39" i="13"/>
  <c r="K35" i="13" s="1"/>
  <c r="K37" i="13" s="1"/>
  <c r="K28" i="13" s="1"/>
  <c r="K29" i="13" s="1"/>
  <c r="J43" i="13" s="1"/>
  <c r="K44" i="13" s="1"/>
  <c r="I8" i="15" l="1"/>
  <c r="I10" i="15" s="1"/>
  <c r="I14" i="15" s="1"/>
  <c r="J6" i="15"/>
  <c r="J8" i="15" s="1"/>
  <c r="J10" i="15" s="1"/>
  <c r="D22" i="15" l="1"/>
  <c r="D26" i="15" s="1"/>
  <c r="D31" i="15" s="1"/>
  <c r="J14" i="15"/>
  <c r="D30" i="15" s="1"/>
  <c r="D32" i="15" l="1"/>
  <c r="D36" i="15" s="1"/>
  <c r="D38" i="15" s="1"/>
  <c r="D41" i="15" s="1"/>
  <c r="E6" i="8"/>
  <c r="E21" i="8" s="1"/>
  <c r="I25" i="7"/>
  <c r="J25" i="7" s="1"/>
  <c r="G25" i="7"/>
  <c r="C23" i="7"/>
  <c r="B23" i="7"/>
  <c r="C22" i="7"/>
  <c r="B22" i="7"/>
  <c r="I21" i="7"/>
  <c r="C21" i="7"/>
  <c r="B21" i="7"/>
  <c r="F6" i="7"/>
  <c r="F8" i="7" s="1"/>
  <c r="F10" i="7" s="1"/>
  <c r="I22" i="7" s="1"/>
  <c r="K269" i="4"/>
  <c r="J269" i="4"/>
  <c r="I269" i="4"/>
  <c r="H269" i="4"/>
  <c r="G269" i="4"/>
  <c r="K266" i="4"/>
  <c r="J266" i="4"/>
  <c r="I266" i="4"/>
  <c r="H266" i="4"/>
  <c r="G266" i="4"/>
  <c r="K263" i="4"/>
  <c r="J263" i="4"/>
  <c r="I263" i="4"/>
  <c r="H263" i="4"/>
  <c r="G263" i="4"/>
  <c r="F259" i="4"/>
  <c r="D257" i="4"/>
  <c r="E257" i="4" s="1"/>
  <c r="F257" i="4" s="1"/>
  <c r="G257" i="4" s="1"/>
  <c r="H257" i="4" s="1"/>
  <c r="I257" i="4" s="1"/>
  <c r="J257" i="4" s="1"/>
  <c r="K257" i="4" s="1"/>
  <c r="K230" i="4"/>
  <c r="J230" i="4"/>
  <c r="I230" i="4"/>
  <c r="H230" i="4"/>
  <c r="K221" i="4"/>
  <c r="J221" i="4"/>
  <c r="I221" i="4"/>
  <c r="H221" i="4"/>
  <c r="G218" i="4"/>
  <c r="F209" i="4"/>
  <c r="K208" i="4"/>
  <c r="J208" i="4"/>
  <c r="I208" i="4"/>
  <c r="H208" i="4"/>
  <c r="G208" i="4"/>
  <c r="D205" i="4"/>
  <c r="E205" i="4" s="1"/>
  <c r="F205" i="4" s="1"/>
  <c r="G205" i="4" s="1"/>
  <c r="H205" i="4" s="1"/>
  <c r="I205" i="4" s="1"/>
  <c r="J205" i="4" s="1"/>
  <c r="K205" i="4" s="1"/>
  <c r="K200" i="4"/>
  <c r="J200" i="4"/>
  <c r="I200" i="4"/>
  <c r="H200" i="4"/>
  <c r="G200" i="4"/>
  <c r="B191" i="4"/>
  <c r="B190" i="4"/>
  <c r="D170" i="4"/>
  <c r="E170" i="4" s="1"/>
  <c r="F170" i="4" s="1"/>
  <c r="G170" i="4" s="1"/>
  <c r="H170" i="4" s="1"/>
  <c r="I170" i="4" s="1"/>
  <c r="J170" i="4" s="1"/>
  <c r="K170" i="4" s="1"/>
  <c r="F167" i="4"/>
  <c r="F168" i="4" s="1"/>
  <c r="E167" i="4"/>
  <c r="E168" i="4" s="1"/>
  <c r="D167" i="4"/>
  <c r="D168" i="4" s="1"/>
  <c r="K164" i="4"/>
  <c r="K165" i="4" s="1"/>
  <c r="J164" i="4"/>
  <c r="J165" i="4" s="1"/>
  <c r="I164" i="4"/>
  <c r="I165" i="4" s="1"/>
  <c r="H164" i="4"/>
  <c r="H158" i="4" s="1"/>
  <c r="G164" i="4"/>
  <c r="G158" i="4" s="1"/>
  <c r="G159" i="4" s="1"/>
  <c r="I158" i="4"/>
  <c r="F156" i="4"/>
  <c r="E156" i="4"/>
  <c r="D156" i="4"/>
  <c r="F154" i="4"/>
  <c r="E154" i="4"/>
  <c r="D154" i="4"/>
  <c r="F152" i="4"/>
  <c r="F150" i="4" s="1"/>
  <c r="E152" i="4"/>
  <c r="E150" i="4" s="1"/>
  <c r="D152" i="4"/>
  <c r="D149" i="4" s="1"/>
  <c r="K150" i="4"/>
  <c r="K180" i="4" s="1"/>
  <c r="J150" i="4"/>
  <c r="J180" i="4" s="1"/>
  <c r="I150" i="4"/>
  <c r="I180" i="4" s="1"/>
  <c r="H150" i="4"/>
  <c r="H180" i="4" s="1"/>
  <c r="G150" i="4"/>
  <c r="F144" i="4"/>
  <c r="E144" i="4"/>
  <c r="D144" i="4"/>
  <c r="G143" i="4"/>
  <c r="F143" i="4"/>
  <c r="E143" i="4"/>
  <c r="F138" i="4"/>
  <c r="F145" i="4" s="1"/>
  <c r="E138" i="4"/>
  <c r="E140" i="4" s="1"/>
  <c r="D138" i="4"/>
  <c r="D140" i="4" s="1"/>
  <c r="F136" i="4"/>
  <c r="E136" i="4"/>
  <c r="D136" i="4"/>
  <c r="D133" i="4"/>
  <c r="E133" i="4" s="1"/>
  <c r="F133" i="4" s="1"/>
  <c r="G133" i="4" s="1"/>
  <c r="H133" i="4" s="1"/>
  <c r="I133" i="4" s="1"/>
  <c r="J133" i="4" s="1"/>
  <c r="K133" i="4" s="1"/>
  <c r="F125" i="4"/>
  <c r="G125" i="4" s="1"/>
  <c r="E125" i="4"/>
  <c r="D125" i="4"/>
  <c r="F122" i="4"/>
  <c r="E122" i="4"/>
  <c r="D122" i="4"/>
  <c r="F119" i="4"/>
  <c r="G119" i="4" s="1"/>
  <c r="H119" i="4" s="1"/>
  <c r="H118" i="4" s="1"/>
  <c r="E119" i="4"/>
  <c r="D119" i="4"/>
  <c r="F115" i="4"/>
  <c r="F127" i="4" s="1"/>
  <c r="F128" i="4" s="1"/>
  <c r="E115" i="4"/>
  <c r="D115" i="4"/>
  <c r="F113" i="4"/>
  <c r="E113" i="4"/>
  <c r="D113" i="4"/>
  <c r="D110" i="4"/>
  <c r="E110" i="4" s="1"/>
  <c r="F110" i="4" s="1"/>
  <c r="G110" i="4" s="1"/>
  <c r="H110" i="4" s="1"/>
  <c r="I110" i="4" s="1"/>
  <c r="J110" i="4" s="1"/>
  <c r="K110" i="4" s="1"/>
  <c r="K108" i="4"/>
  <c r="J108" i="4"/>
  <c r="I108" i="4"/>
  <c r="H108" i="4"/>
  <c r="G108" i="4"/>
  <c r="K101" i="4"/>
  <c r="K102" i="4" s="1"/>
  <c r="J101" i="4"/>
  <c r="J102" i="4" s="1"/>
  <c r="I101" i="4"/>
  <c r="I102" i="4" s="1"/>
  <c r="H101" i="4"/>
  <c r="H102" i="4" s="1"/>
  <c r="G101" i="4"/>
  <c r="G102" i="4" s="1"/>
  <c r="F97" i="4"/>
  <c r="E97" i="4"/>
  <c r="D97" i="4"/>
  <c r="K80" i="4"/>
  <c r="J80" i="4"/>
  <c r="I80" i="4"/>
  <c r="H80" i="4"/>
  <c r="G80" i="4"/>
  <c r="K73" i="4"/>
  <c r="K74" i="4" s="1"/>
  <c r="J73" i="4"/>
  <c r="J74" i="4" s="1"/>
  <c r="I73" i="4"/>
  <c r="I74" i="4" s="1"/>
  <c r="H73" i="4"/>
  <c r="H74" i="4" s="1"/>
  <c r="G73" i="4"/>
  <c r="G74" i="4" s="1"/>
  <c r="K71" i="4"/>
  <c r="J71" i="4"/>
  <c r="I71" i="4"/>
  <c r="H71" i="4"/>
  <c r="G71" i="4"/>
  <c r="K70" i="4"/>
  <c r="J70" i="4"/>
  <c r="I70" i="4"/>
  <c r="H70" i="4"/>
  <c r="G70" i="4"/>
  <c r="K68" i="4"/>
  <c r="J68" i="4"/>
  <c r="I68" i="4"/>
  <c r="H68" i="4"/>
  <c r="G68" i="4"/>
  <c r="K67" i="4"/>
  <c r="J67" i="4"/>
  <c r="I67" i="4"/>
  <c r="H67" i="4"/>
  <c r="G67" i="4"/>
  <c r="F67" i="4"/>
  <c r="F55" i="4" s="1"/>
  <c r="G55" i="4" s="1"/>
  <c r="H55" i="4" s="1"/>
  <c r="I55" i="4" s="1"/>
  <c r="J55" i="4" s="1"/>
  <c r="K55" i="4" s="1"/>
  <c r="E67" i="4"/>
  <c r="E55" i="4" s="1"/>
  <c r="E68" i="4" s="1"/>
  <c r="D67" i="4"/>
  <c r="D55" i="4" s="1"/>
  <c r="D68" i="4" s="1"/>
  <c r="K65" i="4"/>
  <c r="J65" i="4"/>
  <c r="I65" i="4"/>
  <c r="H65" i="4"/>
  <c r="G65" i="4"/>
  <c r="F65" i="4"/>
  <c r="E65" i="4"/>
  <c r="D65" i="4"/>
  <c r="K64" i="4"/>
  <c r="J64" i="4"/>
  <c r="I64" i="4"/>
  <c r="H64" i="4"/>
  <c r="G64" i="4"/>
  <c r="E64" i="4"/>
  <c r="D62" i="4"/>
  <c r="D59" i="4"/>
  <c r="E59" i="4" s="1"/>
  <c r="F59" i="4" s="1"/>
  <c r="G59" i="4" s="1"/>
  <c r="H59" i="4" s="1"/>
  <c r="I59" i="4" s="1"/>
  <c r="J59" i="4" s="1"/>
  <c r="K59" i="4" s="1"/>
  <c r="F56" i="4"/>
  <c r="G56" i="4" s="1"/>
  <c r="H56" i="4" s="1"/>
  <c r="I56" i="4" s="1"/>
  <c r="J56" i="4" s="1"/>
  <c r="K56" i="4" s="1"/>
  <c r="E56" i="4"/>
  <c r="E71" i="4" s="1"/>
  <c r="D56" i="4"/>
  <c r="D71" i="4" s="1"/>
  <c r="K54" i="4"/>
  <c r="K62" i="4" s="1"/>
  <c r="J54" i="4"/>
  <c r="J62" i="4" s="1"/>
  <c r="I54" i="4"/>
  <c r="I62" i="4" s="1"/>
  <c r="H54" i="4"/>
  <c r="H62" i="4" s="1"/>
  <c r="G54" i="4"/>
  <c r="G62" i="4" s="1"/>
  <c r="F54" i="4"/>
  <c r="F62" i="4" s="1"/>
  <c r="E54" i="4"/>
  <c r="E62" i="4" s="1"/>
  <c r="D52" i="4"/>
  <c r="E52" i="4" s="1"/>
  <c r="F52" i="4" s="1"/>
  <c r="G52" i="4" s="1"/>
  <c r="H52" i="4" s="1"/>
  <c r="I52" i="4" s="1"/>
  <c r="J52" i="4" s="1"/>
  <c r="K52" i="4" s="1"/>
  <c r="C44" i="4"/>
  <c r="B44" i="4"/>
  <c r="I43" i="4"/>
  <c r="C43" i="4"/>
  <c r="B43" i="4"/>
  <c r="I42" i="4"/>
  <c r="C42" i="4"/>
  <c r="F237" i="4" s="1"/>
  <c r="G234" i="4" s="1"/>
  <c r="B42" i="4"/>
  <c r="C41" i="4"/>
  <c r="F228" i="4" s="1"/>
  <c r="G225" i="4" s="1"/>
  <c r="B41" i="4"/>
  <c r="C40" i="4"/>
  <c r="B40" i="4"/>
  <c r="E34" i="4"/>
  <c r="I33" i="4"/>
  <c r="K33" i="4" s="1"/>
  <c r="I32" i="4"/>
  <c r="K32" i="4" s="1"/>
  <c r="I31" i="4"/>
  <c r="I30" i="4"/>
  <c r="K30" i="4" s="1"/>
  <c r="I29" i="4"/>
  <c r="K29" i="4" s="1"/>
  <c r="E24" i="4"/>
  <c r="G207" i="4" s="1"/>
  <c r="G212" i="4" s="1"/>
  <c r="E22" i="4"/>
  <c r="K20" i="4" s="1"/>
  <c r="K21" i="4"/>
  <c r="K18" i="4"/>
  <c r="K17" i="4"/>
  <c r="I41" i="4" s="1"/>
  <c r="K15" i="4"/>
  <c r="F9" i="4"/>
  <c r="H93" i="3"/>
  <c r="H88" i="3"/>
  <c r="C77" i="3"/>
  <c r="D74" i="3" s="1"/>
  <c r="B73" i="3"/>
  <c r="C71" i="3"/>
  <c r="D68" i="3" s="1"/>
  <c r="B67" i="3"/>
  <c r="C65" i="3"/>
  <c r="D60" i="3"/>
  <c r="E60" i="3" s="1"/>
  <c r="F60" i="3" s="1"/>
  <c r="G60" i="3" s="1"/>
  <c r="H60" i="3" s="1"/>
  <c r="D50" i="3"/>
  <c r="E50" i="3" s="1"/>
  <c r="F50" i="3" s="1"/>
  <c r="G50" i="3" s="1"/>
  <c r="H50" i="3" s="1"/>
  <c r="C47" i="3"/>
  <c r="C43" i="3"/>
  <c r="D38" i="3"/>
  <c r="E38" i="3" s="1"/>
  <c r="F38" i="3" s="1"/>
  <c r="G38" i="3" s="1"/>
  <c r="H38" i="3" s="1"/>
  <c r="D33" i="3"/>
  <c r="E33" i="3" s="1"/>
  <c r="F33" i="3" s="1"/>
  <c r="G33" i="3" s="1"/>
  <c r="H33" i="3" s="1"/>
  <c r="C21" i="3"/>
  <c r="C40" i="3" s="1"/>
  <c r="C15" i="3"/>
  <c r="C9" i="3"/>
  <c r="H7" i="3"/>
  <c r="G7" i="3"/>
  <c r="F7" i="3"/>
  <c r="E7" i="3"/>
  <c r="D7" i="3"/>
  <c r="C6" i="3"/>
  <c r="D4" i="3"/>
  <c r="E4" i="3" s="1"/>
  <c r="F4" i="3" s="1"/>
  <c r="G4" i="3" s="1"/>
  <c r="H4" i="3" s="1"/>
  <c r="J158" i="4" l="1"/>
  <c r="K158" i="4"/>
  <c r="K197" i="4" s="1"/>
  <c r="E22" i="8"/>
  <c r="E23" i="8"/>
  <c r="D6" i="3"/>
  <c r="E6" i="3" s="1"/>
  <c r="D73" i="4"/>
  <c r="D95" i="4" s="1"/>
  <c r="E73" i="4"/>
  <c r="E74" i="4" s="1"/>
  <c r="F68" i="4"/>
  <c r="G122" i="4"/>
  <c r="K122" i="4" s="1"/>
  <c r="K121" i="4" s="1"/>
  <c r="F260" i="4"/>
  <c r="J260" i="4" s="1"/>
  <c r="K23" i="4"/>
  <c r="I34" i="4"/>
  <c r="I45" i="4" s="1"/>
  <c r="I48" i="4" s="1"/>
  <c r="K42" i="4" s="1"/>
  <c r="D145" i="4"/>
  <c r="D143" i="4" s="1"/>
  <c r="E145" i="4"/>
  <c r="K276" i="4"/>
  <c r="F71" i="4"/>
  <c r="G113" i="4"/>
  <c r="H113" i="4" s="1"/>
  <c r="H112" i="4" s="1"/>
  <c r="G165" i="4"/>
  <c r="G136" i="4"/>
  <c r="G135" i="4" s="1"/>
  <c r="G167" i="4" s="1"/>
  <c r="H165" i="4"/>
  <c r="E31" i="8"/>
  <c r="E8" i="8" s="1"/>
  <c r="E24" i="8"/>
  <c r="E25" i="8"/>
  <c r="E26" i="8"/>
  <c r="E30" i="8"/>
  <c r="E27" i="8"/>
  <c r="E28" i="8"/>
  <c r="E14" i="8"/>
  <c r="E16" i="8" s="1"/>
  <c r="E29" i="8"/>
  <c r="E9" i="8" s="1"/>
  <c r="E10" i="8" s="1"/>
  <c r="J22" i="7"/>
  <c r="I28" i="7"/>
  <c r="E21" i="7" s="1"/>
  <c r="D23" i="7"/>
  <c r="C24" i="7"/>
  <c r="J21" i="7"/>
  <c r="D22" i="7"/>
  <c r="D21" i="7"/>
  <c r="C44" i="3"/>
  <c r="D44" i="3" s="1"/>
  <c r="E44" i="3" s="1"/>
  <c r="F44" i="3" s="1"/>
  <c r="G44" i="3" s="1"/>
  <c r="H44" i="3" s="1"/>
  <c r="C48" i="3"/>
  <c r="D48" i="3" s="1"/>
  <c r="E48" i="3" s="1"/>
  <c r="F48" i="3" s="1"/>
  <c r="G48" i="3" s="1"/>
  <c r="H48" i="3" s="1"/>
  <c r="C10" i="3"/>
  <c r="D10" i="3" s="1"/>
  <c r="D9" i="3" s="1"/>
  <c r="D12" i="3" s="1"/>
  <c r="D13" i="3" s="1"/>
  <c r="C16" i="3"/>
  <c r="D16" i="3" s="1"/>
  <c r="E16" i="3" s="1"/>
  <c r="F16" i="3" s="1"/>
  <c r="G16" i="3" s="1"/>
  <c r="H16" i="3" s="1"/>
  <c r="C12" i="3"/>
  <c r="C18" i="3" s="1"/>
  <c r="C22" i="3"/>
  <c r="C41" i="3" s="1"/>
  <c r="K125" i="4"/>
  <c r="K124" i="4" s="1"/>
  <c r="G124" i="4"/>
  <c r="J125" i="4"/>
  <c r="J124" i="4" s="1"/>
  <c r="I125" i="4"/>
  <c r="I124" i="4" s="1"/>
  <c r="H125" i="4"/>
  <c r="H124" i="4" s="1"/>
  <c r="D127" i="4"/>
  <c r="D128" i="4" s="1"/>
  <c r="D116" i="4"/>
  <c r="E116" i="4"/>
  <c r="E127" i="4"/>
  <c r="I197" i="4"/>
  <c r="I173" i="4"/>
  <c r="I159" i="4"/>
  <c r="F116" i="4"/>
  <c r="H197" i="4"/>
  <c r="H173" i="4"/>
  <c r="K173" i="4"/>
  <c r="K159" i="4"/>
  <c r="J156" i="4"/>
  <c r="K156" i="4"/>
  <c r="I156" i="4"/>
  <c r="G156" i="4"/>
  <c r="I119" i="4"/>
  <c r="I118" i="4" s="1"/>
  <c r="H156" i="4"/>
  <c r="K119" i="4"/>
  <c r="K118" i="4" s="1"/>
  <c r="G180" i="4"/>
  <c r="G152" i="4"/>
  <c r="H149" i="4" s="1"/>
  <c r="H152" i="4" s="1"/>
  <c r="I149" i="4" s="1"/>
  <c r="I152" i="4" s="1"/>
  <c r="J149" i="4" s="1"/>
  <c r="J152" i="4" s="1"/>
  <c r="K149" i="4" s="1"/>
  <c r="K152" i="4" s="1"/>
  <c r="G226" i="4"/>
  <c r="K213" i="4"/>
  <c r="J213" i="4"/>
  <c r="I213" i="4"/>
  <c r="H213" i="4"/>
  <c r="C45" i="4"/>
  <c r="G213" i="4"/>
  <c r="G214" i="4" s="1"/>
  <c r="E85" i="4"/>
  <c r="F73" i="4"/>
  <c r="E139" i="4"/>
  <c r="E158" i="4"/>
  <c r="H159" i="4"/>
  <c r="F243" i="4"/>
  <c r="G240" i="4" s="1"/>
  <c r="G252" i="4" s="1"/>
  <c r="J119" i="4"/>
  <c r="J118" i="4" s="1"/>
  <c r="G197" i="4"/>
  <c r="G173" i="4"/>
  <c r="K31" i="4"/>
  <c r="K34" i="4" s="1"/>
  <c r="J173" i="4"/>
  <c r="J197" i="4"/>
  <c r="J159" i="4"/>
  <c r="F140" i="4"/>
  <c r="G140" i="4" s="1"/>
  <c r="F158" i="4"/>
  <c r="F139" i="4"/>
  <c r="G209" i="4"/>
  <c r="H207" i="4" s="1"/>
  <c r="G118" i="4"/>
  <c r="J154" i="4"/>
  <c r="I154" i="4"/>
  <c r="H154" i="4"/>
  <c r="G154" i="4"/>
  <c r="D158" i="4"/>
  <c r="D139" i="4"/>
  <c r="K154" i="4"/>
  <c r="C83" i="3"/>
  <c r="D62" i="3"/>
  <c r="D69" i="3"/>
  <c r="D75" i="3"/>
  <c r="D43" i="3" l="1"/>
  <c r="D45" i="3" s="1"/>
  <c r="D55" i="3" s="1"/>
  <c r="E95" i="4"/>
  <c r="E10" i="3"/>
  <c r="F10" i="3" s="1"/>
  <c r="D85" i="4"/>
  <c r="D57" i="4" s="1"/>
  <c r="D89" i="4" s="1"/>
  <c r="D47" i="3"/>
  <c r="D54" i="3" s="1"/>
  <c r="D74" i="4"/>
  <c r="D15" i="3"/>
  <c r="C13" i="3"/>
  <c r="H122" i="4"/>
  <c r="H121" i="4" s="1"/>
  <c r="K260" i="4"/>
  <c r="G121" i="4"/>
  <c r="J122" i="4"/>
  <c r="J121" i="4" s="1"/>
  <c r="G144" i="4"/>
  <c r="I122" i="4"/>
  <c r="I121" i="4" s="1"/>
  <c r="I260" i="4"/>
  <c r="G260" i="4"/>
  <c r="G259" i="4" s="1"/>
  <c r="G83" i="4" s="1"/>
  <c r="H260" i="4"/>
  <c r="K136" i="4"/>
  <c r="K135" i="4" s="1"/>
  <c r="K144" i="4" s="1"/>
  <c r="G175" i="4"/>
  <c r="H136" i="4"/>
  <c r="H135" i="4" s="1"/>
  <c r="H144" i="4" s="1"/>
  <c r="I113" i="4"/>
  <c r="I112" i="4" s="1"/>
  <c r="G112" i="4"/>
  <c r="K113" i="4"/>
  <c r="K112" i="4" s="1"/>
  <c r="J113" i="4"/>
  <c r="J112" i="4" s="1"/>
  <c r="I136" i="4"/>
  <c r="I135" i="4" s="1"/>
  <c r="I167" i="4" s="1"/>
  <c r="J136" i="4"/>
  <c r="J135" i="4" s="1"/>
  <c r="J144" i="4" s="1"/>
  <c r="K21" i="7"/>
  <c r="E23" i="7"/>
  <c r="E24" i="7" s="1"/>
  <c r="E22" i="7"/>
  <c r="J28" i="7"/>
  <c r="E11" i="8"/>
  <c r="C28" i="7"/>
  <c r="C26" i="7" s="1"/>
  <c r="K25" i="7"/>
  <c r="D24" i="7"/>
  <c r="K22" i="7"/>
  <c r="K28" i="7" s="1"/>
  <c r="D22" i="3"/>
  <c r="D21" i="3" s="1"/>
  <c r="D40" i="3" s="1"/>
  <c r="D53" i="3" s="1"/>
  <c r="K140" i="4"/>
  <c r="J140" i="4"/>
  <c r="H140" i="4"/>
  <c r="I140" i="4"/>
  <c r="G138" i="4"/>
  <c r="D86" i="4"/>
  <c r="F254" i="4"/>
  <c r="H209" i="4"/>
  <c r="I207" i="4" s="1"/>
  <c r="H212" i="4"/>
  <c r="H214" i="4" s="1"/>
  <c r="G198" i="4"/>
  <c r="G179" i="4"/>
  <c r="G181" i="4" s="1"/>
  <c r="G168" i="4"/>
  <c r="K45" i="4"/>
  <c r="I175" i="4"/>
  <c r="J175" i="4"/>
  <c r="F95" i="4"/>
  <c r="F85" i="4"/>
  <c r="F74" i="4"/>
  <c r="G116" i="4"/>
  <c r="F159" i="4"/>
  <c r="F96" i="4"/>
  <c r="K41" i="4"/>
  <c r="D159" i="4"/>
  <c r="D96" i="4"/>
  <c r="D98" i="4" s="1"/>
  <c r="C48" i="4"/>
  <c r="E45" i="4" s="1"/>
  <c r="K46" i="4"/>
  <c r="K43" i="4"/>
  <c r="H175" i="4"/>
  <c r="E159" i="4"/>
  <c r="E96" i="4"/>
  <c r="E98" i="4" s="1"/>
  <c r="K175" i="4"/>
  <c r="E57" i="4"/>
  <c r="E89" i="4" s="1"/>
  <c r="E86" i="4"/>
  <c r="E91" i="4"/>
  <c r="E92" i="4" s="1"/>
  <c r="E128" i="4"/>
  <c r="E130" i="4"/>
  <c r="E131" i="4" s="1"/>
  <c r="F130" i="4"/>
  <c r="F131" i="4" s="1"/>
  <c r="C24" i="3"/>
  <c r="C25" i="3" s="1"/>
  <c r="D25" i="3" s="1"/>
  <c r="C19" i="3"/>
  <c r="D19" i="3" s="1"/>
  <c r="E43" i="3"/>
  <c r="E45" i="3" s="1"/>
  <c r="E55" i="3" s="1"/>
  <c r="E15" i="3"/>
  <c r="E47" i="3"/>
  <c r="E54" i="3" s="1"/>
  <c r="F6" i="3"/>
  <c r="D63" i="3"/>
  <c r="D81" i="3" s="1"/>
  <c r="D27" i="3" s="1"/>
  <c r="D80" i="3"/>
  <c r="E9" i="3"/>
  <c r="E12" i="3" s="1"/>
  <c r="E13" i="3" s="1"/>
  <c r="D91" i="4" l="1"/>
  <c r="D92" i="4" s="1"/>
  <c r="E22" i="3"/>
  <c r="D41" i="3"/>
  <c r="K138" i="4"/>
  <c r="H259" i="4"/>
  <c r="H83" i="4" s="1"/>
  <c r="H138" i="4"/>
  <c r="H161" i="4" s="1"/>
  <c r="K167" i="4"/>
  <c r="K179" i="4" s="1"/>
  <c r="K181" i="4" s="1"/>
  <c r="H167" i="4"/>
  <c r="H168" i="4" s="1"/>
  <c r="I144" i="4"/>
  <c r="K48" i="4"/>
  <c r="F98" i="4"/>
  <c r="F101" i="4" s="1"/>
  <c r="J167" i="4"/>
  <c r="J179" i="4" s="1"/>
  <c r="J181" i="4" s="1"/>
  <c r="I138" i="4"/>
  <c r="I161" i="4" s="1"/>
  <c r="J138" i="4"/>
  <c r="J161" i="4" s="1"/>
  <c r="D26" i="7"/>
  <c r="E26" i="7"/>
  <c r="E28" i="7" s="1"/>
  <c r="D28" i="7"/>
  <c r="E101" i="4"/>
  <c r="E99" i="4"/>
  <c r="E102" i="4" s="1"/>
  <c r="F86" i="4"/>
  <c r="F91" i="4"/>
  <c r="F92" i="4" s="1"/>
  <c r="F57" i="4"/>
  <c r="G161" i="4"/>
  <c r="G139" i="4"/>
  <c r="G145" i="4"/>
  <c r="G146" i="4" s="1"/>
  <c r="H143" i="4" s="1"/>
  <c r="E44" i="4"/>
  <c r="E42" i="4"/>
  <c r="C46" i="4"/>
  <c r="E40" i="4"/>
  <c r="E41" i="4"/>
  <c r="E43" i="4"/>
  <c r="G131" i="4"/>
  <c r="I209" i="4"/>
  <c r="I212" i="4"/>
  <c r="I214" i="4" s="1"/>
  <c r="I198" i="4"/>
  <c r="I168" i="4"/>
  <c r="I179" i="4"/>
  <c r="I181" i="4" s="1"/>
  <c r="D99" i="4"/>
  <c r="D102" i="4" s="1"/>
  <c r="D101" i="4"/>
  <c r="K116" i="4"/>
  <c r="K115" i="4" s="1"/>
  <c r="K127" i="4" s="1"/>
  <c r="J116" i="4"/>
  <c r="J115" i="4" s="1"/>
  <c r="J127" i="4" s="1"/>
  <c r="G115" i="4"/>
  <c r="G127" i="4" s="1"/>
  <c r="I116" i="4"/>
  <c r="I115" i="4" s="1"/>
  <c r="I127" i="4" s="1"/>
  <c r="H116" i="4"/>
  <c r="H115" i="4" s="1"/>
  <c r="H127" i="4" s="1"/>
  <c r="K161" i="4"/>
  <c r="K145" i="4"/>
  <c r="K198" i="4"/>
  <c r="F15" i="3"/>
  <c r="F43" i="3"/>
  <c r="F45" i="3" s="1"/>
  <c r="F55" i="3" s="1"/>
  <c r="G6" i="3"/>
  <c r="F47" i="3"/>
  <c r="F54" i="3" s="1"/>
  <c r="G10" i="3"/>
  <c r="F9" i="3"/>
  <c r="F12" i="3" s="1"/>
  <c r="F13" i="3" s="1"/>
  <c r="F22" i="3"/>
  <c r="E41" i="3"/>
  <c r="E21" i="3"/>
  <c r="E40" i="3" s="1"/>
  <c r="E53" i="3" s="1"/>
  <c r="D18" i="3"/>
  <c r="D29" i="3" s="1"/>
  <c r="E19" i="3"/>
  <c r="D24" i="3"/>
  <c r="E25" i="3"/>
  <c r="H145" i="4" l="1"/>
  <c r="H179" i="4"/>
  <c r="H181" i="4" s="1"/>
  <c r="H198" i="4"/>
  <c r="K168" i="4"/>
  <c r="I145" i="4"/>
  <c r="F99" i="4"/>
  <c r="F102" i="4" s="1"/>
  <c r="E21" i="4"/>
  <c r="F31" i="4" s="1"/>
  <c r="J168" i="4"/>
  <c r="J145" i="4"/>
  <c r="J198" i="4"/>
  <c r="H146" i="4"/>
  <c r="I143" i="4" s="1"/>
  <c r="H130" i="4"/>
  <c r="H128" i="4"/>
  <c r="J128" i="4"/>
  <c r="J130" i="4"/>
  <c r="K130" i="4"/>
  <c r="K128" i="4"/>
  <c r="I130" i="4"/>
  <c r="I128" i="4"/>
  <c r="G128" i="4"/>
  <c r="G130" i="4"/>
  <c r="H139" i="4"/>
  <c r="K139" i="4"/>
  <c r="J139" i="4"/>
  <c r="I139" i="4"/>
  <c r="G162" i="4"/>
  <c r="F33" i="4"/>
  <c r="F30" i="4"/>
  <c r="J46" i="4"/>
  <c r="I162" i="4"/>
  <c r="J207" i="4"/>
  <c r="I259" i="4"/>
  <c r="I83" i="4" s="1"/>
  <c r="K131" i="4"/>
  <c r="H131" i="4"/>
  <c r="I131" i="4"/>
  <c r="J131" i="4"/>
  <c r="F89" i="4"/>
  <c r="G57" i="4"/>
  <c r="J162" i="4"/>
  <c r="K282" i="4"/>
  <c r="E46" i="4"/>
  <c r="E48" i="4" s="1"/>
  <c r="K162" i="4"/>
  <c r="H162" i="4"/>
  <c r="H10" i="3"/>
  <c r="G9" i="3"/>
  <c r="G12" i="3" s="1"/>
  <c r="G13" i="3" s="1"/>
  <c r="F25" i="3"/>
  <c r="E24" i="3"/>
  <c r="E18" i="3"/>
  <c r="F19" i="3"/>
  <c r="F41" i="3"/>
  <c r="F21" i="3"/>
  <c r="F40" i="3" s="1"/>
  <c r="F53" i="3" s="1"/>
  <c r="G22" i="3"/>
  <c r="G43" i="3"/>
  <c r="G45" i="3" s="1"/>
  <c r="G55" i="3" s="1"/>
  <c r="G15" i="3"/>
  <c r="H6" i="3"/>
  <c r="G47" i="3"/>
  <c r="G54" i="3" s="1"/>
  <c r="D32" i="3"/>
  <c r="D35" i="3" s="1"/>
  <c r="D30" i="3"/>
  <c r="F29" i="4" l="1"/>
  <c r="F32" i="4"/>
  <c r="I146" i="4"/>
  <c r="J143" i="4" s="1"/>
  <c r="J146" i="4" s="1"/>
  <c r="K143" i="4" s="1"/>
  <c r="K146" i="4" s="1"/>
  <c r="D46" i="4"/>
  <c r="D41" i="4"/>
  <c r="K24" i="4"/>
  <c r="K25" i="4" s="1"/>
  <c r="K277" i="4" s="1"/>
  <c r="K278" i="4" s="1"/>
  <c r="D43" i="4"/>
  <c r="D44" i="4"/>
  <c r="J41" i="4"/>
  <c r="J45" i="4"/>
  <c r="D40" i="4"/>
  <c r="J42" i="4"/>
  <c r="J43" i="4"/>
  <c r="D42" i="4"/>
  <c r="D45" i="4"/>
  <c r="J199" i="4"/>
  <c r="J174" i="4"/>
  <c r="E25" i="4"/>
  <c r="K199" i="4"/>
  <c r="K174" i="4"/>
  <c r="H57" i="4"/>
  <c r="G89" i="4"/>
  <c r="F34" i="4"/>
  <c r="J209" i="4"/>
  <c r="K207" i="4" s="1"/>
  <c r="J212" i="4"/>
  <c r="J214" i="4" s="1"/>
  <c r="G174" i="4"/>
  <c r="G199" i="4"/>
  <c r="I199" i="4"/>
  <c r="I174" i="4"/>
  <c r="H174" i="4"/>
  <c r="H199" i="4"/>
  <c r="D52" i="3"/>
  <c r="D56" i="3" s="1"/>
  <c r="D36" i="3"/>
  <c r="G19" i="3"/>
  <c r="F18" i="3"/>
  <c r="H43" i="3"/>
  <c r="H45" i="3" s="1"/>
  <c r="H55" i="3" s="1"/>
  <c r="H15" i="3"/>
  <c r="H47" i="3"/>
  <c r="H54" i="3" s="1"/>
  <c r="H22" i="3"/>
  <c r="G41" i="3"/>
  <c r="G21" i="3"/>
  <c r="G40" i="3" s="1"/>
  <c r="G53" i="3" s="1"/>
  <c r="G25" i="3"/>
  <c r="F24" i="3"/>
  <c r="H9" i="3"/>
  <c r="H12" i="3" s="1"/>
  <c r="H13" i="3" s="1"/>
  <c r="D48" i="4" l="1"/>
  <c r="J259" i="4"/>
  <c r="J83" i="4" s="1"/>
  <c r="J48" i="4"/>
  <c r="I57" i="4"/>
  <c r="H89" i="4"/>
  <c r="K209" i="4"/>
  <c r="K212" i="4"/>
  <c r="K214" i="4" s="1"/>
  <c r="K259" i="4"/>
  <c r="K83" i="4" s="1"/>
  <c r="H41" i="3"/>
  <c r="H21" i="3"/>
  <c r="H40" i="3" s="1"/>
  <c r="H53" i="3" s="1"/>
  <c r="H25" i="3"/>
  <c r="H24" i="3" s="1"/>
  <c r="H87" i="3" s="1"/>
  <c r="H89" i="3" s="1"/>
  <c r="G24" i="3"/>
  <c r="H19" i="3"/>
  <c r="H18" i="3" s="1"/>
  <c r="G18" i="3"/>
  <c r="D64" i="3"/>
  <c r="D70" i="3" s="1"/>
  <c r="D71" i="3" s="1"/>
  <c r="E68" i="3" s="1"/>
  <c r="I89" i="4" l="1"/>
  <c r="J57" i="4"/>
  <c r="E69" i="3"/>
  <c r="D65" i="3"/>
  <c r="D76" i="3"/>
  <c r="D77" i="3" s="1"/>
  <c r="E74" i="3" s="1"/>
  <c r="J89" i="4" l="1"/>
  <c r="K57" i="4"/>
  <c r="K89" i="4" s="1"/>
  <c r="E75" i="3"/>
  <c r="D83" i="3"/>
  <c r="E62" i="3"/>
  <c r="D82" i="3"/>
  <c r="E63" i="3" l="1"/>
  <c r="E81" i="3" s="1"/>
  <c r="E27" i="3" s="1"/>
  <c r="E29" i="3" s="1"/>
  <c r="E80" i="3"/>
  <c r="E32" i="3" l="1"/>
  <c r="E35" i="3" s="1"/>
  <c r="E30" i="3"/>
  <c r="E52" i="3" l="1"/>
  <c r="E56" i="3" s="1"/>
  <c r="E36" i="3"/>
  <c r="E64" i="3" l="1"/>
  <c r="E65" i="3" l="1"/>
  <c r="E70" i="3"/>
  <c r="E71" i="3" s="1"/>
  <c r="F68" i="3" s="1"/>
  <c r="F69" i="3" l="1"/>
  <c r="E76" i="3"/>
  <c r="E77" i="3" s="1"/>
  <c r="F74" i="3" s="1"/>
  <c r="F62" i="3"/>
  <c r="E82" i="3" l="1"/>
  <c r="E83" i="3"/>
  <c r="F63" i="3"/>
  <c r="F80" i="3"/>
  <c r="F75" i="3"/>
  <c r="F81" i="3" l="1"/>
  <c r="F27" i="3" s="1"/>
  <c r="F29" i="3" s="1"/>
  <c r="F32" i="3" l="1"/>
  <c r="F35" i="3" s="1"/>
  <c r="F30" i="3"/>
  <c r="F52" i="3" l="1"/>
  <c r="F56" i="3" s="1"/>
  <c r="F36" i="3"/>
  <c r="F64" i="3" l="1"/>
  <c r="F65" i="3" l="1"/>
  <c r="F70" i="3"/>
  <c r="F71" i="3" s="1"/>
  <c r="G68" i="3" s="1"/>
  <c r="F76" i="3" l="1"/>
  <c r="F77" i="3" s="1"/>
  <c r="G74" i="3" s="1"/>
  <c r="G75" i="3" s="1"/>
  <c r="G69" i="3"/>
  <c r="F83" i="3"/>
  <c r="G62" i="3"/>
  <c r="F82" i="3"/>
  <c r="G63" i="3" l="1"/>
  <c r="G81" i="3" s="1"/>
  <c r="G27" i="3" s="1"/>
  <c r="G29" i="3" s="1"/>
  <c r="G80" i="3"/>
  <c r="G32" i="3" l="1"/>
  <c r="G35" i="3" s="1"/>
  <c r="G30" i="3"/>
  <c r="G52" i="3" l="1"/>
  <c r="G56" i="3" s="1"/>
  <c r="G36" i="3"/>
  <c r="G64" i="3" l="1"/>
  <c r="G65" i="3" l="1"/>
  <c r="G70" i="3"/>
  <c r="G71" i="3" s="1"/>
  <c r="H68" i="3" s="1"/>
  <c r="G76" i="3" l="1"/>
  <c r="G77" i="3" s="1"/>
  <c r="H74" i="3" s="1"/>
  <c r="H75" i="3" s="1"/>
  <c r="H69" i="3"/>
  <c r="H62" i="3"/>
  <c r="G83" i="3"/>
  <c r="G82" i="3"/>
  <c r="H80" i="3" l="1"/>
  <c r="H63" i="3"/>
  <c r="H81" i="3" s="1"/>
  <c r="H27" i="3" s="1"/>
  <c r="H29" i="3" s="1"/>
  <c r="H32" i="3" l="1"/>
  <c r="H35" i="3" s="1"/>
  <c r="H30" i="3"/>
  <c r="H36" i="3" l="1"/>
  <c r="H52" i="3"/>
  <c r="H56" i="3" s="1"/>
  <c r="H64" i="3" l="1"/>
  <c r="H65" i="3" l="1"/>
  <c r="H70" i="3"/>
  <c r="H71" i="3" s="1"/>
  <c r="H76" i="3" l="1"/>
  <c r="H77" i="3" s="1"/>
  <c r="H83" i="3" s="1"/>
  <c r="H90" i="3" s="1"/>
  <c r="H91" i="3" s="1"/>
  <c r="H95" i="3" s="1"/>
  <c r="H96" i="3" s="1"/>
  <c r="H82" i="3"/>
  <c r="K8" i="4" l="1"/>
  <c r="K9" i="4"/>
  <c r="G76" i="4"/>
  <c r="H76" i="4"/>
  <c r="I76" i="4"/>
  <c r="J76" i="4"/>
  <c r="K76" i="4"/>
  <c r="G77" i="4"/>
  <c r="H77" i="4"/>
  <c r="I77" i="4"/>
  <c r="J77" i="4"/>
  <c r="K77" i="4"/>
  <c r="G82" i="4"/>
  <c r="H82" i="4"/>
  <c r="I82" i="4"/>
  <c r="J82" i="4"/>
  <c r="K82" i="4"/>
  <c r="G85" i="4"/>
  <c r="H85" i="4"/>
  <c r="I85" i="4"/>
  <c r="J85" i="4"/>
  <c r="K85" i="4"/>
  <c r="G86" i="4"/>
  <c r="H86" i="4"/>
  <c r="I86" i="4"/>
  <c r="J86" i="4"/>
  <c r="K86" i="4"/>
  <c r="G88" i="4"/>
  <c r="H88" i="4"/>
  <c r="I88" i="4"/>
  <c r="J88" i="4"/>
  <c r="K88" i="4"/>
  <c r="G91" i="4"/>
  <c r="H91" i="4"/>
  <c r="I91" i="4"/>
  <c r="J91" i="4"/>
  <c r="K91" i="4"/>
  <c r="G92" i="4"/>
  <c r="H92" i="4"/>
  <c r="I92" i="4"/>
  <c r="J92" i="4"/>
  <c r="K92" i="4"/>
  <c r="G104" i="4"/>
  <c r="H104" i="4"/>
  <c r="I104" i="4"/>
  <c r="J104" i="4"/>
  <c r="K104" i="4"/>
  <c r="G105" i="4"/>
  <c r="H105" i="4"/>
  <c r="I105" i="4"/>
  <c r="J105" i="4"/>
  <c r="K105" i="4"/>
  <c r="G172" i="4"/>
  <c r="H172" i="4"/>
  <c r="I172" i="4"/>
  <c r="J172" i="4"/>
  <c r="K172" i="4"/>
  <c r="G177" i="4"/>
  <c r="H177" i="4"/>
  <c r="I177" i="4"/>
  <c r="J177" i="4"/>
  <c r="K177" i="4"/>
  <c r="G184" i="4"/>
  <c r="H184" i="4"/>
  <c r="I184" i="4"/>
  <c r="J184" i="4"/>
  <c r="K184" i="4"/>
  <c r="G196" i="4"/>
  <c r="H196" i="4"/>
  <c r="I196" i="4"/>
  <c r="J196" i="4"/>
  <c r="K196" i="4"/>
  <c r="G201" i="4"/>
  <c r="H201" i="4"/>
  <c r="I201" i="4"/>
  <c r="J201" i="4"/>
  <c r="K201" i="4"/>
  <c r="G215" i="4"/>
  <c r="H215" i="4"/>
  <c r="I215" i="4"/>
  <c r="J215" i="4"/>
  <c r="K215" i="4"/>
  <c r="G216" i="4"/>
  <c r="H216" i="4"/>
  <c r="I216" i="4"/>
  <c r="J216" i="4"/>
  <c r="K216" i="4"/>
  <c r="H218" i="4"/>
  <c r="I218" i="4"/>
  <c r="J218" i="4"/>
  <c r="K218" i="4"/>
  <c r="G219" i="4"/>
  <c r="H219" i="4"/>
  <c r="I219" i="4"/>
  <c r="J219" i="4"/>
  <c r="K219" i="4"/>
  <c r="G220" i="4"/>
  <c r="H220" i="4"/>
  <c r="I220" i="4"/>
  <c r="J220" i="4"/>
  <c r="K220" i="4"/>
  <c r="G222" i="4"/>
  <c r="H222" i="4"/>
  <c r="I222" i="4"/>
  <c r="J222" i="4"/>
  <c r="K222" i="4"/>
  <c r="H225" i="4"/>
  <c r="I225" i="4"/>
  <c r="J225" i="4"/>
  <c r="K225" i="4"/>
  <c r="H226" i="4"/>
  <c r="I226" i="4"/>
  <c r="J226" i="4"/>
  <c r="K226" i="4"/>
  <c r="G227" i="4"/>
  <c r="H227" i="4"/>
  <c r="I227" i="4"/>
  <c r="J227" i="4"/>
  <c r="K227" i="4"/>
  <c r="G228" i="4"/>
  <c r="H228" i="4"/>
  <c r="I228" i="4"/>
  <c r="J228" i="4"/>
  <c r="K228" i="4"/>
  <c r="G231" i="4"/>
  <c r="H231" i="4"/>
  <c r="I231" i="4"/>
  <c r="J231" i="4"/>
  <c r="K231" i="4"/>
  <c r="H234" i="4"/>
  <c r="I234" i="4"/>
  <c r="J234" i="4"/>
  <c r="K234" i="4"/>
  <c r="G236" i="4"/>
  <c r="H236" i="4"/>
  <c r="I236" i="4"/>
  <c r="J236" i="4"/>
  <c r="K236" i="4"/>
  <c r="G237" i="4"/>
  <c r="H237" i="4"/>
  <c r="I237" i="4"/>
  <c r="J237" i="4"/>
  <c r="K237" i="4"/>
  <c r="H240" i="4"/>
  <c r="I240" i="4"/>
  <c r="J240" i="4"/>
  <c r="K240" i="4"/>
  <c r="G242" i="4"/>
  <c r="H242" i="4"/>
  <c r="I242" i="4"/>
  <c r="J242" i="4"/>
  <c r="K242" i="4"/>
  <c r="G243" i="4"/>
  <c r="H243" i="4"/>
  <c r="I243" i="4"/>
  <c r="J243" i="4"/>
  <c r="K243" i="4"/>
  <c r="H252" i="4"/>
  <c r="I252" i="4"/>
  <c r="J252" i="4"/>
  <c r="K252" i="4"/>
  <c r="G253" i="4"/>
  <c r="H253" i="4"/>
  <c r="I253" i="4"/>
  <c r="J253" i="4"/>
  <c r="K253" i="4"/>
  <c r="G254" i="4"/>
  <c r="H254" i="4"/>
  <c r="I254" i="4"/>
  <c r="J254" i="4"/>
  <c r="K254" i="4"/>
  <c r="G255" i="4"/>
  <c r="H255" i="4"/>
  <c r="I255" i="4"/>
  <c r="J255" i="4"/>
  <c r="K255" i="4"/>
  <c r="G262" i="4"/>
  <c r="H262" i="4"/>
  <c r="I262" i="4"/>
  <c r="J262" i="4"/>
  <c r="K262" i="4"/>
  <c r="G265" i="4"/>
  <c r="H265" i="4"/>
  <c r="I265" i="4"/>
  <c r="J265" i="4"/>
  <c r="K265" i="4"/>
  <c r="G268" i="4"/>
  <c r="H268" i="4"/>
  <c r="I268" i="4"/>
  <c r="J268" i="4"/>
  <c r="K268" i="4"/>
  <c r="G271" i="4"/>
  <c r="H271" i="4"/>
  <c r="I271" i="4"/>
  <c r="J271" i="4"/>
  <c r="K271" i="4"/>
  <c r="G272" i="4"/>
  <c r="H272" i="4"/>
  <c r="I272" i="4"/>
  <c r="J272" i="4"/>
  <c r="K272" i="4"/>
  <c r="K279" i="4"/>
  <c r="K280" i="4"/>
  <c r="K284" i="4"/>
  <c r="K28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Gagan Bhaskar Naik</author>
  </authors>
  <commentList>
    <comment ref="E16" authorId="0" shapeId="0" xr:uid="{EFB2682C-7E4C-254D-9EE0-594A3C8F41BA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https://www.bamsec.com/filing/134100410001510?cik=1352801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E22" authorId="0" shapeId="0" xr:uid="{27763BF4-E0CE-D145-BB9D-09C7C33A3017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10k pg 72 - debt
</t>
        </r>
        <r>
          <rPr>
            <sz val="10"/>
            <color rgb="FF000000"/>
            <rFont val="Calibri"/>
            <family val="2"/>
          </rPr>
          <t xml:space="preserve">10k pg 101 - current 
</t>
        </r>
        <r>
          <rPr>
            <sz val="10"/>
            <color rgb="FF000000"/>
            <rFont val="Tahoma"/>
            <family val="2"/>
          </rPr>
          <t xml:space="preserve">portion of capital leases
</t>
        </r>
      </text>
    </comment>
    <comment ref="E23" authorId="0" shapeId="0" xr:uid="{588166DA-C143-474C-8629-B09BB3485534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10k pg 72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E24" authorId="0" shapeId="0" xr:uid="{9E9EE6CB-E5AC-C542-93F7-6E4FA7A98DFC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10K 2011 pg 87
</t>
        </r>
      </text>
    </comment>
    <comment ref="E29" authorId="0" shapeId="0" xr:uid="{EF9AAA1A-0E39-444F-9506-AEEFB08D32D7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10KT pg 105
</t>
        </r>
        <r>
          <rPr>
            <sz val="10"/>
            <color rgb="FF000000"/>
            <rFont val="Tahoma"/>
            <family val="2"/>
          </rPr>
          <t>Can draw upto $150mm</t>
        </r>
      </text>
    </comment>
    <comment ref="G29" authorId="0" shapeId="0" xr:uid="{B41605CD-3539-DA45-881F-D817A799E873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10KT pg 106
</t>
        </r>
      </text>
    </comment>
    <comment ref="E30" authorId="0" shapeId="0" xr:uid="{A482D77F-0CD9-624F-9065-209A3C625C29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10KT pg 87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G30" authorId="0" shapeId="0" xr:uid="{92F92426-EB9D-AF45-B4FE-103B2B47F0BE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2011 10k pg 105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E31" authorId="0" shapeId="0" xr:uid="{F24DA6AA-C1AA-3842-A930-1956FCA0152F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10KT pg 87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G31" authorId="0" shapeId="0" xr:uid="{A87DFB41-4E69-554F-9AAD-D2611C892EB3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2011 10k pg 105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E32" authorId="0" shapeId="0" xr:uid="{CB8252FA-70C3-FB41-99B1-80EE2CF668DA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10KT pg 87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G32" authorId="0" shapeId="0" xr:uid="{F5F342D5-DD7B-294C-83AA-01C396D1E566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2011 10k pg 105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32" authorId="0" shapeId="0" xr:uid="{224D6337-E008-BF43-B385-0C9DE78733DC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total fee = 69.2
</t>
        </r>
        <r>
          <rPr>
            <sz val="10"/>
            <color rgb="FF000000"/>
            <rFont val="Tahoma"/>
            <family val="2"/>
          </rPr>
          <t xml:space="preserve">2011 10k pg 88
</t>
        </r>
      </text>
    </comment>
    <comment ref="E33" authorId="0" shapeId="0" xr:uid="{5F459151-6F51-7340-9AC9-8A15F6301C45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Illustrative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G33" authorId="0" shapeId="0" xr:uid="{FADF144C-9FE8-8549-B709-C8BEB9D48294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Illustrative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I43" authorId="0" shapeId="0" xr:uid="{B0A81CB2-7B2F-3642-B0B8-C045B36A382F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 Pg 87
</t>
        </r>
      </text>
    </comment>
    <comment ref="I46" authorId="0" shapeId="0" xr:uid="{A7E09F2D-9DBC-7F43-98AF-0C380620F24C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In order to get to 1.5Bn in Sponsored Equity, we add this extra line item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 pg 87
</t>
        </r>
      </text>
    </comment>
    <comment ref="G61" authorId="0" shapeId="0" xr:uid="{E838F068-C4B4-174D-BD44-EC3BD5E2B5B7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PREM 14A pg 60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https://www.bamsec.com/filing/95012310088895?cik=1352801</t>
        </r>
      </text>
    </comment>
    <comment ref="G79" authorId="0" shapeId="0" xr:uid="{9B12E799-F0B3-2749-911E-4830A6DECB64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1"/>
            <color rgb="FF000000"/>
            <rFont val="Calibri"/>
            <family val="34"/>
          </rPr>
          <t xml:space="preserve">PREM 14A pg 60
</t>
        </r>
        <r>
          <rPr>
            <sz val="11"/>
            <color rgb="FF000000"/>
            <rFont val="Calibri"/>
            <family val="34"/>
          </rPr>
          <t xml:space="preserve">https://www.bamsec.com/filing/95012310088895?cik=1352801
</t>
        </r>
      </text>
    </comment>
    <comment ref="E97" authorId="0" shapeId="0" xr:uid="{7A5CEE52-4DFF-D147-914A-37084039F70E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8k
</t>
        </r>
        <r>
          <rPr>
            <sz val="10"/>
            <color rgb="FF000000"/>
            <rFont val="Tahoma"/>
            <family val="2"/>
          </rPr>
          <t xml:space="preserve">https://www.bamsec.com/filing/115752310005220?cik=1352801
</t>
        </r>
      </text>
    </comment>
    <comment ref="G107" authorId="0" shapeId="0" xr:uid="{8CDF162D-1C55-914E-BF0A-E0E73B5EEED8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PREM 14A pg 60
</t>
        </r>
      </text>
    </comment>
    <comment ref="D112" authorId="0" shapeId="0" xr:uid="{7204D7E9-0BC9-7942-92FB-B207CA571313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2009 10k pg 73
</t>
        </r>
        <r>
          <rPr>
            <sz val="10"/>
            <color rgb="FF000000"/>
            <rFont val="Tahoma"/>
            <family val="2"/>
          </rPr>
          <t>https://www.bamsec.com/filing/95012309038762?cik=1352801</t>
        </r>
      </text>
    </comment>
    <comment ref="E112" authorId="0" shapeId="0" xr:uid="{A74ACABB-33A3-6C43-9FCD-0FCD8CC477FC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2009 10k pg 73
</t>
        </r>
        <r>
          <rPr>
            <sz val="10"/>
            <color rgb="FF000000"/>
            <rFont val="Tahoma"/>
            <family val="2"/>
          </rPr>
          <t>https://www.bamsec.com/filing/95012309038762?cik=1352801</t>
        </r>
      </text>
    </comment>
    <comment ref="F112" authorId="0" shapeId="0" xr:uid="{05A6196C-CCD8-6749-B3D3-80B02129CBDD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72
</t>
        </r>
        <r>
          <rPr>
            <sz val="10"/>
            <color rgb="FF000000"/>
            <rFont val="Tahoma"/>
            <family val="2"/>
          </rPr>
          <t xml:space="preserve">https://www.bamsec.com/filing/95012310081065?cik=1352801
</t>
        </r>
      </text>
    </comment>
    <comment ref="G119" authorId="0" shapeId="0" xr:uid="{4A3CE892-845B-D343-9EB5-8692FBDCB775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Used previous year as projection, because of the declining trend observed
</t>
        </r>
        <r>
          <rPr>
            <sz val="10"/>
            <color rgb="FF000000"/>
            <rFont val="Tahoma"/>
            <family val="2"/>
          </rPr>
          <t xml:space="preserve"> </t>
        </r>
      </text>
    </comment>
    <comment ref="G125" authorId="0" shapeId="0" xr:uid="{595C6022-A506-3444-9938-6B07EF6E65D3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Used previous year as projection, because of the declining trend observed
</t>
        </r>
        <r>
          <rPr>
            <sz val="10"/>
            <color rgb="FF000000"/>
            <rFont val="Tahoma"/>
            <family val="2"/>
          </rPr>
          <t xml:space="preserve"> </t>
        </r>
      </text>
    </comment>
    <comment ref="D138" authorId="0" shapeId="0" xr:uid="{BD07B288-B83D-6949-929D-DD4C57301C78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76
</t>
        </r>
      </text>
    </comment>
    <comment ref="E144" authorId="0" shapeId="0" xr:uid="{7BC444C0-A666-A647-8D4A-6DD7DC593777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Does not tie to the ending balance. But included as reference
</t>
        </r>
      </text>
    </comment>
    <comment ref="F144" authorId="0" shapeId="0" xr:uid="{8C5EE27D-09A3-C24A-9052-382704417629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Does not tie to the ending balance. But included as reference
</t>
        </r>
      </text>
    </comment>
    <comment ref="E145" authorId="0" shapeId="0" xr:uid="{0A401599-7836-4844-9A3B-D0ED8E5E4F7E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Does not tie to the ending balance. But included as reference
</t>
        </r>
      </text>
    </comment>
    <comment ref="F145" authorId="0" shapeId="0" xr:uid="{349668C0-B7C3-2141-9714-7CA4B1945396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Does not tie to the ending balance. But included as reference
</t>
        </r>
      </text>
    </comment>
    <comment ref="D146" authorId="0" shapeId="0" xr:uid="{0FCBE7A3-C1F1-E247-B27D-C14F4F5079DF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72
</t>
        </r>
      </text>
    </comment>
    <comment ref="D151" authorId="0" shapeId="0" xr:uid="{99C18A81-202F-6B43-BA55-C4E2AA12C56E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E151" authorId="0" shapeId="0" xr:uid="{FF0C9252-0731-2241-8705-9640D1A76F12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F151" authorId="0" shapeId="0" xr:uid="{96A4E248-E224-7446-9728-5105FFAD7F6F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G151" authorId="0" shapeId="0" xr:uid="{87971A85-B13F-5148-B96C-51123F9439AA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H151" authorId="0" shapeId="0" xr:uid="{C26B6048-09BC-D242-92B9-729838FE54F0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I151" authorId="0" shapeId="0" xr:uid="{483F117D-026D-9D43-A230-BBCEAF84E687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J151" authorId="0" shapeId="0" xr:uid="{21364F45-C2A0-EC45-915D-1A431ADA2763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K151" authorId="0" shapeId="0" xr:uid="{D6BA00AA-6C7E-1540-BEDE-CE9AAF672525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89
</t>
        </r>
      </text>
    </comment>
    <comment ref="D152" authorId="0" shapeId="0" xr:uid="{A2700B4A-A3C6-F742-AF58-C31783A8A80E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2009 10k pg 73
</t>
        </r>
      </text>
    </comment>
    <comment ref="E152" authorId="0" shapeId="0" xr:uid="{63CEF416-D5F5-434D-B0A9-288A59880BAB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2009 10k pg 73
</t>
        </r>
      </text>
    </comment>
    <comment ref="F152" authorId="0" shapeId="0" xr:uid="{E12699C2-8E67-4944-9DE7-896E1C8D525F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2010 10k pg 72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D154" authorId="0" shapeId="0" xr:uid="{080DB989-7452-8641-B908-7918598ED05F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2009 10k pg 73
</t>
        </r>
      </text>
    </comment>
    <comment ref="E154" authorId="0" shapeId="0" xr:uid="{D4877C0F-4F3D-6542-BA84-DF0C7EDBAF04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2009 10k pg 73
</t>
        </r>
      </text>
    </comment>
    <comment ref="F154" authorId="0" shapeId="0" xr:uid="{F7FEFA93-E280-DC4E-AF9C-253FC4725DFC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2009 10k pg 73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Gagan Bhaskar Naik</author>
  </authors>
  <commentList>
    <comment ref="E7" authorId="0" shapeId="0" xr:uid="{FD606B58-48B9-C747-9187-9F6A71D7B95B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 pg 88
</t>
        </r>
      </text>
    </comment>
    <comment ref="E12" authorId="0" shapeId="0" xr:uid="{7D7C8D59-A9DC-1A48-95FB-11238EDF7AA7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 pg 100
</t>
        </r>
      </text>
    </comment>
    <comment ref="E14" authorId="0" shapeId="0" xr:uid="{B43B4E66-6E82-3641-98D2-80A940EC7685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2011 10k pg 88
</t>
        </r>
      </text>
    </comment>
    <comment ref="C21" authorId="0" shapeId="0" xr:uid="{3AB443CD-F01B-2B4F-AD41-11B83EF6B14D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2011 10k pg 99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D21" authorId="0" shapeId="0" xr:uid="{EB82C620-DD12-F545-A523-5AC7197C697C}">
      <text>
        <r>
          <rPr>
            <b/>
            <sz val="10"/>
            <color rgb="FF000000"/>
            <rFont val="Tahoma"/>
            <family val="2"/>
          </rPr>
          <t>Gagan Bhaskar Naik: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2011 10k pg 99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<sst xmlns="http://schemas.openxmlformats.org/spreadsheetml/2006/main" count="1266" uniqueCount="594">
  <si>
    <t>#</t>
  </si>
  <si>
    <t>Financials</t>
  </si>
  <si>
    <t>Operating Model</t>
  </si>
  <si>
    <t>Revenue</t>
  </si>
  <si>
    <t>% Growth</t>
  </si>
  <si>
    <t>COGS</t>
  </si>
  <si>
    <t>% Sales</t>
  </si>
  <si>
    <t>Gross Profit</t>
  </si>
  <si>
    <t>Op.Ex</t>
  </si>
  <si>
    <t>EBIT</t>
  </si>
  <si>
    <t>D&amp;A</t>
  </si>
  <si>
    <t>EBITDA</t>
  </si>
  <si>
    <t>Interests</t>
  </si>
  <si>
    <t>EBT</t>
  </si>
  <si>
    <t>Taxes</t>
  </si>
  <si>
    <t>% Tax Rate</t>
  </si>
  <si>
    <t xml:space="preserve">Net Income </t>
  </si>
  <si>
    <t>Cash Flow Items</t>
  </si>
  <si>
    <t>NWC</t>
  </si>
  <si>
    <t>Change in NWC</t>
  </si>
  <si>
    <t>CapEx</t>
  </si>
  <si>
    <t>Leveraged Cash Flow Items</t>
  </si>
  <si>
    <t>Net Income</t>
  </si>
  <si>
    <t>Leveraged Free Cash Flow</t>
  </si>
  <si>
    <t>Debt Schedule</t>
  </si>
  <si>
    <t>Revolver</t>
  </si>
  <si>
    <t>Beginning Balance</t>
  </si>
  <si>
    <t xml:space="preserve">Interest </t>
  </si>
  <si>
    <t>Paydown</t>
  </si>
  <si>
    <t>Ending Balance</t>
  </si>
  <si>
    <t>Total Debt</t>
  </si>
  <si>
    <t>IRR</t>
  </si>
  <si>
    <t>LTM EBITDA at Exit</t>
  </si>
  <si>
    <t>Exit Multiple</t>
  </si>
  <si>
    <t>Entreprise Value</t>
  </si>
  <si>
    <t>Net Debt</t>
  </si>
  <si>
    <t>Sponsor Equity Value</t>
  </si>
  <si>
    <t>Sponsor Equity at Entry</t>
  </si>
  <si>
    <t>MOIC</t>
  </si>
  <si>
    <t>Switches</t>
  </si>
  <si>
    <t>Circuit Breaker</t>
  </si>
  <si>
    <t>OFF</t>
  </si>
  <si>
    <t>IRR (for reference)</t>
  </si>
  <si>
    <t>Case</t>
  </si>
  <si>
    <t>Revolver Check</t>
  </si>
  <si>
    <t>Assumptions</t>
  </si>
  <si>
    <t>Transaction Background</t>
  </si>
  <si>
    <t>Valuation Entry</t>
  </si>
  <si>
    <t xml:space="preserve">Company Name </t>
  </si>
  <si>
    <t>Burger King</t>
  </si>
  <si>
    <t>Offer value / share</t>
  </si>
  <si>
    <t>Ticker</t>
  </si>
  <si>
    <t>BKC</t>
  </si>
  <si>
    <t>% Premium / share</t>
  </si>
  <si>
    <t>Latest closing share price</t>
  </si>
  <si>
    <t>Latest closing share price date</t>
  </si>
  <si>
    <t>Offer value (Equity Value)</t>
  </si>
  <si>
    <t>Diluted shares outstanding</t>
  </si>
  <si>
    <t>Transaction Financials &amp; Assumptions</t>
  </si>
  <si>
    <t>Debt</t>
  </si>
  <si>
    <t>LTM EBITDA</t>
  </si>
  <si>
    <t>Cash</t>
  </si>
  <si>
    <t xml:space="preserve">Debt </t>
  </si>
  <si>
    <t>Enterprise Value</t>
  </si>
  <si>
    <t>Minimum Cash</t>
  </si>
  <si>
    <t>Entry Multiple</t>
  </si>
  <si>
    <t>Capital Structure</t>
  </si>
  <si>
    <t>Amount</t>
  </si>
  <si>
    <t>xEBITDA</t>
  </si>
  <si>
    <t>Interest (%)</t>
  </si>
  <si>
    <t xml:space="preserve">Fees (%) </t>
  </si>
  <si>
    <t>Fees($)</t>
  </si>
  <si>
    <t>Term</t>
  </si>
  <si>
    <t>Amortization</t>
  </si>
  <si>
    <t>Secured Term Loan - USD Tranche</t>
  </si>
  <si>
    <t>Secured Term Loan - EUR Tranche</t>
  </si>
  <si>
    <t>Senior Notes</t>
  </si>
  <si>
    <t>PIK</t>
  </si>
  <si>
    <t>Subordinated Notes</t>
  </si>
  <si>
    <t>Total</t>
  </si>
  <si>
    <t>Sources and Uses</t>
  </si>
  <si>
    <t>Sources</t>
  </si>
  <si>
    <t>Uses</t>
  </si>
  <si>
    <t xml:space="preserve"> </t>
  </si>
  <si>
    <t xml:space="preserve">Amount </t>
  </si>
  <si>
    <t>% Capital</t>
  </si>
  <si>
    <t>Equity Payment</t>
  </si>
  <si>
    <t>Debt Refinancing</t>
  </si>
  <si>
    <t>Transaction Fees</t>
  </si>
  <si>
    <t>Cash on Hand</t>
  </si>
  <si>
    <t>Financing Fees</t>
  </si>
  <si>
    <t>Sponsor Equity</t>
  </si>
  <si>
    <t xml:space="preserve">Other </t>
  </si>
  <si>
    <t xml:space="preserve">Total </t>
  </si>
  <si>
    <t>Financials (6/30 FYE)</t>
  </si>
  <si>
    <t>Step</t>
  </si>
  <si>
    <t>Revenue Growth</t>
  </si>
  <si>
    <t>--</t>
  </si>
  <si>
    <t>0..0%</t>
  </si>
  <si>
    <t>Gross Margin</t>
  </si>
  <si>
    <t>OpEx Margin</t>
  </si>
  <si>
    <t>Tax Rate</t>
  </si>
  <si>
    <t>% of Sales</t>
  </si>
  <si>
    <t>Op Ex</t>
  </si>
  <si>
    <t>EBIT - Conservative</t>
  </si>
  <si>
    <t>EBIT - Management</t>
  </si>
  <si>
    <t>Interest Expense</t>
  </si>
  <si>
    <t>Interest Income</t>
  </si>
  <si>
    <t xml:space="preserve">EBT </t>
  </si>
  <si>
    <t>EBITDA Reconciliation</t>
  </si>
  <si>
    <t>Adjustments</t>
  </si>
  <si>
    <t>EBITDA - Conservative</t>
  </si>
  <si>
    <t>EBITDA - Management</t>
  </si>
  <si>
    <t xml:space="preserve">Working Capital </t>
  </si>
  <si>
    <t>Trade and Notes Receivables</t>
  </si>
  <si>
    <t>Prepaids &amp; Other Current Assets</t>
  </si>
  <si>
    <t>Accounts &amp; Drafts Payables</t>
  </si>
  <si>
    <t>Accrued Advertising</t>
  </si>
  <si>
    <t>Other Accrued Liabilities</t>
  </si>
  <si>
    <t>Net Working Capital (NWC)</t>
  </si>
  <si>
    <t>-</t>
  </si>
  <si>
    <t>Long Lived Asset</t>
  </si>
  <si>
    <t>D&amp;A of PPE</t>
  </si>
  <si>
    <t>% of CapEx</t>
  </si>
  <si>
    <t>PP&amp;E</t>
  </si>
  <si>
    <t>Capital Expenditure</t>
  </si>
  <si>
    <t>Depreciation</t>
  </si>
  <si>
    <t>Intangible Assets</t>
  </si>
  <si>
    <t>Purchases / (Impairment)</t>
  </si>
  <si>
    <t>Goodwill&amp; Other Assets</t>
  </si>
  <si>
    <t>Other Liabilities</t>
  </si>
  <si>
    <t>D&amp;A - Conservative</t>
  </si>
  <si>
    <t>D&amp;A - Management</t>
  </si>
  <si>
    <t>Cash Flow Statement</t>
  </si>
  <si>
    <t>Change in Net Working Capital</t>
  </si>
  <si>
    <t>Other Long Term Assets and Liabiities</t>
  </si>
  <si>
    <t>PIK Interest</t>
  </si>
  <si>
    <t>Cash Flow from Operations</t>
  </si>
  <si>
    <t>Purchases of Intangible Assets</t>
  </si>
  <si>
    <t>Cash from Investing</t>
  </si>
  <si>
    <t>Mandatory Debt Payments</t>
  </si>
  <si>
    <t>Pre-Revolver Cash Flow</t>
  </si>
  <si>
    <t>Post Revolver Cash Flow</t>
  </si>
  <si>
    <t>Discreationary Payments</t>
  </si>
  <si>
    <t>Net Cash Flow</t>
  </si>
  <si>
    <t>Mandatory Debt Repayments</t>
  </si>
  <si>
    <t>Levered Free Cash Flow</t>
  </si>
  <si>
    <t>Debt Paydown</t>
  </si>
  <si>
    <t>Inflow / (Outflow)</t>
  </si>
  <si>
    <t>Beginning Cash Balance</t>
  </si>
  <si>
    <t>Beginning Cash Excess</t>
  </si>
  <si>
    <t>Free Cash Flow Generated</t>
  </si>
  <si>
    <t>Cash Available to Paydown / (Draw from) Revolver</t>
  </si>
  <si>
    <t>Increase / (Decrease)</t>
  </si>
  <si>
    <t>Maximum Availability</t>
  </si>
  <si>
    <t>CHECK</t>
  </si>
  <si>
    <t>Mandatory Paydown</t>
  </si>
  <si>
    <t>Paydown from Excess Cash Flows</t>
  </si>
  <si>
    <t>Mandatory Paydowns (% of Initial Amount)</t>
  </si>
  <si>
    <t>Cash Sweep</t>
  </si>
  <si>
    <t>% of available</t>
  </si>
  <si>
    <t>Interest</t>
  </si>
  <si>
    <t>Interest Income Rate</t>
  </si>
  <si>
    <t>Secured Term Loan - USD tranche</t>
  </si>
  <si>
    <t>Interest Rate</t>
  </si>
  <si>
    <t>Secured Term Loan - EUR tranche</t>
  </si>
  <si>
    <t xml:space="preserve">Total Interest </t>
  </si>
  <si>
    <t>Blended Interest Rate</t>
  </si>
  <si>
    <t>Exit Multiplte</t>
  </si>
  <si>
    <t>Entrprise Value</t>
  </si>
  <si>
    <t>LBO Model</t>
  </si>
  <si>
    <t>(in millions)</t>
  </si>
  <si>
    <t>Entry</t>
  </si>
  <si>
    <t>LTM</t>
  </si>
  <si>
    <t>Entry Multiplier</t>
  </si>
  <si>
    <t>Bank Loan</t>
  </si>
  <si>
    <t>OpEx</t>
  </si>
  <si>
    <t>Existing Net Debt</t>
  </si>
  <si>
    <t>Equity Value</t>
  </si>
  <si>
    <t>Fees &amp; Expenses</t>
  </si>
  <si>
    <t>Operating Assumptions</t>
  </si>
  <si>
    <t>Exit</t>
  </si>
  <si>
    <t>Exit Multiplier</t>
  </si>
  <si>
    <t>%Capital</t>
  </si>
  <si>
    <t>Total Sources</t>
  </si>
  <si>
    <t>Total Uses</t>
  </si>
  <si>
    <t>Diluted Share Count Calculation</t>
  </si>
  <si>
    <t>Full Diluted Shares</t>
  </si>
  <si>
    <t>Offer Price</t>
  </si>
  <si>
    <t>Basic Share Outstanding (latest filing)</t>
  </si>
  <si>
    <t>In-the-money exerisable options</t>
  </si>
  <si>
    <t>Total Proceeds (mm)</t>
  </si>
  <si>
    <t>Total Shares Repurchased (mm)</t>
  </si>
  <si>
    <t>Net Dilutive Options</t>
  </si>
  <si>
    <t>Dilutive Impact of Shares from Other Securities</t>
  </si>
  <si>
    <t>Settled Stock Based Comp</t>
  </si>
  <si>
    <t>Net Diluted Shares Outstanding</t>
  </si>
  <si>
    <t>Options Outstanding</t>
  </si>
  <si>
    <t>Outstanding</t>
  </si>
  <si>
    <t>Exercise Price</t>
  </si>
  <si>
    <t>Dilutive Shares</t>
  </si>
  <si>
    <t>Years</t>
  </si>
  <si>
    <t> </t>
  </si>
  <si>
    <t>Income Statement</t>
  </si>
  <si>
    <t>Sales</t>
  </si>
  <si>
    <t>Sales Growth</t>
  </si>
  <si>
    <t>COGS % Sales</t>
  </si>
  <si>
    <t>Selling General &amp; Admin Exp.</t>
  </si>
  <si>
    <t>SG&amp;A Exp. % Sales</t>
  </si>
  <si>
    <t>R &amp; D Exp. % Sales</t>
  </si>
  <si>
    <t>EBITDA % Sales</t>
  </si>
  <si>
    <t>Depreciation &amp; Amor.</t>
  </si>
  <si>
    <t>Depreciation &amp; Amor. % Sales</t>
  </si>
  <si>
    <t>EBIT % Sales</t>
  </si>
  <si>
    <t>Interest % Sales</t>
  </si>
  <si>
    <t>EBT % Sales</t>
  </si>
  <si>
    <t>Effective Tax Rate</t>
  </si>
  <si>
    <t>Net Profit</t>
  </si>
  <si>
    <t>Net Margins</t>
  </si>
  <si>
    <t>Basic EPS</t>
  </si>
  <si>
    <t>EPS Growth</t>
  </si>
  <si>
    <t>Dividends Per Share</t>
  </si>
  <si>
    <t>Payout Ratio</t>
  </si>
  <si>
    <t>Balance Sheet</t>
  </si>
  <si>
    <t>Total Current Assets</t>
  </si>
  <si>
    <t>Net PP&amp;E</t>
  </si>
  <si>
    <t>Total Assets</t>
  </si>
  <si>
    <t>Check</t>
  </si>
  <si>
    <t>Operating Activities</t>
  </si>
  <si>
    <t>Cash from Operations</t>
  </si>
  <si>
    <t>Investing Activities</t>
  </si>
  <si>
    <t>Financing Activities</t>
  </si>
  <si>
    <t>Cash from Financing</t>
  </si>
  <si>
    <t>Trends</t>
  </si>
  <si>
    <t>Mean</t>
  </si>
  <si>
    <t>Median</t>
  </si>
  <si>
    <t>Growth Ratios</t>
  </si>
  <si>
    <t>Sales_Growth</t>
  </si>
  <si>
    <t>EBITDA_Growth</t>
  </si>
  <si>
    <t>EBIT_Growth</t>
  </si>
  <si>
    <t>Net_Profit_Growth</t>
  </si>
  <si>
    <t>Dividend_Growth</t>
  </si>
  <si>
    <t>Profitability Ratios</t>
  </si>
  <si>
    <t>Gross_Margin</t>
  </si>
  <si>
    <t>EBITDA_Margin</t>
  </si>
  <si>
    <t>EBIT/Operating_Margin</t>
  </si>
  <si>
    <t>EBT_Margin</t>
  </si>
  <si>
    <t>Net_Profit_Margin</t>
  </si>
  <si>
    <t>Expense &amp; Efficiency Ratios</t>
  </si>
  <si>
    <t>Sales_Expenses_%Sales</t>
  </si>
  <si>
    <t>Depreciation_%Sales</t>
  </si>
  <si>
    <t>Operating_Income_%Sales</t>
  </si>
  <si>
    <t>Return Ratios</t>
  </si>
  <si>
    <t>Return_on_Capital_Employed</t>
  </si>
  <si>
    <t>Retained_Earnings%</t>
  </si>
  <si>
    <t>Return_on_Equity%</t>
  </si>
  <si>
    <t>Self_Sustained_Growth_Rate</t>
  </si>
  <si>
    <t>Interest_Coverage_Ratio</t>
  </si>
  <si>
    <t>Turnover Ratios</t>
  </si>
  <si>
    <t>Debtor_Turnover_Ratio</t>
  </si>
  <si>
    <t>Creditor_Turnover_Ratio</t>
  </si>
  <si>
    <t>Inventory_Turnover</t>
  </si>
  <si>
    <t>Fixed_Asset_Turnover</t>
  </si>
  <si>
    <t>Capital_Turnover_Ratio</t>
  </si>
  <si>
    <t>Liquidity &amp; Working Capital Ratios</t>
  </si>
  <si>
    <t>Debtor_Days</t>
  </si>
  <si>
    <t>Payable_Days</t>
  </si>
  <si>
    <t>Inventory_Days</t>
  </si>
  <si>
    <t>Cash_Conversion_Cylce</t>
  </si>
  <si>
    <t>Cash Flow Ratios</t>
  </si>
  <si>
    <t>CFO/Sales</t>
  </si>
  <si>
    <t>CFO/Total_Asset</t>
  </si>
  <si>
    <t>CFO/Total_Debt</t>
  </si>
  <si>
    <t>Weighted Average Cost of Capital</t>
  </si>
  <si>
    <t>All figures are in USD unless stated otherwise</t>
  </si>
  <si>
    <t>Peer Comps</t>
  </si>
  <si>
    <t>Debt/</t>
  </si>
  <si>
    <t xml:space="preserve">Levered </t>
  </si>
  <si>
    <t>Unlevered</t>
  </si>
  <si>
    <t xml:space="preserve">Name of Comp </t>
  </si>
  <si>
    <t>Total Equity</t>
  </si>
  <si>
    <r>
      <t>Tax Rate</t>
    </r>
    <r>
      <rPr>
        <vertAlign val="superscript"/>
        <sz val="11"/>
        <color theme="1"/>
        <rFont val="Calibri"/>
        <family val="2"/>
      </rPr>
      <t>1</t>
    </r>
  </si>
  <si>
    <t>Equity</t>
  </si>
  <si>
    <t>Capital</t>
  </si>
  <si>
    <r>
      <t>Beta</t>
    </r>
    <r>
      <rPr>
        <vertAlign val="superscript"/>
        <sz val="11"/>
        <color theme="1"/>
        <rFont val="Calibri"/>
        <family val="2"/>
      </rPr>
      <t>2</t>
    </r>
  </si>
  <si>
    <r>
      <t>Beta</t>
    </r>
    <r>
      <rPr>
        <vertAlign val="superscript"/>
        <sz val="11"/>
        <color theme="1"/>
        <rFont val="Calibri"/>
        <family val="2"/>
      </rPr>
      <t>3</t>
    </r>
  </si>
  <si>
    <t>Average</t>
  </si>
  <si>
    <t>Cost of Debt</t>
  </si>
  <si>
    <t>Cost of Equity</t>
  </si>
  <si>
    <t>Pre-Tax Cost of Debt</t>
  </si>
  <si>
    <t>Risk Free Rate</t>
  </si>
  <si>
    <t xml:space="preserve">Tax Rate </t>
  </si>
  <si>
    <t>Equity Risk Premium</t>
  </si>
  <si>
    <t>Post-Tax Cost of Debt</t>
  </si>
  <si>
    <r>
      <t>Levered Beta</t>
    </r>
    <r>
      <rPr>
        <vertAlign val="superscript"/>
        <sz val="11"/>
        <color theme="1"/>
        <rFont val="Calibri"/>
        <family val="2"/>
      </rPr>
      <t>4</t>
    </r>
  </si>
  <si>
    <t>Levered Beta</t>
  </si>
  <si>
    <t>Current</t>
  </si>
  <si>
    <t>Target</t>
  </si>
  <si>
    <t>Comps Median Unlevered Beta</t>
  </si>
  <si>
    <t>Target Debt / Equity</t>
  </si>
  <si>
    <t>Market Capitalization</t>
  </si>
  <si>
    <t>Total Capital</t>
  </si>
  <si>
    <t>Debt/Equity</t>
  </si>
  <si>
    <t>Notes -</t>
  </si>
  <si>
    <t>Total Cost</t>
  </si>
  <si>
    <t>Total Weight</t>
  </si>
  <si>
    <t>1. Tax Rate considered as Marginal Tax Rate of country</t>
  </si>
  <si>
    <t>2. Levered Beta is based on 5 years monthly data</t>
  </si>
  <si>
    <t>3. Unlevered Beta = Levered Beta/(1+(1-Tax Rate)*Debt/Equity)</t>
  </si>
  <si>
    <t>WACC</t>
  </si>
  <si>
    <t>4. Levered Beta = Unlevered Beta*(1+(1-Tax Rate)*Debt/Equity)</t>
  </si>
  <si>
    <t>Intrinsic Growth</t>
  </si>
  <si>
    <t>Calculation of ROIC</t>
  </si>
  <si>
    <t>Current Assets</t>
  </si>
  <si>
    <t>Current Liabilities</t>
  </si>
  <si>
    <t>Toal Current Liabilities</t>
  </si>
  <si>
    <t>Net Working Capital</t>
  </si>
  <si>
    <t>Non-Current Assets</t>
  </si>
  <si>
    <t>Net Block</t>
  </si>
  <si>
    <t>Net Non-Current Assets</t>
  </si>
  <si>
    <t>Invested Capital</t>
  </si>
  <si>
    <t>ROIC</t>
  </si>
  <si>
    <t xml:space="preserve"># </t>
  </si>
  <si>
    <t>Calculation of Reinvestment Rate</t>
  </si>
  <si>
    <t>Net Capex</t>
  </si>
  <si>
    <t>Change in Working Capital</t>
  </si>
  <si>
    <t>Marginal Tax Rate</t>
  </si>
  <si>
    <t>EBIT * (1-Tax Rate)</t>
  </si>
  <si>
    <t>Reinvestment</t>
  </si>
  <si>
    <t>Reinvestment Rate</t>
  </si>
  <si>
    <t>4-Year Average</t>
  </si>
  <si>
    <t>4-Year Median</t>
  </si>
  <si>
    <t>Calculation of Growth Rate</t>
  </si>
  <si>
    <t>Intrinsic Rate</t>
  </si>
  <si>
    <t>DCF Model</t>
  </si>
  <si>
    <t>Calculation of PV of FCFF</t>
  </si>
  <si>
    <t>EBIT * (1-T)</t>
  </si>
  <si>
    <t>Less: Reinvestment Rate</t>
  </si>
  <si>
    <t>Free Cash Flow to Firm (FCFF)</t>
  </si>
  <si>
    <t>Mid Year Convention</t>
  </si>
  <si>
    <t>Discounting Factor</t>
  </si>
  <si>
    <t>PV of FCFF</t>
  </si>
  <si>
    <t>Expected Growth</t>
  </si>
  <si>
    <t>Terminal Growth</t>
  </si>
  <si>
    <t>Calculation of Terminal Value</t>
  </si>
  <si>
    <t>FCFF (n + 1)</t>
  </si>
  <si>
    <t>Terminal Growth Rate</t>
  </si>
  <si>
    <t>Terminal Value</t>
  </si>
  <si>
    <t>Calculation of Equity Value</t>
  </si>
  <si>
    <t>PV of Terminal Value</t>
  </si>
  <si>
    <t>Value of Operating Assets</t>
  </si>
  <si>
    <t>(Entreprise Value)</t>
  </si>
  <si>
    <t>Add: Cash</t>
  </si>
  <si>
    <t>Less: Debt</t>
  </si>
  <si>
    <t>Value of Equity</t>
  </si>
  <si>
    <t>No. of Shares</t>
  </si>
  <si>
    <t>Equity Value Per Share</t>
  </si>
  <si>
    <t>Share Price</t>
  </si>
  <si>
    <t>Discount/Premium</t>
  </si>
  <si>
    <t xml:space="preserve">Apple Inc. </t>
  </si>
  <si>
    <t xml:space="preserve">For the Fiscal Period Ending
</t>
  </si>
  <si>
    <t>12 months
Sep-26-2020</t>
  </si>
  <si>
    <t>12 months
Sep-25-2021</t>
  </si>
  <si>
    <t>12 months
Sep-24-2022</t>
  </si>
  <si>
    <t>12 months
Sep-30-2023</t>
  </si>
  <si>
    <t>12 months
Sep-28-2024</t>
  </si>
  <si>
    <t>LTM
12 months
Dec-28-2024</t>
  </si>
  <si>
    <t>Currency</t>
  </si>
  <si>
    <t>USD</t>
  </si>
  <si>
    <t>Other Revenue</t>
  </si>
  <si>
    <t xml:space="preserve">  Total Revenue</t>
  </si>
  <si>
    <t>Cost Of Goods Sold</t>
  </si>
  <si>
    <t xml:space="preserve">  Gross Profit</t>
  </si>
  <si>
    <t>R &amp; D Exp.</t>
  </si>
  <si>
    <t>Depreciation &amp; Amort.</t>
  </si>
  <si>
    <t>Other Operating Expense/(Income)</t>
  </si>
  <si>
    <t xml:space="preserve">  Other Operating Exp., Total</t>
  </si>
  <si>
    <t xml:space="preserve">  Operating Income</t>
  </si>
  <si>
    <t>Interest and Invest. Income</t>
  </si>
  <si>
    <t xml:space="preserve">  Net Interest Exp.</t>
  </si>
  <si>
    <t>Other Non-Operating Inc. (Exp.)</t>
  </si>
  <si>
    <t xml:space="preserve">  EBT Excl. Unusual Items</t>
  </si>
  <si>
    <t>Impairment of Goodwill</t>
  </si>
  <si>
    <t>Other Unusual Items</t>
  </si>
  <si>
    <t xml:space="preserve">  EBT Incl. Unusual Items</t>
  </si>
  <si>
    <t>Income Tax Expense</t>
  </si>
  <si>
    <t xml:space="preserve">  Earnings from Cont. Ops.</t>
  </si>
  <si>
    <t>Earnings of Discontinued Ops.</t>
  </si>
  <si>
    <t>Extraord. Item &amp; Account. Change</t>
  </si>
  <si>
    <t xml:space="preserve">  Net Income to Company</t>
  </si>
  <si>
    <t>Minority Int. in Earnings</t>
  </si>
  <si>
    <t xml:space="preserve">  Net Income</t>
  </si>
  <si>
    <t>Pref. Dividends and Other Adj.</t>
  </si>
  <si>
    <t xml:space="preserve">  NI to Common Incl Extra Items</t>
  </si>
  <si>
    <t xml:space="preserve">  NI to Common Excl. Extra Items</t>
  </si>
  <si>
    <t>Per Share Items</t>
  </si>
  <si>
    <t>Basic EPS Excl. Extra Items</t>
  </si>
  <si>
    <t>Weighted Avg. Basic Shares Out.</t>
  </si>
  <si>
    <t>Diluted EPS</t>
  </si>
  <si>
    <t>Diluted EPS Excl. Extra Items</t>
  </si>
  <si>
    <t>Weighted Avg. Diluted Shares Out.</t>
  </si>
  <si>
    <t>Normalized Basic EPS</t>
  </si>
  <si>
    <t>Normalized Diluted EPS</t>
  </si>
  <si>
    <t>Dividends per Share</t>
  </si>
  <si>
    <t>Payout Ratio %</t>
  </si>
  <si>
    <t>Shares per Depository Receipt</t>
  </si>
  <si>
    <t>Supplemental Items</t>
  </si>
  <si>
    <t>EBITA</t>
  </si>
  <si>
    <t>EBITDAR</t>
  </si>
  <si>
    <t>NA</t>
  </si>
  <si>
    <t>As Reported Total Revenue*</t>
  </si>
  <si>
    <t>Effective Tax Rate %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</si>
  <si>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</si>
  <si>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</si>
  <si>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</si>
  <si>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</si>
  <si>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</si>
  <si>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</si>
  <si>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</si>
  <si>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 Term Debt</t>
  </si>
  <si>
    <t>Filing Date</t>
  </si>
  <si>
    <t>Restatement Type</t>
  </si>
  <si>
    <t>NC</t>
  </si>
  <si>
    <t>O</t>
  </si>
  <si>
    <t>Calculation Type</t>
  </si>
  <si>
    <t>REP</t>
  </si>
  <si>
    <t>Supplemental Operating Expense Items</t>
  </si>
  <si>
    <t>R&amp;D Exp.</t>
  </si>
  <si>
    <t>Net Rental Exp.</t>
  </si>
  <si>
    <t>Imputed Oper. Lease Interest Exp.</t>
  </si>
  <si>
    <t>Imputed Oper. Lease Depreciation</t>
  </si>
  <si>
    <t>Stock-Based Comp., Unallocated</t>
  </si>
  <si>
    <t xml:space="preserve">  Stock-Based Comp., Total</t>
  </si>
  <si>
    <t>* Occasionally, certain items classified as Revenue by the company will be re-classified as other income if it is deemed to be non-recurring and unrelated to the core business of the firm. This field shows Total Revenue exactly as reported by the firm on its consolidated statement of income.</t>
  </si>
  <si>
    <t>Note: For multiple class companies, per share items are primary class equivalent, and for foreign companies listed as primary ADRs, per share items are ADR-equivalent.</t>
  </si>
  <si>
    <t xml:space="preserve">Balance Sheet as of:
</t>
  </si>
  <si>
    <t>Reclassified
Sep-30-2023</t>
  </si>
  <si>
    <t>ASSETS</t>
  </si>
  <si>
    <t>Cash And Equivalents</t>
  </si>
  <si>
    <t>Short Term Investments</t>
  </si>
  <si>
    <t xml:space="preserve">  Total Cash &amp; ST Investments</t>
  </si>
  <si>
    <t>Accounts Receivable</t>
  </si>
  <si>
    <t>Other Receivables</t>
  </si>
  <si>
    <t xml:space="preserve">  Total Receivables</t>
  </si>
  <si>
    <t>Inventory</t>
  </si>
  <si>
    <t>Other Current Assets</t>
  </si>
  <si>
    <t xml:space="preserve">  Total Current Assets</t>
  </si>
  <si>
    <t>Gross Property, Plant &amp; Equipment</t>
  </si>
  <si>
    <t>Accumulated Depreciation</t>
  </si>
  <si>
    <t xml:space="preserve">  Net Property, Plant &amp; Equipment</t>
  </si>
  <si>
    <t>Long-term Investments</t>
  </si>
  <si>
    <t>Deferred Tax Assets, LT</t>
  </si>
  <si>
    <t>Other Long-Term Assets</t>
  </si>
  <si>
    <t>LIABILITIES</t>
  </si>
  <si>
    <t>Accounts Payable</t>
  </si>
  <si>
    <t>Short-term Borrowings</t>
  </si>
  <si>
    <t>Curr. Port. of LT Debt</t>
  </si>
  <si>
    <t>Curr. Port. of Leases</t>
  </si>
  <si>
    <t>Curr. Income Taxes Payable</t>
  </si>
  <si>
    <t>Unearned Revenue, Current</t>
  </si>
  <si>
    <t>Other Current Liabilities</t>
  </si>
  <si>
    <t xml:space="preserve">  Total Current Liabilities</t>
  </si>
  <si>
    <t>Long-Term Debt</t>
  </si>
  <si>
    <t>Long-Term Leases</t>
  </si>
  <si>
    <t>Other Non-Current Liabilities</t>
  </si>
  <si>
    <t>Total Liabilities</t>
  </si>
  <si>
    <t>Common Stock</t>
  </si>
  <si>
    <t>Additional Paid In Capital</t>
  </si>
  <si>
    <t>Retained Earnings</t>
  </si>
  <si>
    <t>Treasury Stock</t>
  </si>
  <si>
    <t>Comprehensive Inc. and Other</t>
  </si>
  <si>
    <t xml:space="preserve">  Total Common Equity</t>
  </si>
  <si>
    <t>Total Liabilities And Equity</t>
  </si>
  <si>
    <t>Total Shares Out. on Filing Date</t>
  </si>
  <si>
    <t>Total Shares Out. on Balance Sheet Date</t>
  </si>
  <si>
    <t>Book Value/Share</t>
  </si>
  <si>
    <t>Tangible Book Value</t>
  </si>
  <si>
    <t>Tangible Book Value/Share</t>
  </si>
  <si>
    <t>Debt Equivalent Oper. Leases</t>
  </si>
  <si>
    <t>Inventory Method</t>
  </si>
  <si>
    <t>FIFO</t>
  </si>
  <si>
    <t>Raw Materials Inventory</t>
  </si>
  <si>
    <t>Finished Goods Inventory</t>
  </si>
  <si>
    <t>Land</t>
  </si>
  <si>
    <t>Machinery</t>
  </si>
  <si>
    <t>Leasehold Improvements</t>
  </si>
  <si>
    <t>Full Time Employees</t>
  </si>
  <si>
    <t>RD</t>
  </si>
  <si>
    <t>RUP</t>
  </si>
  <si>
    <t>Cash Flow</t>
  </si>
  <si>
    <t>Depreciation &amp; Amort., Total</t>
  </si>
  <si>
    <t>Stock-Based Compensation</t>
  </si>
  <si>
    <t>Other Operating Activities</t>
  </si>
  <si>
    <t>Change in Acc. Receivable</t>
  </si>
  <si>
    <t>Change In Inventories</t>
  </si>
  <si>
    <t>Change in Acc. Payable</t>
  </si>
  <si>
    <t>Change in Unearned Rev.</t>
  </si>
  <si>
    <t>Change in Other Net Operating Assets</t>
  </si>
  <si>
    <t xml:space="preserve">  Cash from Ops.</t>
  </si>
  <si>
    <t>Cash Acquisitions</t>
  </si>
  <si>
    <t>Divestitures</t>
  </si>
  <si>
    <t>Invest. in Marketable &amp; Equity Securt.</t>
  </si>
  <si>
    <t>Net (Inc.) Dec. in Loans Originated/Sold</t>
  </si>
  <si>
    <t>Other Investing Activities</t>
  </si>
  <si>
    <t xml:space="preserve">  Cash from Investing</t>
  </si>
  <si>
    <t>Short Term Debt Issued</t>
  </si>
  <si>
    <t>Long-Term Debt Issued</t>
  </si>
  <si>
    <t>Total Debt Issued</t>
  </si>
  <si>
    <t>Short Term Debt Repaid</t>
  </si>
  <si>
    <t>Long-Term Debt Repaid</t>
  </si>
  <si>
    <t>Total Debt Repaid</t>
  </si>
  <si>
    <t>Repurchase of Common Stock</t>
  </si>
  <si>
    <t>Common Dividends Paid</t>
  </si>
  <si>
    <t>Total Dividends Paid</t>
  </si>
  <si>
    <t>Special Dividend Paid</t>
  </si>
  <si>
    <t>Other Financing Activities</t>
  </si>
  <si>
    <t xml:space="preserve">  Cash from Financing</t>
  </si>
  <si>
    <t xml:space="preserve">  Net Change in Cash</t>
  </si>
  <si>
    <t>Cash Interest Paid</t>
  </si>
  <si>
    <t>Cash Taxes Paid</t>
  </si>
  <si>
    <t>Unlevered Free Cash Flow</t>
  </si>
  <si>
    <t>Net Debt Issued</t>
  </si>
  <si>
    <t>Current Capitalization (Millions of USD)</t>
  </si>
  <si>
    <t>Shares Out.</t>
  </si>
  <si>
    <t>- Cash &amp; Short Term Investments</t>
  </si>
  <si>
    <t>+ Total Debt</t>
  </si>
  <si>
    <t>+ Pref. Equity</t>
  </si>
  <si>
    <t>+ Total Minority Interest</t>
  </si>
  <si>
    <t>- Long Term Marketable Securities</t>
  </si>
  <si>
    <t>= Total Enterprise Value (TEV)</t>
  </si>
  <si>
    <t>Book Value of Common Equity</t>
  </si>
  <si>
    <t>= Total Capital</t>
  </si>
  <si>
    <t xml:space="preserve">Particulars </t>
  </si>
  <si>
    <t>Equity Capital</t>
  </si>
  <si>
    <t>Reserves</t>
  </si>
  <si>
    <t>Non Current Liabilities</t>
  </si>
  <si>
    <t>Fixed Assets</t>
  </si>
  <si>
    <t>Gross Block</t>
  </si>
  <si>
    <t>Investments</t>
  </si>
  <si>
    <t xml:space="preserve">Other Assets </t>
  </si>
  <si>
    <t>Apple Inc. (NasdaqGS:AAPL) &gt;  Quick Comparable Analysis &gt; Financial Data</t>
  </si>
  <si>
    <t>Details</t>
  </si>
  <si>
    <t>Template:</t>
  </si>
  <si>
    <t>Capital IQ Default Comps</t>
  </si>
  <si>
    <t>Currency:</t>
  </si>
  <si>
    <t>US Dollar</t>
  </si>
  <si>
    <t>As-Of Date:</t>
  </si>
  <si>
    <t>Company Comp Set</t>
  </si>
  <si>
    <t>Company Name</t>
  </si>
  <si>
    <t>Day Close Price Latest</t>
  </si>
  <si>
    <t>Shares Outstanding Latest</t>
  </si>
  <si>
    <t>Market Capitalization Latest</t>
  </si>
  <si>
    <t xml:space="preserve">LTM Net Debt </t>
  </si>
  <si>
    <t>LTM Total Pref. Equity</t>
  </si>
  <si>
    <t>LTM Minority Interest</t>
  </si>
  <si>
    <t>Total Enterprise Value Latest</t>
  </si>
  <si>
    <t xml:space="preserve">LTM Tangible Book Value/Share </t>
  </si>
  <si>
    <t xml:space="preserve">LTM Filing Date, Income Statement </t>
  </si>
  <si>
    <t xml:space="preserve">LTM Total Revenue </t>
  </si>
  <si>
    <t xml:space="preserve">LTM EBITDA </t>
  </si>
  <si>
    <t xml:space="preserve">LTM EBIT </t>
  </si>
  <si>
    <t xml:space="preserve">LTM Diluted EPS Excl. Extra Items </t>
  </si>
  <si>
    <t xml:space="preserve">NTM Revenue (Capital IQ) </t>
  </si>
  <si>
    <t xml:space="preserve">NTM EBITDA (Capital IQ) </t>
  </si>
  <si>
    <t xml:space="preserve">NTM EPS (Capital IQ) </t>
  </si>
  <si>
    <t>Alphabet Inc. (NasdaqGS:GOOGL)</t>
  </si>
  <si>
    <t>NVIDIA Corporation (NasdaqGS:NVDA)</t>
  </si>
  <si>
    <t>Dell Technologies Inc. (NYSE:DELL)</t>
  </si>
  <si>
    <t>QUALCOMM Incorporated (NasdaqGS:QCOM)</t>
  </si>
  <si>
    <t>HP Inc. (NYSE:HPQ)</t>
  </si>
  <si>
    <t>NetApp, Inc. (NasdaqGS:NTAP)</t>
  </si>
  <si>
    <t>Western Digital Corporation (NasdaqGS:WDC)</t>
  </si>
  <si>
    <t>Hewlett Packard Enterprise Company (NYSE:HPE)</t>
  </si>
  <si>
    <t>Samsung Electronics Co., Ltd. (KOSE:A005930)</t>
  </si>
  <si>
    <t>Sonim Technologies, Inc. (NasdaqCM:SONM)</t>
  </si>
  <si>
    <t>Apple Inc. (NasdaqGS:AAPL)</t>
  </si>
  <si>
    <t>Apple Inc. (NasdaqGS:AAPL) &gt;  Quick Comparable Analysis &gt; Operating Statistics</t>
  </si>
  <si>
    <t xml:space="preserve">LTM Gross Margin % </t>
  </si>
  <si>
    <t xml:space="preserve">LTM EBITDA Margin % </t>
  </si>
  <si>
    <t xml:space="preserve">LTM EBIT Margin % </t>
  </si>
  <si>
    <t xml:space="preserve">LTM Net Income Margin % </t>
  </si>
  <si>
    <t xml:space="preserve">LTM Total Revenues, 1 Yr Growth % </t>
  </si>
  <si>
    <t xml:space="preserve">LTM EBITDA, 1 Yr Growth % </t>
  </si>
  <si>
    <t xml:space="preserve">LTM EBIT, 1 Yr Growth % </t>
  </si>
  <si>
    <t xml:space="preserve">LTM Net Income, 1 Yr Growth % </t>
  </si>
  <si>
    <t>LTM Total Debt/Capital %</t>
  </si>
  <si>
    <t xml:space="preserve">LTM Total Debt/EBITDA </t>
  </si>
  <si>
    <t xml:space="preserve">NTM LT EPS Growth Rate (Capital IQ) </t>
  </si>
  <si>
    <t>5 Year Beta</t>
  </si>
  <si>
    <t>Return On Market (S&amp;P 500)</t>
  </si>
  <si>
    <t>Year</t>
  </si>
  <si>
    <t>Annual Change</t>
  </si>
  <si>
    <t>Dividend Yield</t>
  </si>
  <si>
    <t>Total Market 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</si>
</sst>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7" formatCode="&quot;$&quot;#,##0.00_);\(&quot;$&quot;#,##0.00\)"/>
    <numFmt numFmtId="164" formatCode="&quot;Year &quot;0"/>
    <numFmt numFmtId="165" formatCode="&quot;$&quot;#,##0.00;\(&quot;$&quot;#,##0.00\);\-"/>
    <numFmt numFmtId="166" formatCode="0.0&quot;x&quot;"/>
    <numFmt numFmtId="167" formatCode="&quot;$&quot;#,##0.0\ ;\(&quot;$&quot;###0.0\)\ ;\-"/>
    <numFmt numFmtId="168" formatCode="0.00%\ ;"/>
    <numFmt numFmtId="169" formatCode="m/d/yy\ ;"/>
    <numFmt numFmtId="170" formatCode="0.0\ ;"/>
    <numFmt numFmtId="171" formatCode="0.00&quot;x&quot;\ ;"/>
    <numFmt numFmtId="172" formatCode="0\ &quot;yrs&quot;\ ;"/>
    <numFmt numFmtId="173" formatCode="0&quot;A&quot;"/>
    <numFmt numFmtId="174" formatCode="0&quot;E&quot;"/>
    <numFmt numFmtId="175" formatCode="&quot;$&quot;#,##0.00\ ;\(&quot;$&quot;###0.00\)\ ;\-"/>
    <numFmt numFmtId="176" formatCode="0.00%\ ;\ \(0.00%\ \)"/>
    <numFmt numFmtId="177" formatCode="&quot;$&quot;#,##0.0_);\(&quot;$&quot;#,##0.0\)"/>
    <numFmt numFmtId="178" formatCode="&quot;Tranche &quot;0"/>
    <numFmt numFmtId="179" formatCode="0.0"/>
    <numFmt numFmtId="180" formatCode="&quot;$&quot;#,##0.0;\(&quot;$&quot;#,##0.0\);\-"/>
    <numFmt numFmtId="181" formatCode="0.00\x"/>
    <numFmt numFmtId="182" formatCode="0&quot; Days&quot;"/>
    <numFmt numFmtId="183" formatCode="mmm\-yy&quot; A&quot;"/>
    <numFmt numFmtId="184" formatCode="mmm\-yy&quot; F&quot;"/>
    <numFmt numFmtId="185" formatCode="0.000"/>
    <numFmt numFmtId="186" formatCode="0.00&quot;x&quot;"/>
    <numFmt numFmtId="187" formatCode="_(* #,##0.0_);_(* \(#,##0.0\)_)\ ;_(* 0_)"/>
    <numFmt numFmtId="188" formatCode="_(* #,##0.0_);_(* \(#,##0.0\);_(* &quot;-&quot;?_);_(@_)"/>
    <numFmt numFmtId="189" formatCode="_(&quot;$&quot;#,##0.0#_);_(\(&quot;$&quot;#,##0.0#\)_);_(&quot;$&quot;&quot; - &quot;_)"/>
    <numFmt numFmtId="190" formatCode="_(* #,##0.0#_);_(* \(#,##0.0#\)_)\ ;_(* 0_)"/>
    <numFmt numFmtId="191" formatCode="_(#,##0.0%_);_(\(#,##0.0%\)_);_(#,##0.0%_)"/>
    <numFmt numFmtId="192" formatCode="_(* #,##0.0##_);_(* \(#,##0.0##\)_)\ ;_(* 0_)"/>
    <numFmt numFmtId="193" formatCode="mmm\-dd\-yyyy"/>
    <numFmt numFmtId="194" formatCode="_(* #,##0_);_(* \(#,##0\)_)\ ;_(* 0_)"/>
    <numFmt numFmtId="195" formatCode="_(\ #,##0.0#_);_(\(\ #,##0.0#\)_);_(\ &quot; - &quot;_)"/>
    <numFmt numFmtId="196" formatCode="_(\ #,##0.0_);_(\ \(#,##0.0\)_);_(\ &quot; - &quot;_)"/>
    <numFmt numFmtId="197" formatCode="_(#,##0.00%_);_(\(#,##0.00%\)_);_(#,##0.00%_)"/>
    <numFmt numFmtId="198" formatCode="#,##0.0\x"/>
  </numFmts>
  <fonts count="57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 tint="0.499984740745262"/>
      <name val="Calibri"/>
      <family val="2"/>
    </font>
    <font>
      <sz val="11"/>
      <color rgb="FF000000"/>
      <name val="Calibri"/>
      <family val="2"/>
    </font>
    <font>
      <sz val="11"/>
      <color theme="3" tint="9.9978637043366805E-2"/>
      <name val="Calibri"/>
      <family val="2"/>
    </font>
    <font>
      <sz val="11"/>
      <color rgb="FF0432FF"/>
      <name val="Calibri"/>
      <family val="2"/>
    </font>
    <font>
      <i/>
      <sz val="11"/>
      <color theme="1"/>
      <name val="Calibri"/>
      <family val="2"/>
    </font>
    <font>
      <b/>
      <sz val="11"/>
      <color rgb="FF0432FF"/>
      <name val="Calibri"/>
      <family val="2"/>
    </font>
    <font>
      <sz val="11"/>
      <color rgb="FF92D050"/>
      <name val="Calibri"/>
      <family val="2"/>
    </font>
    <font>
      <sz val="11"/>
      <color rgb="FFAB52C0"/>
      <name val="Calibri"/>
      <family val="2"/>
    </font>
    <font>
      <b/>
      <u/>
      <sz val="11"/>
      <color theme="1"/>
      <name val="Calibri"/>
      <family val="2"/>
    </font>
    <font>
      <i/>
      <sz val="11"/>
      <color rgb="FF0432FF"/>
      <name val="Calibri"/>
      <family val="2"/>
    </font>
    <font>
      <b/>
      <sz val="11"/>
      <color rgb="FFAB52C0"/>
      <name val="Calibri"/>
      <family val="2"/>
    </font>
    <font>
      <b/>
      <sz val="11"/>
      <color rgb="FF000000"/>
      <name val="Calibri"/>
      <family val="2"/>
    </font>
    <font>
      <i/>
      <sz val="11"/>
      <color theme="0" tint="-0.499984740745262"/>
      <name val="Calibri"/>
      <family val="2"/>
    </font>
    <font>
      <i/>
      <sz val="11"/>
      <color rgb="FFAB52C0"/>
      <name val="Calibri"/>
      <family val="2"/>
    </font>
    <font>
      <b/>
      <i/>
      <sz val="11"/>
      <color theme="0" tint="-0.499984740745262"/>
      <name val="Calibri"/>
      <family val="2"/>
    </font>
    <font>
      <sz val="11"/>
      <color theme="0" tint="-0.249977111117893"/>
      <name val="Calibri"/>
      <family val="2"/>
    </font>
    <font>
      <i/>
      <sz val="11"/>
      <color rgb="FFFF0000"/>
      <name val="Calibri"/>
      <family val="2"/>
    </font>
    <font>
      <b/>
      <u/>
      <sz val="11"/>
      <color rgb="FF000000"/>
      <name val="Calibri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10"/>
      <color rgb="FF000000"/>
      <name val="Calibri"/>
      <family val="2"/>
    </font>
    <font>
      <sz val="11"/>
      <color rgb="FF000000"/>
      <name val="Calibri"/>
      <family val="34"/>
    </font>
    <font>
      <b/>
      <sz val="16"/>
      <color theme="1"/>
      <name val="Calibri"/>
      <family val="2"/>
    </font>
    <font>
      <b/>
      <i/>
      <sz val="11"/>
      <color theme="1" tint="0.499984740745262"/>
      <name val="Calibri"/>
      <family val="2"/>
    </font>
    <font>
      <sz val="12"/>
      <color theme="1"/>
      <name val="Calibri"/>
      <family val="2"/>
    </font>
    <font>
      <i/>
      <sz val="12"/>
      <color theme="0" tint="-0.499984740745262"/>
      <name val="Calibri"/>
      <family val="2"/>
    </font>
    <font>
      <b/>
      <sz val="12"/>
      <color theme="1"/>
      <name val="Calibri"/>
      <family val="2"/>
    </font>
    <font>
      <sz val="12"/>
      <color indexed="8"/>
      <name val="Calibri"/>
      <family val="2"/>
    </font>
    <font>
      <i/>
      <sz val="11"/>
      <color theme="1"/>
      <name val="Aptos Narrow"/>
      <scheme val="minor"/>
    </font>
    <font>
      <vertAlign val="superscript"/>
      <sz val="11"/>
      <color theme="1"/>
      <name val="Calibri"/>
      <family val="2"/>
    </font>
    <font>
      <sz val="11"/>
      <color rgb="FF0070C0"/>
      <name val="Calibri"/>
      <family val="2"/>
    </font>
    <font>
      <b/>
      <sz val="8"/>
      <color indexed="8"/>
      <name val="Arial"/>
      <family val="2"/>
    </font>
    <font>
      <i/>
      <sz val="9"/>
      <color theme="1"/>
      <name val="Aptos Narrow"/>
      <scheme val="minor"/>
    </font>
    <font>
      <b/>
      <sz val="12"/>
      <color theme="0"/>
      <name val="Calibri"/>
      <family val="2"/>
    </font>
    <font>
      <b/>
      <sz val="12"/>
      <color rgb="FFFFFFFF"/>
      <name val="Calibri"/>
      <family val="2"/>
    </font>
    <font>
      <sz val="12"/>
      <color rgb="FF000000"/>
      <name val="Calibri"/>
      <family val="2"/>
    </font>
    <font>
      <sz val="12"/>
      <color rgb="FF0052FF"/>
      <name val="Calibri"/>
      <family val="2"/>
    </font>
    <font>
      <b/>
      <sz val="12"/>
      <color rgb="FF000000"/>
      <name val="Calibri"/>
      <family val="2"/>
    </font>
    <font>
      <b/>
      <sz val="13"/>
      <color indexed="8"/>
      <name val="Verdana"/>
      <family val="2"/>
    </font>
    <font>
      <b/>
      <sz val="8"/>
      <color indexed="9"/>
      <name val="Verdana"/>
      <family val="2"/>
    </font>
    <font>
      <b/>
      <i/>
      <sz val="8"/>
      <color indexed="8"/>
      <name val="Arial"/>
      <family val="2"/>
    </font>
    <font>
      <sz val="8"/>
      <color indexed="8"/>
      <name val="Arial"/>
      <family val="2"/>
    </font>
    <font>
      <b/>
      <u val="double"/>
      <sz val="8"/>
      <color indexed="8"/>
      <name val="Arial"/>
      <family val="2"/>
    </font>
    <font>
      <sz val="8"/>
      <name val="Arial"/>
      <family val="2"/>
    </font>
    <font>
      <b/>
      <u/>
      <sz val="8"/>
      <color indexed="8"/>
      <name val="Arial"/>
      <family val="2"/>
    </font>
    <font>
      <b/>
      <sz val="8"/>
      <name val="Arial"/>
      <family val="2"/>
    </font>
    <font>
      <b/>
      <sz val="12"/>
      <color rgb="FF444444"/>
      <name val="Calibri"/>
      <family val="2"/>
    </font>
    <font>
      <sz val="12"/>
      <color rgb="FF444444"/>
      <name val="Calibri"/>
      <family val="2"/>
    </font>
    <font>
      <sz val="12"/>
      <color rgb="FFFF0000"/>
      <name val="Calibri"/>
      <family val="2"/>
    </font>
    <font>
      <sz val="12"/>
      <color rgb="FF008000"/>
      <name val="Calibri"/>
      <family val="2"/>
    </font>
    <font>
      <sz val="11"/>
      <color rgb="FF1A1A1A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FEBF"/>
        <bgColor indexed="64"/>
      </patternFill>
    </fill>
    <fill>
      <patternFill patternType="solid">
        <fgColor rgb="FF83CCEB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153D64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indexed="56"/>
        <bgColor indexed="64"/>
      </patternFill>
    </fill>
    <fill>
      <patternFill patternType="solid">
        <fgColor indexed="60"/>
        <bgColor indexed="64"/>
      </patternFill>
    </fill>
  </fills>
  <borders count="45">
    <border>
      <left/>
      <right/>
      <top/>
      <bottom/>
      <diagonal/>
    </border>
    <border>
      <left/>
      <right/>
      <top style="hair">
        <color theme="3" tint="9.9948118533890809E-2"/>
      </top>
      <bottom style="hair">
        <color theme="3" tint="9.9948118533890809E-2"/>
      </bottom>
      <diagonal/>
    </border>
    <border>
      <left/>
      <right/>
      <top style="hair">
        <color theme="3" tint="9.9917600024414813E-2"/>
      </top>
      <bottom style="hair">
        <color theme="3" tint="9.9917600024414813E-2"/>
      </bottom>
      <diagonal/>
    </border>
    <border>
      <left/>
      <right/>
      <top style="thin">
        <color theme="3" tint="9.9948118533890809E-2"/>
      </top>
      <bottom style="medium">
        <color theme="3" tint="9.9948118533890809E-2"/>
      </bottom>
      <diagonal/>
    </border>
    <border>
      <left/>
      <right/>
      <top style="thin">
        <color theme="3" tint="9.9948118533890809E-2"/>
      </top>
      <bottom/>
      <diagonal/>
    </border>
    <border>
      <left/>
      <right/>
      <top style="thin">
        <color theme="3" tint="9.9948118533890809E-2"/>
      </top>
      <bottom style="thick">
        <color theme="3" tint="9.9917600024414813E-2"/>
      </bottom>
      <diagonal/>
    </border>
    <border>
      <left/>
      <right/>
      <top/>
      <bottom style="hair">
        <color theme="3" tint="9.9917600024414813E-2"/>
      </bottom>
      <diagonal/>
    </border>
    <border>
      <left/>
      <right/>
      <top/>
      <bottom style="thin">
        <color theme="3" tint="9.9948118533890809E-2"/>
      </bottom>
      <diagonal/>
    </border>
    <border>
      <left style="hair">
        <color theme="3" tint="9.9948118533890809E-2"/>
      </left>
      <right/>
      <top style="hair">
        <color theme="3" tint="9.9948118533890809E-2"/>
      </top>
      <bottom/>
      <diagonal/>
    </border>
    <border>
      <left/>
      <right/>
      <top style="hair">
        <color theme="3" tint="9.9948118533890809E-2"/>
      </top>
      <bottom/>
      <diagonal/>
    </border>
    <border>
      <left/>
      <right style="hair">
        <color theme="3" tint="9.9948118533890809E-2"/>
      </right>
      <top style="hair">
        <color theme="3" tint="9.9948118533890809E-2"/>
      </top>
      <bottom/>
      <diagonal/>
    </border>
    <border>
      <left style="hair">
        <color theme="3" tint="9.9948118533890809E-2"/>
      </left>
      <right/>
      <top/>
      <bottom style="hair">
        <color theme="3" tint="9.9948118533890809E-2"/>
      </bottom>
      <diagonal/>
    </border>
    <border>
      <left/>
      <right/>
      <top/>
      <bottom style="hair">
        <color theme="3" tint="9.9948118533890809E-2"/>
      </bottom>
      <diagonal/>
    </border>
    <border>
      <left/>
      <right style="hair">
        <color theme="3" tint="9.9948118533890809E-2"/>
      </right>
      <top/>
      <bottom style="hair">
        <color theme="3" tint="9.9948118533890809E-2"/>
      </bottom>
      <diagonal/>
    </border>
    <border>
      <left style="hair">
        <color theme="3" tint="9.9917600024414813E-2"/>
      </left>
      <right style="hair">
        <color theme="3" tint="9.9917600024414813E-2"/>
      </right>
      <top style="hair">
        <color theme="3" tint="9.9887081514938816E-2"/>
      </top>
      <bottom style="hair">
        <color theme="3" tint="9.9948118533890809E-2"/>
      </bottom>
      <diagonal/>
    </border>
    <border>
      <left style="hair">
        <color theme="3" tint="9.9948118533890809E-2"/>
      </left>
      <right/>
      <top style="hair">
        <color theme="3" tint="9.9948118533890809E-2"/>
      </top>
      <bottom style="hair">
        <color theme="3" tint="9.9948118533890809E-2"/>
      </bottom>
      <diagonal/>
    </border>
    <border>
      <left/>
      <right style="hair">
        <color theme="3" tint="9.9948118533890809E-2"/>
      </right>
      <top style="hair">
        <color theme="3" tint="9.9948118533890809E-2"/>
      </top>
      <bottom style="hair">
        <color theme="3" tint="9.9948118533890809E-2"/>
      </bottom>
      <diagonal/>
    </border>
    <border>
      <left style="hair">
        <color theme="3" tint="9.985656300546282E-2"/>
      </left>
      <right style="hair">
        <color theme="3" tint="9.9917600024414813E-2"/>
      </right>
      <top style="hair">
        <color theme="3" tint="9.9887081514938816E-2"/>
      </top>
      <bottom style="hair">
        <color theme="3" tint="9.9948118533890809E-2"/>
      </bottom>
      <diagonal/>
    </border>
    <border>
      <left/>
      <right/>
      <top style="hair">
        <color auto="1"/>
      </top>
      <bottom/>
      <diagonal/>
    </border>
    <border>
      <left/>
      <right style="hair">
        <color theme="3" tint="9.9917600024414813E-2"/>
      </right>
      <top style="hair">
        <color theme="3" tint="9.9948118533890809E-2"/>
      </top>
      <bottom/>
      <diagonal/>
    </border>
    <border>
      <left/>
      <right style="hair">
        <color theme="3" tint="9.9917600024414813E-2"/>
      </right>
      <top/>
      <bottom style="hair">
        <color theme="3" tint="9.9948118533890809E-2"/>
      </bottom>
      <diagonal/>
    </border>
    <border>
      <left style="hair">
        <color theme="3" tint="9.9917600024414813E-2"/>
      </left>
      <right/>
      <top style="hair">
        <color theme="3" tint="9.9948118533890809E-2"/>
      </top>
      <bottom/>
      <diagonal/>
    </border>
    <border>
      <left style="hair">
        <color theme="3" tint="9.9917600024414813E-2"/>
      </left>
      <right/>
      <top/>
      <bottom/>
      <diagonal/>
    </border>
    <border>
      <left/>
      <right style="hair">
        <color theme="3" tint="9.9917600024414813E-2"/>
      </right>
      <top/>
      <bottom/>
      <diagonal/>
    </border>
    <border>
      <left style="hair">
        <color theme="3" tint="9.9917600024414813E-2"/>
      </left>
      <right/>
      <top/>
      <bottom style="hair">
        <color theme="3" tint="9.9948118533890809E-2"/>
      </bottom>
      <diagonal/>
    </border>
    <border>
      <left/>
      <right style="hair">
        <color theme="3" tint="9.9917600024414813E-2"/>
      </right>
      <top/>
      <bottom style="hair">
        <color theme="3" tint="9.9917600024414813E-2"/>
      </bottom>
      <diagonal/>
    </border>
    <border>
      <left/>
      <right/>
      <top style="hair">
        <color theme="3" tint="9.9917600024414813E-2"/>
      </top>
      <bottom style="hair">
        <color theme="3" tint="9.9948118533890809E-2"/>
      </bottom>
      <diagonal/>
    </border>
    <border>
      <left/>
      <right/>
      <top style="hair">
        <color theme="3" tint="9.9948118533890809E-2"/>
      </top>
      <bottom style="thin">
        <color theme="3" tint="9.9948118533890809E-2"/>
      </bottom>
      <diagonal/>
    </border>
    <border>
      <left/>
      <right/>
      <top style="thin">
        <color theme="3" tint="9.9917600024414813E-2"/>
      </top>
      <bottom/>
      <diagonal/>
    </border>
    <border>
      <left style="hair">
        <color theme="3" tint="9.9948118533890809E-2"/>
      </left>
      <right style="hair">
        <color theme="3" tint="9.9948118533890809E-2"/>
      </right>
      <top style="hair">
        <color theme="3" tint="9.9948118533890809E-2"/>
      </top>
      <bottom style="hair">
        <color theme="3" tint="9.9948118533890809E-2"/>
      </bottom>
      <diagonal/>
    </border>
    <border>
      <left style="hair">
        <color theme="3" tint="9.9917600024414813E-2"/>
      </left>
      <right style="hair">
        <color theme="3" tint="9.9917600024414813E-2"/>
      </right>
      <top style="hair">
        <color theme="3" tint="9.9887081514938816E-2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theme="3" tint="9.9948118533890809E-2"/>
      </top>
      <bottom style="double">
        <color theme="3" tint="9.9948118533890809E-2"/>
      </bottom>
      <diagonal/>
    </border>
    <border>
      <left/>
      <right/>
      <top style="thin">
        <color theme="3" tint="9.9917600024414813E-2"/>
      </top>
      <bottom style="thin">
        <color theme="3" tint="9.9917600024414813E-2"/>
      </bottom>
      <diagonal/>
    </border>
    <border>
      <left/>
      <right/>
      <top style="thin">
        <color theme="3" tint="9.9948118533890809E-2"/>
      </top>
      <bottom style="thin">
        <color theme="3" tint="9.9948118533890809E-2"/>
      </bottom>
      <diagonal/>
    </border>
    <border>
      <left/>
      <right/>
      <top style="hair">
        <color theme="3" tint="9.9917600024414813E-2"/>
      </top>
      <bottom style="thin">
        <color theme="3" tint="9.9948118533890809E-2"/>
      </bottom>
      <diagonal/>
    </border>
    <border>
      <left/>
      <right/>
      <top style="hair">
        <color theme="3" tint="9.9948118533890809E-2"/>
      </top>
      <bottom style="thin">
        <color theme="3" tint="9.9917600024414813E-2"/>
      </bottom>
      <diagonal/>
    </border>
    <border>
      <left/>
      <right/>
      <top style="thin">
        <color theme="3" tint="9.9948118533890809E-2"/>
      </top>
      <bottom style="thick">
        <color theme="3" tint="9.9948118533890809E-2"/>
      </bottom>
      <diagonal/>
    </border>
    <border>
      <left/>
      <right/>
      <top style="hair">
        <color rgb="FF153D64"/>
      </top>
      <bottom style="hair">
        <color rgb="FF153D64"/>
      </bottom>
      <diagonal/>
    </border>
    <border>
      <left/>
      <right/>
      <top/>
      <bottom style="hair">
        <color rgb="FF153D64"/>
      </bottom>
      <diagonal/>
    </border>
    <border>
      <left/>
      <right/>
      <top style="thin">
        <color rgb="FF153D64"/>
      </top>
      <bottom style="thick">
        <color rgb="FF153D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theme="3" tint="0.24994659260841701"/>
      </top>
      <bottom style="thick">
        <color theme="3" tint="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4">
    <xf numFmtId="0" fontId="0" fillId="0" borderId="0" xfId="0"/>
    <xf numFmtId="0" fontId="2" fillId="2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0" fontId="0" fillId="0" borderId="1" xfId="0" applyBorder="1"/>
    <xf numFmtId="165" fontId="0" fillId="0" borderId="1" xfId="0" applyNumberFormat="1" applyBorder="1"/>
    <xf numFmtId="0" fontId="6" fillId="0" borderId="1" xfId="0" applyFont="1" applyBorder="1" applyAlignment="1">
      <alignment horizontal="left"/>
    </xf>
    <xf numFmtId="10" fontId="0" fillId="0" borderId="1" xfId="0" applyNumberFormat="1" applyBorder="1"/>
    <xf numFmtId="0" fontId="7" fillId="0" borderId="1" xfId="0" applyFont="1" applyBorder="1"/>
    <xf numFmtId="0" fontId="0" fillId="0" borderId="2" xfId="0" applyBorder="1"/>
    <xf numFmtId="165" fontId="0" fillId="0" borderId="2" xfId="0" applyNumberFormat="1" applyBorder="1"/>
    <xf numFmtId="0" fontId="6" fillId="0" borderId="2" xfId="0" applyFont="1" applyBorder="1" applyAlignment="1">
      <alignment horizontal="left"/>
    </xf>
    <xf numFmtId="10" fontId="0" fillId="0" borderId="2" xfId="0" applyNumberFormat="1" applyBorder="1"/>
    <xf numFmtId="165" fontId="0" fillId="0" borderId="0" xfId="0" applyNumberFormat="1"/>
    <xf numFmtId="0" fontId="4" fillId="0" borderId="3" xfId="0" applyFont="1" applyBorder="1"/>
    <xf numFmtId="7" fontId="4" fillId="0" borderId="3" xfId="0" applyNumberFormat="1" applyFont="1" applyBorder="1"/>
    <xf numFmtId="0" fontId="4" fillId="0" borderId="0" xfId="0" applyFont="1"/>
    <xf numFmtId="0" fontId="0" fillId="0" borderId="0" xfId="0" applyAlignment="1">
      <alignment horizontal="left" indent="1"/>
    </xf>
    <xf numFmtId="7" fontId="0" fillId="0" borderId="0" xfId="0" applyNumberFormat="1"/>
    <xf numFmtId="0" fontId="4" fillId="0" borderId="4" xfId="0" applyFont="1" applyBorder="1" applyAlignment="1">
      <alignment horizontal="left" indent="1"/>
    </xf>
    <xf numFmtId="7" fontId="4" fillId="0" borderId="4" xfId="0" applyNumberFormat="1" applyFont="1" applyBorder="1"/>
    <xf numFmtId="7" fontId="0" fillId="4" borderId="0" xfId="0" applyNumberFormat="1" applyFill="1"/>
    <xf numFmtId="0" fontId="4" fillId="0" borderId="5" xfId="0" applyFont="1" applyBorder="1" applyAlignment="1">
      <alignment horizontal="left" indent="1"/>
    </xf>
    <xf numFmtId="7" fontId="4" fillId="0" borderId="5" xfId="0" applyNumberFormat="1" applyFont="1" applyBorder="1"/>
    <xf numFmtId="0" fontId="0" fillId="0" borderId="6" xfId="0" applyBorder="1"/>
    <xf numFmtId="166" fontId="0" fillId="0" borderId="6" xfId="0" applyNumberFormat="1" applyBorder="1"/>
    <xf numFmtId="7" fontId="0" fillId="0" borderId="6" xfId="0" applyNumberFormat="1" applyBorder="1"/>
    <xf numFmtId="0" fontId="0" fillId="0" borderId="7" xfId="0" applyBorder="1"/>
    <xf numFmtId="7" fontId="0" fillId="0" borderId="7" xfId="0" applyNumberFormat="1" applyBorder="1"/>
    <xf numFmtId="0" fontId="4" fillId="5" borderId="8" xfId="0" applyFont="1" applyFill="1" applyBorder="1"/>
    <xf numFmtId="0" fontId="4" fillId="5" borderId="9" xfId="0" applyFont="1" applyFill="1" applyBorder="1"/>
    <xf numFmtId="166" fontId="4" fillId="5" borderId="10" xfId="0" applyNumberFormat="1" applyFont="1" applyFill="1" applyBorder="1"/>
    <xf numFmtId="0" fontId="4" fillId="5" borderId="11" xfId="0" applyFont="1" applyFill="1" applyBorder="1"/>
    <xf numFmtId="0" fontId="4" fillId="5" borderId="12" xfId="0" applyFont="1" applyFill="1" applyBorder="1"/>
    <xf numFmtId="10" fontId="4" fillId="5" borderId="13" xfId="0" applyNumberFormat="1" applyFont="1" applyFill="1" applyBorder="1"/>
    <xf numFmtId="0" fontId="8" fillId="4" borderId="7" xfId="0" applyFont="1" applyFill="1" applyBorder="1"/>
    <xf numFmtId="0" fontId="0" fillId="2" borderId="0" xfId="0" applyFill="1"/>
    <xf numFmtId="0" fontId="0" fillId="4" borderId="0" xfId="0" applyFill="1"/>
    <xf numFmtId="0" fontId="9" fillId="6" borderId="14" xfId="0" applyFont="1" applyFill="1" applyBorder="1" applyAlignment="1">
      <alignment horizontal="right"/>
    </xf>
    <xf numFmtId="10" fontId="4" fillId="0" borderId="0" xfId="0" applyNumberFormat="1" applyFont="1"/>
    <xf numFmtId="0" fontId="10" fillId="0" borderId="0" xfId="0" applyFont="1" applyAlignment="1">
      <alignment horizontal="right"/>
    </xf>
    <xf numFmtId="167" fontId="4" fillId="0" borderId="0" xfId="0" applyNumberFormat="1" applyFont="1" applyAlignment="1">
      <alignment horizontal="right"/>
    </xf>
    <xf numFmtId="0" fontId="0" fillId="3" borderId="0" xfId="0" applyFill="1"/>
    <xf numFmtId="167" fontId="11" fillId="6" borderId="14" xfId="0" applyNumberFormat="1" applyFont="1" applyFill="1" applyBorder="1" applyAlignment="1">
      <alignment horizontal="right"/>
    </xf>
    <xf numFmtId="168" fontId="0" fillId="4" borderId="14" xfId="0" applyNumberFormat="1" applyFill="1" applyBorder="1" applyAlignment="1">
      <alignment horizontal="right"/>
    </xf>
    <xf numFmtId="167" fontId="9" fillId="6" borderId="14" xfId="0" applyNumberFormat="1" applyFont="1" applyFill="1" applyBorder="1"/>
    <xf numFmtId="169" fontId="9" fillId="6" borderId="14" xfId="0" applyNumberFormat="1" applyFont="1" applyFill="1" applyBorder="1"/>
    <xf numFmtId="167" fontId="4" fillId="0" borderId="0" xfId="0" applyNumberFormat="1" applyFont="1"/>
    <xf numFmtId="169" fontId="9" fillId="4" borderId="0" xfId="0" applyNumberFormat="1" applyFont="1" applyFill="1"/>
    <xf numFmtId="170" fontId="12" fillId="0" borderId="0" xfId="0" applyNumberFormat="1" applyFont="1"/>
    <xf numFmtId="167" fontId="13" fillId="0" borderId="0" xfId="0" applyNumberFormat="1" applyFont="1"/>
    <xf numFmtId="167" fontId="0" fillId="0" borderId="0" xfId="0" applyNumberFormat="1"/>
    <xf numFmtId="171" fontId="9" fillId="6" borderId="14" xfId="0" applyNumberFormat="1" applyFont="1" applyFill="1" applyBorder="1"/>
    <xf numFmtId="171" fontId="4" fillId="0" borderId="0" xfId="0" applyNumberFormat="1" applyFont="1"/>
    <xf numFmtId="0" fontId="14" fillId="0" borderId="0" xfId="0" applyFont="1" applyAlignment="1">
      <alignment horizontal="right"/>
    </xf>
    <xf numFmtId="167" fontId="9" fillId="4" borderId="0" xfId="0" applyNumberFormat="1" applyFont="1" applyFill="1"/>
    <xf numFmtId="171" fontId="0" fillId="0" borderId="0" xfId="0" applyNumberFormat="1"/>
    <xf numFmtId="10" fontId="15" fillId="4" borderId="0" xfId="0" applyNumberFormat="1" applyFont="1" applyFill="1"/>
    <xf numFmtId="168" fontId="9" fillId="0" borderId="0" xfId="1" applyNumberFormat="1" applyFont="1"/>
    <xf numFmtId="172" fontId="9" fillId="4" borderId="0" xfId="0" applyNumberFormat="1" applyFont="1" applyFill="1"/>
    <xf numFmtId="10" fontId="9" fillId="0" borderId="0" xfId="0" applyNumberFormat="1" applyFont="1"/>
    <xf numFmtId="0" fontId="4" fillId="5" borderId="15" xfId="0" applyFont="1" applyFill="1" applyBorder="1"/>
    <xf numFmtId="0" fontId="4" fillId="5" borderId="1" xfId="0" applyFont="1" applyFill="1" applyBorder="1"/>
    <xf numFmtId="167" fontId="4" fillId="5" borderId="1" xfId="0" applyNumberFormat="1" applyFont="1" applyFill="1" applyBorder="1"/>
    <xf numFmtId="171" fontId="4" fillId="5" borderId="1" xfId="0" applyNumberFormat="1" applyFont="1" applyFill="1" applyBorder="1"/>
    <xf numFmtId="167" fontId="4" fillId="5" borderId="16" xfId="0" applyNumberFormat="1" applyFont="1" applyFill="1" applyBorder="1"/>
    <xf numFmtId="167" fontId="16" fillId="0" borderId="0" xfId="0" applyNumberFormat="1" applyFont="1" applyAlignment="1">
      <alignment horizontal="right"/>
    </xf>
    <xf numFmtId="10" fontId="0" fillId="0" borderId="0" xfId="0" applyNumberFormat="1"/>
    <xf numFmtId="167" fontId="9" fillId="0" borderId="0" xfId="0" applyNumberFormat="1" applyFont="1"/>
    <xf numFmtId="10" fontId="4" fillId="5" borderId="16" xfId="0" applyNumberFormat="1" applyFont="1" applyFill="1" applyBorder="1"/>
    <xf numFmtId="173" fontId="17" fillId="7" borderId="0" xfId="0" applyNumberFormat="1" applyFont="1" applyFill="1"/>
    <xf numFmtId="174" fontId="17" fillId="7" borderId="0" xfId="0" applyNumberFormat="1" applyFont="1" applyFill="1"/>
    <xf numFmtId="174" fontId="7" fillId="7" borderId="0" xfId="0" applyNumberFormat="1" applyFont="1" applyFill="1"/>
    <xf numFmtId="0" fontId="4" fillId="4" borderId="0" xfId="0" applyFont="1" applyFill="1"/>
    <xf numFmtId="175" fontId="9" fillId="4" borderId="0" xfId="0" applyNumberFormat="1" applyFont="1" applyFill="1"/>
    <xf numFmtId="176" fontId="10" fillId="6" borderId="17" xfId="0" quotePrefix="1" applyNumberFormat="1" applyFont="1" applyFill="1" applyBorder="1" applyAlignment="1">
      <alignment horizontal="right"/>
    </xf>
    <xf numFmtId="176" fontId="10" fillId="6" borderId="14" xfId="0" applyNumberFormat="1" applyFont="1" applyFill="1" applyBorder="1"/>
    <xf numFmtId="176" fontId="10" fillId="6" borderId="14" xfId="0" applyNumberFormat="1" applyFont="1" applyFill="1" applyBorder="1" applyAlignment="1">
      <alignment horizontal="left" indent="1"/>
    </xf>
    <xf numFmtId="10" fontId="3" fillId="6" borderId="14" xfId="0" applyNumberFormat="1" applyFont="1" applyFill="1" applyBorder="1"/>
    <xf numFmtId="10" fontId="0" fillId="6" borderId="14" xfId="0" applyNumberFormat="1" applyFill="1" applyBorder="1"/>
    <xf numFmtId="176" fontId="10" fillId="6" borderId="17" xfId="0" applyNumberFormat="1" applyFont="1" applyFill="1" applyBorder="1"/>
    <xf numFmtId="0" fontId="17" fillId="7" borderId="0" xfId="0" applyFont="1" applyFill="1"/>
    <xf numFmtId="0" fontId="7" fillId="7" borderId="0" xfId="0" applyFont="1" applyFill="1"/>
    <xf numFmtId="0" fontId="18" fillId="0" borderId="0" xfId="0" applyFont="1" applyAlignment="1">
      <alignment horizontal="left" indent="1"/>
    </xf>
    <xf numFmtId="176" fontId="19" fillId="0" borderId="0" xfId="0" applyNumberFormat="1" applyFont="1" applyAlignment="1">
      <alignment horizontal="right"/>
    </xf>
    <xf numFmtId="176" fontId="19" fillId="0" borderId="0" xfId="0" applyNumberFormat="1" applyFont="1"/>
    <xf numFmtId="167" fontId="0" fillId="0" borderId="0" xfId="0" applyNumberFormat="1" applyAlignment="1">
      <alignment horizontal="right"/>
    </xf>
    <xf numFmtId="176" fontId="18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7" fontId="7" fillId="0" borderId="0" xfId="0" applyNumberFormat="1" applyFont="1" applyAlignment="1">
      <alignment horizontal="right"/>
    </xf>
    <xf numFmtId="10" fontId="19" fillId="0" borderId="0" xfId="0" applyNumberFormat="1" applyFont="1" applyAlignment="1">
      <alignment horizontal="right"/>
    </xf>
    <xf numFmtId="4" fontId="7" fillId="0" borderId="0" xfId="0" applyNumberFormat="1" applyFont="1"/>
    <xf numFmtId="167" fontId="11" fillId="5" borderId="9" xfId="0" applyNumberFormat="1" applyFont="1" applyFill="1" applyBorder="1"/>
    <xf numFmtId="167" fontId="4" fillId="5" borderId="9" xfId="0" applyNumberFormat="1" applyFont="1" applyFill="1" applyBorder="1"/>
    <xf numFmtId="167" fontId="4" fillId="5" borderId="10" xfId="0" applyNumberFormat="1" applyFont="1" applyFill="1" applyBorder="1"/>
    <xf numFmtId="0" fontId="20" fillId="5" borderId="11" xfId="0" applyFont="1" applyFill="1" applyBorder="1" applyAlignment="1">
      <alignment horizontal="left" indent="1"/>
    </xf>
    <xf numFmtId="176" fontId="20" fillId="5" borderId="12" xfId="0" applyNumberFormat="1" applyFont="1" applyFill="1" applyBorder="1" applyAlignment="1">
      <alignment horizontal="right"/>
    </xf>
    <xf numFmtId="10" fontId="20" fillId="5" borderId="12" xfId="0" applyNumberFormat="1" applyFont="1" applyFill="1" applyBorder="1"/>
    <xf numFmtId="10" fontId="20" fillId="5" borderId="13" xfId="0" applyNumberFormat="1" applyFont="1" applyFill="1" applyBorder="1"/>
    <xf numFmtId="10" fontId="18" fillId="0" borderId="0" xfId="0" applyNumberFormat="1" applyFont="1"/>
    <xf numFmtId="10" fontId="19" fillId="0" borderId="0" xfId="0" applyNumberFormat="1" applyFont="1"/>
    <xf numFmtId="0" fontId="14" fillId="0" borderId="0" xfId="0" applyFont="1"/>
    <xf numFmtId="0" fontId="4" fillId="0" borderId="18" xfId="0" applyFont="1" applyBorder="1"/>
    <xf numFmtId="167" fontId="4" fillId="0" borderId="18" xfId="0" applyNumberFormat="1" applyFont="1" applyBorder="1"/>
    <xf numFmtId="0" fontId="0" fillId="0" borderId="18" xfId="0" applyBorder="1"/>
    <xf numFmtId="0" fontId="16" fillId="5" borderId="9" xfId="0" applyFont="1" applyFill="1" applyBorder="1"/>
    <xf numFmtId="167" fontId="16" fillId="5" borderId="9" xfId="0" applyNumberFormat="1" applyFont="1" applyFill="1" applyBorder="1"/>
    <xf numFmtId="0" fontId="16" fillId="5" borderId="12" xfId="0" applyFont="1" applyFill="1" applyBorder="1"/>
    <xf numFmtId="176" fontId="16" fillId="5" borderId="12" xfId="0" applyNumberFormat="1" applyFont="1" applyFill="1" applyBorder="1"/>
    <xf numFmtId="176" fontId="20" fillId="5" borderId="13" xfId="0" applyNumberFormat="1" applyFont="1" applyFill="1" applyBorder="1" applyAlignment="1">
      <alignment horizontal="right"/>
    </xf>
    <xf numFmtId="0" fontId="21" fillId="0" borderId="0" xfId="0" applyFont="1"/>
    <xf numFmtId="176" fontId="22" fillId="0" borderId="0" xfId="0" applyNumberFormat="1" applyFont="1" applyAlignment="1">
      <alignment horizontal="right"/>
    </xf>
    <xf numFmtId="167" fontId="4" fillId="5" borderId="19" xfId="0" applyNumberFormat="1" applyFont="1" applyFill="1" applyBorder="1"/>
    <xf numFmtId="176" fontId="4" fillId="5" borderId="12" xfId="0" applyNumberFormat="1" applyFont="1" applyFill="1" applyBorder="1"/>
    <xf numFmtId="176" fontId="4" fillId="5" borderId="20" xfId="0" applyNumberFormat="1" applyFont="1" applyFill="1" applyBorder="1"/>
    <xf numFmtId="176" fontId="16" fillId="5" borderId="20" xfId="0" applyNumberFormat="1" applyFont="1" applyFill="1" applyBorder="1"/>
    <xf numFmtId="0" fontId="20" fillId="4" borderId="0" xfId="0" applyFont="1" applyFill="1" applyAlignment="1">
      <alignment horizontal="left" indent="1"/>
    </xf>
    <xf numFmtId="176" fontId="20" fillId="4" borderId="0" xfId="0" applyNumberFormat="1" applyFont="1" applyFill="1" applyAlignment="1">
      <alignment horizontal="right"/>
    </xf>
    <xf numFmtId="176" fontId="4" fillId="4" borderId="0" xfId="0" applyNumberFormat="1" applyFont="1" applyFill="1"/>
    <xf numFmtId="176" fontId="16" fillId="4" borderId="0" xfId="0" applyNumberFormat="1" applyFont="1" applyFill="1"/>
    <xf numFmtId="176" fontId="0" fillId="4" borderId="0" xfId="0" applyNumberFormat="1" applyFill="1"/>
    <xf numFmtId="176" fontId="13" fillId="4" borderId="0" xfId="0" applyNumberFormat="1" applyFont="1" applyFill="1"/>
    <xf numFmtId="0" fontId="14" fillId="4" borderId="0" xfId="0" applyFont="1" applyFill="1" applyAlignment="1">
      <alignment horizontal="left"/>
    </xf>
    <xf numFmtId="0" fontId="0" fillId="4" borderId="0" xfId="0" applyFill="1" applyAlignment="1">
      <alignment horizontal="left" indent="1"/>
    </xf>
    <xf numFmtId="167" fontId="3" fillId="0" borderId="0" xfId="0" applyNumberFormat="1" applyFont="1"/>
    <xf numFmtId="0" fontId="4" fillId="4" borderId="0" xfId="0" applyFont="1" applyFill="1" applyAlignment="1">
      <alignment horizontal="left" indent="1"/>
    </xf>
    <xf numFmtId="0" fontId="4" fillId="4" borderId="0" xfId="0" applyFont="1" applyFill="1" applyAlignment="1">
      <alignment horizontal="left"/>
    </xf>
    <xf numFmtId="167" fontId="11" fillId="0" borderId="0" xfId="0" applyNumberFormat="1" applyFont="1"/>
    <xf numFmtId="176" fontId="0" fillId="0" borderId="0" xfId="0" applyNumberFormat="1"/>
    <xf numFmtId="177" fontId="13" fillId="0" borderId="0" xfId="0" applyNumberFormat="1" applyFont="1"/>
    <xf numFmtId="0" fontId="4" fillId="0" borderId="4" xfId="0" applyFont="1" applyBorder="1"/>
    <xf numFmtId="0" fontId="0" fillId="0" borderId="4" xfId="0" applyBorder="1"/>
    <xf numFmtId="167" fontId="4" fillId="0" borderId="4" xfId="0" applyNumberFormat="1" applyFont="1" applyBorder="1"/>
    <xf numFmtId="0" fontId="0" fillId="0" borderId="3" xfId="0" applyBorder="1"/>
    <xf numFmtId="0" fontId="4" fillId="0" borderId="0" xfId="0" applyFont="1" applyAlignment="1">
      <alignment horizontal="left" indent="1"/>
    </xf>
    <xf numFmtId="167" fontId="16" fillId="0" borderId="0" xfId="0" applyNumberFormat="1" applyFont="1"/>
    <xf numFmtId="0" fontId="3" fillId="0" borderId="0" xfId="0" applyFont="1" applyAlignment="1">
      <alignment horizontal="left" indent="1"/>
    </xf>
    <xf numFmtId="0" fontId="3" fillId="0" borderId="0" xfId="0" applyFont="1"/>
    <xf numFmtId="167" fontId="3" fillId="0" borderId="0" xfId="0" applyNumberFormat="1" applyFont="1" applyAlignment="1">
      <alignment horizontal="right"/>
    </xf>
    <xf numFmtId="0" fontId="23" fillId="0" borderId="0" xfId="0" applyFont="1"/>
    <xf numFmtId="0" fontId="10" fillId="0" borderId="0" xfId="0" applyFont="1" applyAlignment="1">
      <alignment horizontal="left" indent="1"/>
    </xf>
    <xf numFmtId="10" fontId="13" fillId="0" borderId="0" xfId="0" applyNumberFormat="1" applyFont="1"/>
    <xf numFmtId="0" fontId="10" fillId="0" borderId="0" xfId="0" applyFont="1"/>
    <xf numFmtId="0" fontId="14" fillId="5" borderId="21" xfId="0" applyFont="1" applyFill="1" applyBorder="1"/>
    <xf numFmtId="0" fontId="0" fillId="5" borderId="9" xfId="0" applyFill="1" applyBorder="1"/>
    <xf numFmtId="167" fontId="0" fillId="5" borderId="9" xfId="0" applyNumberFormat="1" applyFill="1" applyBorder="1"/>
    <xf numFmtId="167" fontId="0" fillId="5" borderId="19" xfId="0" applyNumberFormat="1" applyFill="1" applyBorder="1"/>
    <xf numFmtId="0" fontId="0" fillId="5" borderId="22" xfId="0" applyFill="1" applyBorder="1" applyAlignment="1">
      <alignment horizontal="left" indent="1"/>
    </xf>
    <xf numFmtId="0" fontId="0" fillId="5" borderId="0" xfId="0" applyFill="1"/>
    <xf numFmtId="167" fontId="0" fillId="5" borderId="0" xfId="0" applyNumberFormat="1" applyFill="1"/>
    <xf numFmtId="167" fontId="0" fillId="5" borderId="23" xfId="0" applyNumberFormat="1" applyFill="1" applyBorder="1"/>
    <xf numFmtId="0" fontId="4" fillId="5" borderId="24" xfId="0" applyFont="1" applyFill="1" applyBorder="1" applyAlignment="1">
      <alignment horizontal="left" indent="1"/>
    </xf>
    <xf numFmtId="167" fontId="4" fillId="5" borderId="6" xfId="0" applyNumberFormat="1" applyFont="1" applyFill="1" applyBorder="1"/>
    <xf numFmtId="167" fontId="4" fillId="5" borderId="25" xfId="0" applyNumberFormat="1" applyFont="1" applyFill="1" applyBorder="1"/>
    <xf numFmtId="0" fontId="22" fillId="0" borderId="0" xfId="0" applyFont="1"/>
    <xf numFmtId="171" fontId="13" fillId="0" borderId="0" xfId="0" applyNumberFormat="1" applyFont="1"/>
    <xf numFmtId="171" fontId="4" fillId="5" borderId="10" xfId="0" applyNumberFormat="1" applyFont="1" applyFill="1" applyBorder="1"/>
    <xf numFmtId="0" fontId="28" fillId="0" borderId="7" xfId="0" applyFont="1" applyBorder="1"/>
    <xf numFmtId="0" fontId="0" fillId="3" borderId="0" xfId="0" applyFill="1" applyAlignment="1">
      <alignment horizontal="right"/>
    </xf>
    <xf numFmtId="165" fontId="9" fillId="0" borderId="0" xfId="0" applyNumberFormat="1" applyFont="1"/>
    <xf numFmtId="165" fontId="9" fillId="0" borderId="1" xfId="0" applyNumberFormat="1" applyFont="1" applyBorder="1"/>
    <xf numFmtId="0" fontId="0" fillId="0" borderId="26" xfId="0" applyBorder="1"/>
    <xf numFmtId="166" fontId="9" fillId="0" borderId="26" xfId="0" applyNumberFormat="1" applyFont="1" applyBorder="1"/>
    <xf numFmtId="10" fontId="9" fillId="0" borderId="1" xfId="0" applyNumberFormat="1" applyFont="1" applyBorder="1"/>
    <xf numFmtId="0" fontId="4" fillId="0" borderId="27" xfId="0" applyFont="1" applyBorder="1"/>
    <xf numFmtId="7" fontId="4" fillId="0" borderId="27" xfId="0" applyNumberFormat="1" applyFont="1" applyBorder="1"/>
    <xf numFmtId="0" fontId="4" fillId="3" borderId="0" xfId="0" applyFont="1" applyFill="1" applyAlignment="1">
      <alignment horizontal="right"/>
    </xf>
    <xf numFmtId="166" fontId="0" fillId="0" borderId="0" xfId="0" applyNumberFormat="1"/>
    <xf numFmtId="166" fontId="0" fillId="0" borderId="1" xfId="0" applyNumberFormat="1" applyBorder="1"/>
    <xf numFmtId="0" fontId="0" fillId="0" borderId="9" xfId="0" applyBorder="1"/>
    <xf numFmtId="165" fontId="0" fillId="0" borderId="9" xfId="0" applyNumberFormat="1" applyBorder="1"/>
    <xf numFmtId="166" fontId="0" fillId="0" borderId="9" xfId="0" applyNumberFormat="1" applyBorder="1"/>
    <xf numFmtId="10" fontId="0" fillId="0" borderId="9" xfId="0" applyNumberFormat="1" applyBorder="1"/>
    <xf numFmtId="0" fontId="4" fillId="0" borderId="28" xfId="0" applyFont="1" applyBorder="1"/>
    <xf numFmtId="165" fontId="4" fillId="0" borderId="28" xfId="0" applyNumberFormat="1" applyFont="1" applyBorder="1"/>
    <xf numFmtId="166" fontId="4" fillId="0" borderId="28" xfId="0" applyNumberFormat="1" applyFont="1" applyBorder="1"/>
    <xf numFmtId="10" fontId="4" fillId="0" borderId="28" xfId="0" applyNumberFormat="1" applyFont="1" applyBorder="1"/>
    <xf numFmtId="10" fontId="0" fillId="5" borderId="0" xfId="0" applyNumberFormat="1" applyFill="1"/>
    <xf numFmtId="0" fontId="4" fillId="0" borderId="7" xfId="0" applyFont="1" applyBorder="1"/>
    <xf numFmtId="175" fontId="12" fillId="6" borderId="29" xfId="0" applyNumberFormat="1" applyFont="1" applyFill="1" applyBorder="1"/>
    <xf numFmtId="170" fontId="9" fillId="6" borderId="29" xfId="0" applyNumberFormat="1" applyFont="1" applyFill="1" applyBorder="1"/>
    <xf numFmtId="170" fontId="0" fillId="0" borderId="0" xfId="0" applyNumberFormat="1"/>
    <xf numFmtId="175" fontId="0" fillId="0" borderId="0" xfId="0" applyNumberFormat="1"/>
    <xf numFmtId="170" fontId="0" fillId="6" borderId="29" xfId="0" applyNumberFormat="1" applyFill="1" applyBorder="1"/>
    <xf numFmtId="0" fontId="0" fillId="5" borderId="1" xfId="0" applyFill="1" applyBorder="1"/>
    <xf numFmtId="170" fontId="4" fillId="5" borderId="16" xfId="0" applyNumberFormat="1" applyFont="1" applyFill="1" applyBorder="1"/>
    <xf numFmtId="178" fontId="0" fillId="0" borderId="0" xfId="0" applyNumberFormat="1" applyAlignment="1">
      <alignment horizontal="left"/>
    </xf>
    <xf numFmtId="179" fontId="9" fillId="6" borderId="14" xfId="0" applyNumberFormat="1" applyFont="1" applyFill="1" applyBorder="1"/>
    <xf numFmtId="175" fontId="9" fillId="6" borderId="14" xfId="0" applyNumberFormat="1" applyFont="1" applyFill="1" applyBorder="1"/>
    <xf numFmtId="179" fontId="0" fillId="0" borderId="0" xfId="0" applyNumberFormat="1"/>
    <xf numFmtId="179" fontId="9" fillId="6" borderId="30" xfId="0" applyNumberFormat="1" applyFont="1" applyFill="1" applyBorder="1"/>
    <xf numFmtId="175" fontId="9" fillId="6" borderId="30" xfId="0" applyNumberFormat="1" applyFont="1" applyFill="1" applyBorder="1"/>
    <xf numFmtId="0" fontId="4" fillId="5" borderId="31" xfId="0" applyFont="1" applyFill="1" applyBorder="1"/>
    <xf numFmtId="0" fontId="4" fillId="5" borderId="32" xfId="0" applyFont="1" applyFill="1" applyBorder="1"/>
    <xf numFmtId="179" fontId="4" fillId="5" borderId="33" xfId="0" applyNumberFormat="1" applyFont="1" applyFill="1" applyBorder="1"/>
    <xf numFmtId="0" fontId="0" fillId="5" borderId="34" xfId="0" applyFill="1" applyBorder="1"/>
    <xf numFmtId="165" fontId="0" fillId="5" borderId="34" xfId="0" applyNumberFormat="1" applyFill="1" applyBorder="1"/>
    <xf numFmtId="166" fontId="0" fillId="5" borderId="34" xfId="0" applyNumberFormat="1" applyFill="1" applyBorder="1"/>
    <xf numFmtId="10" fontId="0" fillId="5" borderId="34" xfId="0" applyNumberFormat="1" applyFill="1" applyBorder="1"/>
    <xf numFmtId="0" fontId="17" fillId="0" borderId="1" xfId="0" applyFont="1" applyBorder="1"/>
    <xf numFmtId="0" fontId="29" fillId="0" borderId="1" xfId="0" applyFont="1" applyBorder="1" applyAlignment="1">
      <alignment horizontal="left"/>
    </xf>
    <xf numFmtId="0" fontId="4" fillId="0" borderId="1" xfId="0" applyFont="1" applyBorder="1"/>
    <xf numFmtId="165" fontId="4" fillId="0" borderId="1" xfId="0" applyNumberFormat="1" applyFont="1" applyBorder="1"/>
    <xf numFmtId="10" fontId="4" fillId="0" borderId="1" xfId="0" applyNumberFormat="1" applyFont="1" applyBorder="1"/>
    <xf numFmtId="0" fontId="2" fillId="2" borderId="0" xfId="0" applyFont="1" applyFill="1" applyAlignment="1">
      <alignment horizontal="center"/>
    </xf>
    <xf numFmtId="17" fontId="2" fillId="2" borderId="0" xfId="0" applyNumberFormat="1" applyFont="1" applyFill="1"/>
    <xf numFmtId="0" fontId="5" fillId="2" borderId="0" xfId="0" applyFont="1" applyFill="1" applyAlignment="1">
      <alignment horizontal="right"/>
    </xf>
    <xf numFmtId="0" fontId="4" fillId="8" borderId="0" xfId="0" applyFont="1" applyFill="1"/>
    <xf numFmtId="0" fontId="0" fillId="8" borderId="0" xfId="0" applyFill="1"/>
    <xf numFmtId="0" fontId="30" fillId="0" borderId="0" xfId="0" applyFont="1"/>
    <xf numFmtId="180" fontId="30" fillId="0" borderId="0" xfId="0" applyNumberFormat="1" applyFont="1"/>
    <xf numFmtId="0" fontId="31" fillId="4" borderId="1" xfId="0" applyFont="1" applyFill="1" applyBorder="1"/>
    <xf numFmtId="10" fontId="31" fillId="4" borderId="1" xfId="0" applyNumberFormat="1" applyFont="1" applyFill="1" applyBorder="1"/>
    <xf numFmtId="0" fontId="30" fillId="0" borderId="1" xfId="0" applyFont="1" applyBorder="1"/>
    <xf numFmtId="180" fontId="30" fillId="0" borderId="1" xfId="0" applyNumberFormat="1" applyFont="1" applyBorder="1"/>
    <xf numFmtId="0" fontId="31" fillId="0" borderId="1" xfId="0" applyFont="1" applyBorder="1"/>
    <xf numFmtId="10" fontId="31" fillId="0" borderId="1" xfId="0" applyNumberFormat="1" applyFont="1" applyBorder="1"/>
    <xf numFmtId="0" fontId="32" fillId="0" borderId="35" xfId="0" applyFont="1" applyBorder="1"/>
    <xf numFmtId="180" fontId="32" fillId="0" borderId="35" xfId="0" applyNumberFormat="1" applyFont="1" applyBorder="1"/>
    <xf numFmtId="0" fontId="31" fillId="0" borderId="12" xfId="0" applyFont="1" applyBorder="1"/>
    <xf numFmtId="10" fontId="31" fillId="0" borderId="12" xfId="0" applyNumberFormat="1" applyFont="1" applyBorder="1"/>
    <xf numFmtId="0" fontId="33" fillId="0" borderId="1" xfId="0" applyFont="1" applyBorder="1" applyAlignment="1">
      <alignment horizontal="left" vertical="top"/>
    </xf>
    <xf numFmtId="180" fontId="4" fillId="0" borderId="0" xfId="0" applyNumberFormat="1" applyFont="1"/>
    <xf numFmtId="0" fontId="0" fillId="0" borderId="1" xfId="0" applyBorder="1" applyAlignment="1">
      <alignment horizontal="left" indent="2"/>
    </xf>
    <xf numFmtId="180" fontId="0" fillId="0" borderId="1" xfId="0" applyNumberFormat="1" applyBorder="1"/>
    <xf numFmtId="0" fontId="0" fillId="0" borderId="0" xfId="0" applyAlignment="1">
      <alignment horizontal="left" indent="2"/>
    </xf>
    <xf numFmtId="180" fontId="0" fillId="0" borderId="0" xfId="0" applyNumberFormat="1"/>
    <xf numFmtId="180" fontId="4" fillId="0" borderId="1" xfId="0" applyNumberFormat="1" applyFont="1" applyBorder="1"/>
    <xf numFmtId="0" fontId="4" fillId="0" borderId="36" xfId="0" applyFont="1" applyBorder="1"/>
    <xf numFmtId="180" fontId="4" fillId="0" borderId="36" xfId="0" applyNumberFormat="1" applyFont="1" applyBorder="1"/>
    <xf numFmtId="0" fontId="4" fillId="0" borderId="37" xfId="0" applyFont="1" applyBorder="1"/>
    <xf numFmtId="180" fontId="4" fillId="0" borderId="37" xfId="0" applyNumberFormat="1" applyFont="1" applyBorder="1"/>
    <xf numFmtId="180" fontId="0" fillId="0" borderId="7" xfId="0" applyNumberFormat="1" applyBorder="1"/>
    <xf numFmtId="0" fontId="4" fillId="0" borderId="38" xfId="0" applyFont="1" applyBorder="1"/>
    <xf numFmtId="180" fontId="4" fillId="0" borderId="38" xfId="0" applyNumberFormat="1" applyFont="1" applyBorder="1"/>
    <xf numFmtId="0" fontId="4" fillId="0" borderId="39" xfId="0" applyFont="1" applyBorder="1"/>
    <xf numFmtId="180" fontId="4" fillId="0" borderId="39" xfId="0" applyNumberFormat="1" applyFont="1" applyBorder="1"/>
    <xf numFmtId="0" fontId="32" fillId="8" borderId="0" xfId="0" applyFont="1" applyFill="1"/>
    <xf numFmtId="0" fontId="30" fillId="0" borderId="12" xfId="0" applyFont="1" applyBorder="1"/>
    <xf numFmtId="0" fontId="0" fillId="0" borderId="12" xfId="0" applyBorder="1"/>
    <xf numFmtId="10" fontId="0" fillId="0" borderId="12" xfId="0" applyNumberFormat="1" applyBorder="1"/>
    <xf numFmtId="181" fontId="0" fillId="0" borderId="12" xfId="0" applyNumberFormat="1" applyBorder="1"/>
    <xf numFmtId="181" fontId="0" fillId="0" borderId="0" xfId="0" applyNumberFormat="1"/>
    <xf numFmtId="182" fontId="0" fillId="0" borderId="0" xfId="0" applyNumberFormat="1"/>
    <xf numFmtId="182" fontId="0" fillId="0" borderId="12" xfId="0" applyNumberFormat="1" applyBorder="1"/>
    <xf numFmtId="0" fontId="34" fillId="0" borderId="0" xfId="0" applyFont="1"/>
    <xf numFmtId="0" fontId="2" fillId="2" borderId="7" xfId="0" applyFont="1" applyFill="1" applyBorder="1"/>
    <xf numFmtId="0" fontId="5" fillId="2" borderId="7" xfId="0" applyFont="1" applyFill="1" applyBorder="1"/>
    <xf numFmtId="10" fontId="36" fillId="4" borderId="0" xfId="0" applyNumberFormat="1" applyFont="1" applyFill="1"/>
    <xf numFmtId="0" fontId="33" fillId="4" borderId="0" xfId="0" applyFont="1" applyFill="1" applyAlignment="1">
      <alignment horizontal="left" vertical="top" wrapText="1"/>
    </xf>
    <xf numFmtId="180" fontId="0" fillId="4" borderId="0" xfId="0" applyNumberFormat="1" applyFill="1"/>
    <xf numFmtId="2" fontId="0" fillId="5" borderId="0" xfId="0" applyNumberFormat="1" applyFill="1"/>
    <xf numFmtId="0" fontId="37" fillId="4" borderId="0" xfId="0" applyFont="1" applyFill="1" applyAlignment="1">
      <alignment horizontal="left" vertical="top" wrapText="1"/>
    </xf>
    <xf numFmtId="0" fontId="0" fillId="4" borderId="4" xfId="0" applyFill="1" applyBorder="1"/>
    <xf numFmtId="9" fontId="0" fillId="4" borderId="4" xfId="1" applyFont="1" applyFill="1" applyBorder="1"/>
    <xf numFmtId="10" fontId="0" fillId="4" borderId="4" xfId="0" applyNumberFormat="1" applyFill="1" applyBorder="1"/>
    <xf numFmtId="2" fontId="0" fillId="4" borderId="4" xfId="0" applyNumberFormat="1" applyFill="1" applyBorder="1"/>
    <xf numFmtId="0" fontId="0" fillId="4" borderId="7" xfId="0" applyFill="1" applyBorder="1"/>
    <xf numFmtId="9" fontId="0" fillId="4" borderId="7" xfId="1" applyFont="1" applyFill="1" applyBorder="1"/>
    <xf numFmtId="10" fontId="0" fillId="4" borderId="7" xfId="0" applyNumberFormat="1" applyFill="1" applyBorder="1"/>
    <xf numFmtId="2" fontId="0" fillId="4" borderId="7" xfId="0" applyNumberFormat="1" applyFill="1" applyBorder="1"/>
    <xf numFmtId="10" fontId="0" fillId="0" borderId="0" xfId="1" applyNumberFormat="1" applyFont="1"/>
    <xf numFmtId="0" fontId="4" fillId="5" borderId="0" xfId="0" applyFont="1" applyFill="1"/>
    <xf numFmtId="10" fontId="4" fillId="5" borderId="0" xfId="0" applyNumberFormat="1" applyFont="1" applyFill="1"/>
    <xf numFmtId="2" fontId="0" fillId="0" borderId="12" xfId="0" applyNumberFormat="1" applyBorder="1"/>
    <xf numFmtId="2" fontId="0" fillId="0" borderId="0" xfId="0" applyNumberFormat="1"/>
    <xf numFmtId="180" fontId="0" fillId="0" borderId="12" xfId="0" applyNumberFormat="1" applyBorder="1"/>
    <xf numFmtId="2" fontId="4" fillId="5" borderId="0" xfId="0" applyNumberFormat="1" applyFont="1" applyFill="1"/>
    <xf numFmtId="0" fontId="38" fillId="0" borderId="0" xfId="0" applyFont="1"/>
    <xf numFmtId="0" fontId="4" fillId="0" borderId="12" xfId="0" applyFont="1" applyBorder="1"/>
    <xf numFmtId="10" fontId="0" fillId="0" borderId="7" xfId="0" applyNumberFormat="1" applyBorder="1"/>
    <xf numFmtId="0" fontId="2" fillId="0" borderId="0" xfId="0" applyFont="1" applyAlignment="1">
      <alignment horizontal="center"/>
    </xf>
    <xf numFmtId="180" fontId="4" fillId="0" borderId="4" xfId="0" applyNumberFormat="1" applyFont="1" applyBorder="1"/>
    <xf numFmtId="0" fontId="0" fillId="0" borderId="39" xfId="0" applyBorder="1"/>
    <xf numFmtId="180" fontId="0" fillId="0" borderId="9" xfId="0" applyNumberFormat="1" applyBorder="1"/>
    <xf numFmtId="180" fontId="4" fillId="0" borderId="12" xfId="0" applyNumberFormat="1" applyFont="1" applyBorder="1"/>
    <xf numFmtId="180" fontId="4" fillId="0" borderId="3" xfId="0" applyNumberFormat="1" applyFont="1" applyBorder="1"/>
    <xf numFmtId="10" fontId="4" fillId="0" borderId="3" xfId="1" applyNumberFormat="1" applyFont="1" applyBorder="1"/>
    <xf numFmtId="9" fontId="36" fillId="0" borderId="1" xfId="0" applyNumberFormat="1" applyFont="1" applyBorder="1"/>
    <xf numFmtId="9" fontId="0" fillId="0" borderId="1" xfId="0" applyNumberFormat="1" applyBorder="1"/>
    <xf numFmtId="0" fontId="4" fillId="9" borderId="0" xfId="0" applyFont="1" applyFill="1"/>
    <xf numFmtId="10" fontId="4" fillId="9" borderId="0" xfId="0" applyNumberFormat="1" applyFont="1" applyFill="1"/>
    <xf numFmtId="10" fontId="4" fillId="0" borderId="3" xfId="0" applyNumberFormat="1" applyFont="1" applyBorder="1"/>
    <xf numFmtId="0" fontId="39" fillId="0" borderId="0" xfId="0" applyFont="1" applyAlignment="1">
      <alignment horizontal="center"/>
    </xf>
    <xf numFmtId="0" fontId="40" fillId="10" borderId="0" xfId="0" applyFont="1" applyFill="1"/>
    <xf numFmtId="0" fontId="41" fillId="10" borderId="0" xfId="0" applyFont="1" applyFill="1"/>
    <xf numFmtId="183" fontId="40" fillId="10" borderId="0" xfId="0" applyNumberFormat="1" applyFont="1" applyFill="1"/>
    <xf numFmtId="184" fontId="40" fillId="10" borderId="0" xfId="0" applyNumberFormat="1" applyFont="1" applyFill="1"/>
    <xf numFmtId="0" fontId="41" fillId="0" borderId="0" xfId="0" applyFont="1"/>
    <xf numFmtId="0" fontId="41" fillId="0" borderId="40" xfId="0" applyFont="1" applyBorder="1"/>
    <xf numFmtId="180" fontId="41" fillId="11" borderId="40" xfId="0" applyNumberFormat="1" applyFont="1" applyFill="1" applyBorder="1"/>
    <xf numFmtId="180" fontId="41" fillId="0" borderId="40" xfId="0" applyNumberFormat="1" applyFont="1" applyBorder="1"/>
    <xf numFmtId="0" fontId="41" fillId="0" borderId="41" xfId="0" applyFont="1" applyBorder="1"/>
    <xf numFmtId="9" fontId="42" fillId="11" borderId="41" xfId="0" applyNumberFormat="1" applyFont="1" applyFill="1" applyBorder="1"/>
    <xf numFmtId="9" fontId="41" fillId="0" borderId="41" xfId="0" applyNumberFormat="1" applyFont="1" applyBorder="1"/>
    <xf numFmtId="180" fontId="41" fillId="11" borderId="41" xfId="0" applyNumberFormat="1" applyFont="1" applyFill="1" applyBorder="1"/>
    <xf numFmtId="10" fontId="42" fillId="11" borderId="41" xfId="0" applyNumberFormat="1" applyFont="1" applyFill="1" applyBorder="1"/>
    <xf numFmtId="10" fontId="41" fillId="0" borderId="41" xfId="0" applyNumberFormat="1" applyFont="1" applyBorder="1"/>
    <xf numFmtId="0" fontId="41" fillId="11" borderId="41" xfId="0" applyFont="1" applyFill="1" applyBorder="1"/>
    <xf numFmtId="0" fontId="42" fillId="0" borderId="41" xfId="0" applyFont="1" applyBorder="1"/>
    <xf numFmtId="185" fontId="41" fillId="0" borderId="41" xfId="0" applyNumberFormat="1" applyFont="1" applyBorder="1"/>
    <xf numFmtId="0" fontId="41" fillId="11" borderId="0" xfId="0" applyFont="1" applyFill="1"/>
    <xf numFmtId="0" fontId="43" fillId="0" borderId="42" xfId="0" applyFont="1" applyBorder="1"/>
    <xf numFmtId="180" fontId="43" fillId="11" borderId="42" xfId="0" applyNumberFormat="1" applyFont="1" applyFill="1" applyBorder="1"/>
    <xf numFmtId="180" fontId="43" fillId="0" borderId="42" xfId="0" applyNumberFormat="1" applyFont="1" applyBorder="1"/>
    <xf numFmtId="0" fontId="41" fillId="12" borderId="0" xfId="0" applyFont="1" applyFill="1"/>
    <xf numFmtId="10" fontId="41" fillId="12" borderId="0" xfId="0" applyNumberFormat="1" applyFont="1" applyFill="1"/>
    <xf numFmtId="10" fontId="42" fillId="12" borderId="0" xfId="0" applyNumberFormat="1" applyFont="1" applyFill="1"/>
    <xf numFmtId="180" fontId="41" fillId="0" borderId="0" xfId="0" applyNumberFormat="1" applyFont="1"/>
    <xf numFmtId="10" fontId="41" fillId="0" borderId="0" xfId="0" applyNumberFormat="1" applyFont="1"/>
    <xf numFmtId="0" fontId="43" fillId="0" borderId="0" xfId="0" applyFont="1"/>
    <xf numFmtId="180" fontId="43" fillId="0" borderId="0" xfId="0" applyNumberFormat="1" applyFont="1"/>
    <xf numFmtId="2" fontId="41" fillId="0" borderId="0" xfId="0" applyNumberFormat="1" applyFont="1"/>
    <xf numFmtId="0" fontId="43" fillId="9" borderId="0" xfId="0" applyFont="1" applyFill="1"/>
    <xf numFmtId="0" fontId="41" fillId="9" borderId="0" xfId="0" applyFont="1" applyFill="1"/>
    <xf numFmtId="180" fontId="41" fillId="9" borderId="0" xfId="0" applyNumberFormat="1" applyFont="1" applyFill="1"/>
    <xf numFmtId="186" fontId="43" fillId="9" borderId="0" xfId="0" applyNumberFormat="1" applyFont="1" applyFill="1"/>
    <xf numFmtId="186" fontId="41" fillId="0" borderId="0" xfId="0" applyNumberFormat="1" applyFont="1"/>
    <xf numFmtId="0" fontId="44" fillId="0" borderId="0" xfId="0" applyFont="1"/>
    <xf numFmtId="0" fontId="45" fillId="13" borderId="0" xfId="0" applyFont="1" applyFill="1"/>
    <xf numFmtId="0" fontId="37" fillId="14" borderId="0" xfId="0" applyFont="1" applyFill="1" applyAlignment="1">
      <alignment wrapText="1"/>
    </xf>
    <xf numFmtId="0" fontId="37" fillId="14" borderId="0" xfId="0" applyFont="1" applyFill="1" applyAlignment="1">
      <alignment horizontal="right" wrapText="1"/>
    </xf>
    <xf numFmtId="0" fontId="46" fillId="14" borderId="0" xfId="0" applyFont="1" applyFill="1" applyAlignment="1">
      <alignment wrapText="1"/>
    </xf>
    <xf numFmtId="0" fontId="46" fillId="14" borderId="0" xfId="0" applyFont="1" applyFill="1" applyAlignment="1">
      <alignment horizontal="right" wrapText="1"/>
    </xf>
    <xf numFmtId="0" fontId="37" fillId="0" borderId="0" xfId="0" applyFont="1" applyAlignment="1">
      <alignment horizontal="left" vertical="top"/>
    </xf>
    <xf numFmtId="0" fontId="47" fillId="0" borderId="0" xfId="0" applyFont="1" applyAlignment="1">
      <alignment horizontal="left" vertical="top"/>
    </xf>
    <xf numFmtId="187" fontId="47" fillId="0" borderId="0" xfId="0" applyNumberFormat="1" applyFont="1" applyAlignment="1">
      <alignment horizontal="right" vertical="top" wrapText="1"/>
    </xf>
    <xf numFmtId="187" fontId="37" fillId="0" borderId="43" xfId="0" applyNumberFormat="1" applyFont="1" applyBorder="1" applyAlignment="1">
      <alignment horizontal="right" vertical="top" wrapText="1"/>
    </xf>
    <xf numFmtId="188" fontId="0" fillId="0" borderId="0" xfId="0" applyNumberFormat="1"/>
    <xf numFmtId="187" fontId="37" fillId="0" borderId="0" xfId="0" applyNumberFormat="1" applyFont="1" applyAlignment="1">
      <alignment horizontal="right" vertical="top" wrapText="1"/>
    </xf>
    <xf numFmtId="187" fontId="48" fillId="0" borderId="43" xfId="0" applyNumberFormat="1" applyFont="1" applyBorder="1" applyAlignment="1">
      <alignment horizontal="right" vertical="top" wrapText="1"/>
    </xf>
    <xf numFmtId="189" fontId="47" fillId="0" borderId="0" xfId="0" applyNumberFormat="1" applyFont="1" applyAlignment="1">
      <alignment horizontal="right" vertical="top" wrapText="1"/>
    </xf>
    <xf numFmtId="190" fontId="47" fillId="0" borderId="0" xfId="0" applyNumberFormat="1" applyFont="1" applyAlignment="1">
      <alignment horizontal="right" vertical="top" wrapText="1"/>
    </xf>
    <xf numFmtId="191" fontId="47" fillId="0" borderId="0" xfId="0" applyNumberFormat="1" applyFont="1" applyAlignment="1">
      <alignment horizontal="right" vertical="top" wrapText="1"/>
    </xf>
    <xf numFmtId="192" fontId="47" fillId="0" borderId="0" xfId="0" applyNumberFormat="1" applyFont="1" applyAlignment="1">
      <alignment horizontal="right" vertical="top" wrapText="1"/>
    </xf>
    <xf numFmtId="193" fontId="47" fillId="0" borderId="0" xfId="0" applyNumberFormat="1" applyFont="1" applyAlignment="1">
      <alignment horizontal="right" vertical="top" wrapText="1"/>
    </xf>
    <xf numFmtId="49" fontId="47" fillId="0" borderId="0" xfId="0" applyNumberFormat="1" applyFont="1" applyAlignment="1">
      <alignment horizontal="right"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vertical="top" wrapText="1"/>
    </xf>
    <xf numFmtId="0" fontId="49" fillId="0" borderId="0" xfId="0" applyFont="1"/>
    <xf numFmtId="193" fontId="37" fillId="14" borderId="0" xfId="0" applyNumberFormat="1" applyFont="1" applyFill="1" applyAlignment="1">
      <alignment horizontal="right" wrapText="1"/>
    </xf>
    <xf numFmtId="187" fontId="50" fillId="0" borderId="0" xfId="0" applyNumberFormat="1" applyFont="1" applyAlignment="1">
      <alignment horizontal="right" vertical="top" wrapText="1"/>
    </xf>
    <xf numFmtId="187" fontId="48" fillId="0" borderId="0" xfId="0" applyNumberFormat="1" applyFont="1" applyAlignment="1">
      <alignment horizontal="right" vertical="top" wrapText="1"/>
    </xf>
    <xf numFmtId="194" fontId="47" fillId="0" borderId="0" xfId="0" applyNumberFormat="1" applyFont="1" applyAlignment="1">
      <alignment horizontal="right" vertical="top" wrapText="1"/>
    </xf>
    <xf numFmtId="17" fontId="2" fillId="2" borderId="0" xfId="0" applyNumberFormat="1" applyFont="1" applyFill="1" applyAlignment="1">
      <alignment horizontal="right"/>
    </xf>
    <xf numFmtId="0" fontId="4" fillId="0" borderId="35" xfId="0" applyFont="1" applyBorder="1"/>
    <xf numFmtId="180" fontId="4" fillId="0" borderId="35" xfId="0" applyNumberFormat="1" applyFont="1" applyBorder="1"/>
    <xf numFmtId="0" fontId="2" fillId="4" borderId="0" xfId="0" applyFont="1" applyFill="1"/>
    <xf numFmtId="17" fontId="2" fillId="4" borderId="0" xfId="0" applyNumberFormat="1" applyFont="1" applyFill="1"/>
    <xf numFmtId="0" fontId="0" fillId="0" borderId="44" xfId="0" applyBorder="1"/>
    <xf numFmtId="180" fontId="0" fillId="0" borderId="44" xfId="0" applyNumberFormat="1" applyBorder="1"/>
    <xf numFmtId="0" fontId="51" fillId="0" borderId="0" xfId="0" applyFont="1"/>
    <xf numFmtId="0" fontId="49" fillId="0" borderId="0" xfId="0" applyFont="1" applyAlignment="1">
      <alignment horizontal="left"/>
    </xf>
    <xf numFmtId="193" fontId="49" fillId="0" borderId="0" xfId="0" applyNumberFormat="1" applyFont="1" applyAlignment="1">
      <alignment horizontal="left"/>
    </xf>
    <xf numFmtId="0" fontId="37" fillId="14" borderId="0" xfId="0" applyFont="1" applyFill="1" applyAlignment="1">
      <alignment horizontal="left" vertical="top" wrapText="1"/>
    </xf>
    <xf numFmtId="0" fontId="37" fillId="14" borderId="0" xfId="0" applyFont="1" applyFill="1" applyAlignment="1">
      <alignment horizontal="right" vertical="top" wrapText="1"/>
    </xf>
    <xf numFmtId="0" fontId="37" fillId="14" borderId="0" xfId="0" applyFont="1" applyFill="1" applyAlignment="1">
      <alignment horizontal="center" vertical="top" wrapText="1"/>
    </xf>
    <xf numFmtId="195" fontId="47" fillId="0" borderId="0" xfId="0" applyNumberFormat="1" applyFont="1" applyAlignment="1">
      <alignment horizontal="right" vertical="top" wrapText="1"/>
    </xf>
    <xf numFmtId="196" fontId="47" fillId="0" borderId="0" xfId="0" applyNumberFormat="1" applyFont="1" applyAlignment="1">
      <alignment horizontal="right" vertical="top" wrapText="1"/>
    </xf>
    <xf numFmtId="0" fontId="47" fillId="0" borderId="0" xfId="0" applyFont="1" applyAlignment="1">
      <alignment horizontal="right" vertical="top" wrapText="1"/>
    </xf>
    <xf numFmtId="193" fontId="47" fillId="0" borderId="0" xfId="0" applyNumberFormat="1" applyFont="1" applyAlignment="1">
      <alignment horizontal="center" vertical="top" wrapText="1"/>
    </xf>
    <xf numFmtId="0" fontId="37" fillId="0" borderId="0" xfId="0" applyFont="1" applyAlignment="1">
      <alignment vertical="top" wrapText="1"/>
    </xf>
    <xf numFmtId="0" fontId="37" fillId="14" borderId="0" xfId="0" applyFont="1" applyFill="1" applyAlignment="1">
      <alignment vertical="top" wrapText="1"/>
    </xf>
    <xf numFmtId="197" fontId="47" fillId="0" borderId="0" xfId="0" applyNumberFormat="1" applyFont="1" applyAlignment="1">
      <alignment horizontal="right" vertical="top" wrapText="1"/>
    </xf>
    <xf numFmtId="198" fontId="47" fillId="0" borderId="0" xfId="0" applyNumberFormat="1" applyFont="1" applyAlignment="1">
      <alignment horizontal="right" vertical="top" wrapText="1"/>
    </xf>
    <xf numFmtId="0" fontId="52" fillId="0" borderId="0" xfId="0" applyFont="1"/>
    <xf numFmtId="0" fontId="53" fillId="0" borderId="0" xfId="0" applyFont="1"/>
    <xf numFmtId="10" fontId="54" fillId="0" borderId="0" xfId="0" applyNumberFormat="1" applyFont="1"/>
    <xf numFmtId="10" fontId="55" fillId="0" borderId="0" xfId="0" applyNumberFormat="1" applyFont="1"/>
    <xf numFmtId="10" fontId="56" fillId="0" borderId="0" xfId="0" applyNumberFormat="1" applyFont="1"/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39" fillId="2" borderId="0" xfId="0" applyFont="1" applyFill="1" applyAlignment="1">
      <alignment horizontal="center"/>
    </xf>
    <xf numFmtId="0" fontId="52" fillId="0" borderId="0" xfId="0" applyFont="1"/>
  </cellXfs>
  <cellStyles count="2">
    <cellStyle name="Normal" xfId="0" builtinId="0"/>
    <cellStyle name="Percent" xfId="1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108858</xdr:colOff>
      <xdr:row>0</xdr:row>
      <xdr:rowOff>133047</xdr:rowOff>
    </xdr:from>
    <xdr:to>
      <xdr:col>9</xdr:col>
      <xdr:colOff>616858</xdr:colOff>
      <xdr:row>3</xdr:row>
      <xdr:rowOff>64709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FA6C57-0BDB-AD4F-9A64-31CD8E2D4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68958" y="133047"/>
          <a:ext cx="508000" cy="50316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chemeClr val="bg1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 editAs="oneCell">
    <xdr:from>
      <xdr:col>9</xdr:col>
      <xdr:colOff>1003905</xdr:colOff>
      <xdr:row>0</xdr:row>
      <xdr:rowOff>169335</xdr:rowOff>
    </xdr:from>
    <xdr:to>
      <xdr:col>10</xdr:col>
      <xdr:colOff>991809</xdr:colOff>
      <xdr:row>3</xdr:row>
      <xdr:rowOff>941</xdr:rowOff>
    </xdr:to>
    <xdr:pic>
      <xdr:nvPicPr>
        <xdr:cNvPr id="3" name="Picture 2" descr="3G Capital's playbook for success - Technology and Operations Management">
          <a:extLst>
            <a:ext uri="{FF2B5EF4-FFF2-40B4-BE49-F238E27FC236}">
              <a16:creationId xmlns:a16="http://schemas.microsoft.com/office/drawing/2014/main" id="{81729C89-8FE4-CF4F-AA02-E8C526BD7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64005" y="169335"/>
          <a:ext cx="1194404" cy="403106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aggy/Desktop/LBO%20Model.xlsx" TargetMode="External"/><Relationship Id="rId1" Type="http://schemas.openxmlformats.org/officeDocument/2006/relationships/externalLinkPath" Target="LBO%20Mode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aggy/Desktop/Apple%20Inc._Valuation_Model.xlsx" TargetMode="External"/><Relationship Id="rId1" Type="http://schemas.openxmlformats.org/officeDocument/2006/relationships/externalLinkPath" Target="Apple%20Inc._Valuation_Mod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del"/>
      <sheetName val="Financials"/>
      <sheetName val="LBO - 2"/>
      <sheetName val="Data"/>
      <sheetName val="Assumptions"/>
      <sheetName val="Shares 2"/>
    </sheetNames>
    <sheetDataSet>
      <sheetData sheetId="0" refreshError="1"/>
      <sheetData sheetId="1">
        <row r="28">
          <cell r="C28">
            <v>700</v>
          </cell>
        </row>
      </sheetData>
      <sheetData sheetId="2">
        <row r="8">
          <cell r="E8" t="str">
            <v>OFF</v>
          </cell>
        </row>
        <row r="9">
          <cell r="E9">
            <v>2</v>
          </cell>
        </row>
        <row r="14">
          <cell r="K14">
            <v>24</v>
          </cell>
        </row>
      </sheetData>
      <sheetData sheetId="3" refreshError="1"/>
      <sheetData sheetId="4">
        <row r="9">
          <cell r="J9">
            <v>200</v>
          </cell>
          <cell r="K9">
            <v>7.4999999999999997E-2</v>
          </cell>
        </row>
        <row r="10">
          <cell r="C10">
            <v>2000</v>
          </cell>
          <cell r="H10" t="str">
            <v>Bank Loan</v>
          </cell>
          <cell r="J10">
            <v>2500</v>
          </cell>
          <cell r="K10">
            <v>9.5000000000000001E-2</v>
          </cell>
        </row>
        <row r="11">
          <cell r="C11">
            <v>900</v>
          </cell>
          <cell r="H11" t="str">
            <v>Senior Notes</v>
          </cell>
          <cell r="J11">
            <v>1500</v>
          </cell>
          <cell r="K11">
            <v>0.125</v>
          </cell>
        </row>
        <row r="12">
          <cell r="C12">
            <v>500</v>
          </cell>
        </row>
        <row r="13">
          <cell r="C13">
            <v>100</v>
          </cell>
        </row>
        <row r="14">
          <cell r="C14">
            <v>200</v>
          </cell>
        </row>
        <row r="15">
          <cell r="C15">
            <v>140</v>
          </cell>
        </row>
        <row r="18">
          <cell r="C18">
            <v>0.1</v>
          </cell>
          <cell r="F18">
            <v>10</v>
          </cell>
        </row>
        <row r="19">
          <cell r="C19">
            <v>0.21</v>
          </cell>
        </row>
        <row r="29">
          <cell r="C29">
            <v>2900</v>
          </cell>
        </row>
      </sheetData>
      <sheetData sheetId="5">
        <row r="16">
          <cell r="E16">
            <v>138.55880866666666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ncials &gt;"/>
      <sheetName val="Historical FS"/>
      <sheetName val="Ratio Analysis"/>
      <sheetName val="WACC"/>
      <sheetName val="Intrinsic Growth "/>
      <sheetName val="DCF"/>
      <sheetName val="Data &gt;"/>
      <sheetName val="Data Sheet"/>
      <sheetName val="Raw FS"/>
      <sheetName val="Peer Comps"/>
      <sheetName val="Rm"/>
    </sheetNames>
    <sheetDataSet>
      <sheetData sheetId="0" refreshError="1"/>
      <sheetData sheetId="1">
        <row r="7">
          <cell r="C7">
            <v>44075</v>
          </cell>
          <cell r="D7">
            <v>44440</v>
          </cell>
          <cell r="E7">
            <v>44805</v>
          </cell>
          <cell r="F7">
            <v>45170</v>
          </cell>
          <cell r="G7">
            <v>45536</v>
          </cell>
        </row>
        <row r="10">
          <cell r="C10">
            <v>274515</v>
          </cell>
          <cell r="D10">
            <v>365817</v>
          </cell>
          <cell r="E10">
            <v>394328</v>
          </cell>
          <cell r="F10">
            <v>383285</v>
          </cell>
          <cell r="G10">
            <v>391035</v>
          </cell>
        </row>
        <row r="11">
          <cell r="D11">
            <v>0.33259384733074704</v>
          </cell>
          <cell r="E11">
            <v>7.7937876041846099E-2</v>
          </cell>
          <cell r="F11">
            <v>-2.800460530319937E-2</v>
          </cell>
          <cell r="G11">
            <v>2.021994077514111E-2</v>
          </cell>
        </row>
        <row r="13">
          <cell r="C13">
            <v>169559</v>
          </cell>
          <cell r="D13">
            <v>212981</v>
          </cell>
          <cell r="E13">
            <v>223546</v>
          </cell>
          <cell r="F13">
            <v>214137</v>
          </cell>
          <cell r="G13">
            <v>210352</v>
          </cell>
        </row>
        <row r="17">
          <cell r="C17">
            <v>0.38233247727810865</v>
          </cell>
          <cell r="D17">
            <v>0.41779359625167778</v>
          </cell>
          <cell r="E17">
            <v>0.43309630561360085</v>
          </cell>
          <cell r="F17">
            <v>0.44131129577207562</v>
          </cell>
          <cell r="G17">
            <v>0.46206349815233932</v>
          </cell>
        </row>
        <row r="20">
          <cell r="C20">
            <v>7.2549769593646979E-2</v>
          </cell>
          <cell r="D20">
            <v>6.006555190163388E-2</v>
          </cell>
          <cell r="E20">
            <v>6.3637378020328261E-2</v>
          </cell>
          <cell r="F20">
            <v>6.5048201729783317E-2</v>
          </cell>
          <cell r="G20">
            <v>6.6738271510222866E-2</v>
          </cell>
        </row>
        <row r="25">
          <cell r="C25">
            <v>77344</v>
          </cell>
          <cell r="D25">
            <v>120233</v>
          </cell>
          <cell r="E25">
            <v>130541</v>
          </cell>
          <cell r="F25">
            <v>125820</v>
          </cell>
          <cell r="G25">
            <v>134661</v>
          </cell>
        </row>
        <row r="26">
          <cell r="C26">
            <v>0.2817478097736007</v>
          </cell>
          <cell r="D26">
            <v>0.32866979938056462</v>
          </cell>
          <cell r="E26">
            <v>0.3310467428130896</v>
          </cell>
          <cell r="F26">
            <v>0.32826747720364741</v>
          </cell>
          <cell r="G26">
            <v>0.34437070850435381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1">
          <cell r="C31">
            <v>66288</v>
          </cell>
          <cell r="D31">
            <v>108949</v>
          </cell>
          <cell r="E31">
            <v>119437</v>
          </cell>
          <cell r="F31">
            <v>114301</v>
          </cell>
          <cell r="G31">
            <v>123216</v>
          </cell>
        </row>
        <row r="34">
          <cell r="C34">
            <v>890</v>
          </cell>
          <cell r="D34">
            <v>198</v>
          </cell>
          <cell r="E34" t="str">
            <v>-</v>
          </cell>
          <cell r="F34" t="str">
            <v>-</v>
          </cell>
          <cell r="G34" t="str">
            <v>-</v>
          </cell>
        </row>
        <row r="38">
          <cell r="C38">
            <v>0.24439830246070343</v>
          </cell>
          <cell r="D38">
            <v>0.29852904594373691</v>
          </cell>
          <cell r="E38">
            <v>0.30204043334482966</v>
          </cell>
          <cell r="F38">
            <v>0.29674002374212399</v>
          </cell>
          <cell r="G38">
            <v>0.31579014666206351</v>
          </cell>
        </row>
        <row r="43">
          <cell r="C43">
            <v>57411</v>
          </cell>
          <cell r="D43">
            <v>94680</v>
          </cell>
          <cell r="E43">
            <v>99803</v>
          </cell>
          <cell r="F43">
            <v>96995</v>
          </cell>
          <cell r="G43">
            <v>93736</v>
          </cell>
        </row>
        <row r="44">
          <cell r="C44">
            <v>0.20913611278072236</v>
          </cell>
          <cell r="D44">
            <v>0.25881793355694238</v>
          </cell>
          <cell r="E44">
            <v>0.25309640705199732</v>
          </cell>
          <cell r="F44">
            <v>0.25306234264320282</v>
          </cell>
          <cell r="G44">
            <v>0.23971255769943867</v>
          </cell>
        </row>
        <row r="49">
          <cell r="C49">
            <v>0.8</v>
          </cell>
          <cell r="D49">
            <v>0.85</v>
          </cell>
          <cell r="E49">
            <v>0.9</v>
          </cell>
          <cell r="F49">
            <v>0.94</v>
          </cell>
          <cell r="G49">
            <v>0.98</v>
          </cell>
        </row>
        <row r="53">
          <cell r="C53">
            <v>50779</v>
          </cell>
          <cell r="D53">
            <v>57365</v>
          </cell>
          <cell r="E53">
            <v>64849</v>
          </cell>
          <cell r="F53">
            <v>73812</v>
          </cell>
          <cell r="G53">
            <v>83276</v>
          </cell>
        </row>
        <row r="56">
          <cell r="C56">
            <v>14560</v>
          </cell>
          <cell r="D56">
            <v>5725</v>
          </cell>
          <cell r="E56">
            <v>-14177</v>
          </cell>
          <cell r="F56">
            <v>-11666</v>
          </cell>
          <cell r="G56">
            <v>-26326</v>
          </cell>
        </row>
        <row r="57">
          <cell r="C57">
            <v>14966</v>
          </cell>
          <cell r="D57">
            <v>5562</v>
          </cell>
          <cell r="E57">
            <v>-3068</v>
          </cell>
          <cell r="F57">
            <v>-214</v>
          </cell>
          <cell r="G57">
            <v>-19154</v>
          </cell>
        </row>
        <row r="60">
          <cell r="C60">
            <v>105392</v>
          </cell>
          <cell r="D60">
            <v>125481</v>
          </cell>
          <cell r="E60">
            <v>153982</v>
          </cell>
          <cell r="F60">
            <v>145308</v>
          </cell>
          <cell r="G60">
            <v>176392</v>
          </cell>
        </row>
        <row r="61">
          <cell r="C61">
            <v>42296</v>
          </cell>
          <cell r="D61">
            <v>54763</v>
          </cell>
          <cell r="E61">
            <v>64115</v>
          </cell>
          <cell r="F61">
            <v>62611</v>
          </cell>
          <cell r="G61">
            <v>68960</v>
          </cell>
        </row>
        <row r="62">
          <cell r="C62">
            <v>4996</v>
          </cell>
          <cell r="D62">
            <v>6000</v>
          </cell>
          <cell r="E62">
            <v>9982</v>
          </cell>
          <cell r="F62">
            <v>5985</v>
          </cell>
          <cell r="G62">
            <v>9967</v>
          </cell>
        </row>
        <row r="63">
          <cell r="C63">
            <v>8773</v>
          </cell>
          <cell r="D63">
            <v>9613</v>
          </cell>
          <cell r="E63">
            <v>11128</v>
          </cell>
          <cell r="F63">
            <v>9822</v>
          </cell>
          <cell r="G63">
            <v>10912</v>
          </cell>
        </row>
        <row r="64">
          <cell r="C64">
            <v>1460</v>
          </cell>
          <cell r="D64">
            <v>1528</v>
          </cell>
          <cell r="E64">
            <v>1663</v>
          </cell>
          <cell r="F64">
            <v>1575</v>
          </cell>
          <cell r="G64">
            <v>1632</v>
          </cell>
        </row>
        <row r="69">
          <cell r="C69">
            <v>98667</v>
          </cell>
          <cell r="D69">
            <v>109106</v>
          </cell>
          <cell r="E69">
            <v>98959</v>
          </cell>
          <cell r="F69">
            <v>95281</v>
          </cell>
          <cell r="G69">
            <v>85750</v>
          </cell>
        </row>
        <row r="70">
          <cell r="C70">
            <v>8382</v>
          </cell>
          <cell r="D70">
            <v>10275</v>
          </cell>
          <cell r="E70">
            <v>10748</v>
          </cell>
          <cell r="F70">
            <v>11267</v>
          </cell>
          <cell r="G70">
            <v>10798</v>
          </cell>
        </row>
        <row r="77">
          <cell r="C77">
            <v>16120</v>
          </cell>
          <cell r="D77">
            <v>26278</v>
          </cell>
          <cell r="E77">
            <v>28184</v>
          </cell>
          <cell r="F77">
            <v>29508</v>
          </cell>
          <cell r="G77">
            <v>33410</v>
          </cell>
        </row>
        <row r="79">
          <cell r="C79">
            <v>4061</v>
          </cell>
          <cell r="D79">
            <v>6580</v>
          </cell>
          <cell r="E79">
            <v>4946</v>
          </cell>
          <cell r="F79">
            <v>6331</v>
          </cell>
          <cell r="G79">
            <v>7286</v>
          </cell>
        </row>
        <row r="81">
          <cell r="C81">
            <v>45336</v>
          </cell>
          <cell r="D81">
            <v>49527</v>
          </cell>
          <cell r="E81">
            <v>52534</v>
          </cell>
          <cell r="F81">
            <v>43715</v>
          </cell>
          <cell r="G81">
            <v>45680</v>
          </cell>
        </row>
        <row r="87">
          <cell r="C87">
            <v>323888</v>
          </cell>
          <cell r="D87">
            <v>351002</v>
          </cell>
          <cell r="E87">
            <v>352755</v>
          </cell>
          <cell r="F87">
            <v>352583</v>
          </cell>
          <cell r="G87">
            <v>364980</v>
          </cell>
        </row>
        <row r="102">
          <cell r="C102">
            <v>80674</v>
          </cell>
          <cell r="D102">
            <v>104038</v>
          </cell>
          <cell r="E102">
            <v>122151</v>
          </cell>
          <cell r="F102">
            <v>110543</v>
          </cell>
          <cell r="G102">
            <v>118254</v>
          </cell>
        </row>
      </sheetData>
      <sheetData sheetId="2" refreshError="1"/>
      <sheetData sheetId="3">
        <row r="49">
          <cell r="K49">
            <v>8.0683065012211716E-2</v>
          </cell>
        </row>
      </sheetData>
      <sheetData sheetId="4">
        <row r="69">
          <cell r="K69">
            <v>-0.10797267487337042</v>
          </cell>
        </row>
      </sheetData>
      <sheetData sheetId="5" refreshError="1"/>
      <sheetData sheetId="6" refreshError="1"/>
      <sheetData sheetId="7">
        <row r="1">
          <cell r="B1" t="str">
            <v xml:space="preserve">Apple Inc. </v>
          </cell>
        </row>
        <row r="8">
          <cell r="C8">
            <v>274515</v>
          </cell>
          <cell r="D8">
            <v>365817</v>
          </cell>
          <cell r="E8">
            <v>394328</v>
          </cell>
          <cell r="F8">
            <v>383285</v>
          </cell>
          <cell r="G8">
            <v>391035</v>
          </cell>
          <cell r="H8">
            <v>395760</v>
          </cell>
        </row>
        <row r="10">
          <cell r="C10">
            <v>169559</v>
          </cell>
          <cell r="D10">
            <v>212981</v>
          </cell>
          <cell r="E10">
            <v>223546</v>
          </cell>
          <cell r="F10">
            <v>214137</v>
          </cell>
          <cell r="G10">
            <v>210352</v>
          </cell>
          <cell r="H10">
            <v>211657</v>
          </cell>
        </row>
        <row r="11">
          <cell r="C11">
            <v>104956</v>
          </cell>
          <cell r="D11">
            <v>152836</v>
          </cell>
          <cell r="E11">
            <v>170782</v>
          </cell>
          <cell r="F11">
            <v>169148</v>
          </cell>
          <cell r="G11">
            <v>180683</v>
          </cell>
          <cell r="H11">
            <v>184103</v>
          </cell>
        </row>
        <row r="13">
          <cell r="C13">
            <v>19916</v>
          </cell>
          <cell r="D13">
            <v>21973</v>
          </cell>
          <cell r="E13">
            <v>25094</v>
          </cell>
          <cell r="F13">
            <v>24932</v>
          </cell>
          <cell r="G13">
            <v>26097</v>
          </cell>
          <cell r="H13">
            <v>26486</v>
          </cell>
        </row>
        <row r="14">
          <cell r="B14" t="str">
            <v>R &amp; D Exp.</v>
          </cell>
          <cell r="C14">
            <v>18752</v>
          </cell>
          <cell r="D14">
            <v>21914</v>
          </cell>
          <cell r="E14">
            <v>26251</v>
          </cell>
          <cell r="F14">
            <v>29915</v>
          </cell>
          <cell r="G14">
            <v>31370</v>
          </cell>
          <cell r="H14">
            <v>31942</v>
          </cell>
        </row>
        <row r="22">
          <cell r="H22" t="str">
            <v>-</v>
          </cell>
        </row>
        <row r="24">
          <cell r="C24">
            <v>890</v>
          </cell>
          <cell r="D24">
            <v>198</v>
          </cell>
          <cell r="E24" t="str">
            <v>-</v>
          </cell>
          <cell r="F24" t="str">
            <v>-</v>
          </cell>
          <cell r="G24" t="str">
            <v>-</v>
          </cell>
          <cell r="H24" t="str">
            <v>-</v>
          </cell>
        </row>
        <row r="31">
          <cell r="C31">
            <v>67091</v>
          </cell>
          <cell r="D31">
            <v>109207</v>
          </cell>
          <cell r="E31">
            <v>119103</v>
          </cell>
          <cell r="F31">
            <v>113736</v>
          </cell>
          <cell r="G31">
            <v>123485</v>
          </cell>
          <cell r="H31">
            <v>125746</v>
          </cell>
        </row>
        <row r="33">
          <cell r="C33">
            <v>9680</v>
          </cell>
          <cell r="D33">
            <v>14527</v>
          </cell>
          <cell r="E33">
            <v>19300</v>
          </cell>
          <cell r="F33">
            <v>16741</v>
          </cell>
          <cell r="G33">
            <v>29749</v>
          </cell>
          <cell r="H33">
            <v>29596</v>
          </cell>
        </row>
        <row r="41">
          <cell r="C41">
            <v>57411</v>
          </cell>
          <cell r="D41">
            <v>94680</v>
          </cell>
          <cell r="E41">
            <v>99803</v>
          </cell>
          <cell r="F41">
            <v>96995</v>
          </cell>
          <cell r="G41">
            <v>93736</v>
          </cell>
          <cell r="H41">
            <v>96150</v>
          </cell>
        </row>
        <row r="49">
          <cell r="C49">
            <v>3.31</v>
          </cell>
          <cell r="D49">
            <v>5.67</v>
          </cell>
          <cell r="E49">
            <v>6.15</v>
          </cell>
          <cell r="F49">
            <v>6.16</v>
          </cell>
          <cell r="G49">
            <v>6.11</v>
          </cell>
          <cell r="H49">
            <v>6.31</v>
          </cell>
        </row>
        <row r="60">
          <cell r="C60">
            <v>0.8</v>
          </cell>
          <cell r="D60">
            <v>0.85</v>
          </cell>
          <cell r="E60">
            <v>0.9</v>
          </cell>
          <cell r="F60">
            <v>0.94</v>
          </cell>
          <cell r="G60">
            <v>0.98</v>
          </cell>
          <cell r="H60">
            <v>0.99</v>
          </cell>
        </row>
        <row r="61">
          <cell r="C61">
            <v>0.24526600000000001</v>
          </cell>
          <cell r="D61">
            <v>0.15279799999999999</v>
          </cell>
          <cell r="E61">
            <v>0.148702</v>
          </cell>
          <cell r="F61">
            <v>0.15490399999999999</v>
          </cell>
          <cell r="G61">
            <v>0.16252</v>
          </cell>
          <cell r="H61">
            <v>0.15876199999999999</v>
          </cell>
        </row>
        <row r="66">
          <cell r="C66">
            <v>77344</v>
          </cell>
          <cell r="D66">
            <v>120233</v>
          </cell>
          <cell r="E66">
            <v>130541</v>
          </cell>
          <cell r="F66">
            <v>125820</v>
          </cell>
          <cell r="G66">
            <v>134661</v>
          </cell>
          <cell r="H66">
            <v>137352</v>
          </cell>
        </row>
        <row r="68">
          <cell r="C68">
            <v>66288</v>
          </cell>
          <cell r="D68">
            <v>108949</v>
          </cell>
          <cell r="E68">
            <v>119437</v>
          </cell>
          <cell r="F68">
            <v>114301</v>
          </cell>
          <cell r="G68">
            <v>123216</v>
          </cell>
          <cell r="H68">
            <v>125675</v>
          </cell>
        </row>
        <row r="101">
          <cell r="B101" t="str">
            <v>Cash And Equivalents</v>
          </cell>
          <cell r="C101">
            <v>38016</v>
          </cell>
          <cell r="D101">
            <v>34940</v>
          </cell>
          <cell r="E101">
            <v>23646</v>
          </cell>
          <cell r="F101">
            <v>29965</v>
          </cell>
          <cell r="G101">
            <v>29943</v>
          </cell>
          <cell r="H101">
            <v>30299</v>
          </cell>
        </row>
        <row r="102">
          <cell r="B102" t="str">
            <v>Short Term Investments</v>
          </cell>
          <cell r="C102">
            <v>52927</v>
          </cell>
          <cell r="D102">
            <v>27699</v>
          </cell>
          <cell r="E102">
            <v>24658</v>
          </cell>
          <cell r="F102">
            <v>31590</v>
          </cell>
          <cell r="G102">
            <v>35228</v>
          </cell>
          <cell r="H102">
            <v>23476</v>
          </cell>
        </row>
        <row r="105">
          <cell r="B105" t="str">
            <v>Accounts Receivable</v>
          </cell>
          <cell r="C105">
            <v>16120</v>
          </cell>
          <cell r="D105">
            <v>26278</v>
          </cell>
          <cell r="E105">
            <v>28184</v>
          </cell>
          <cell r="F105">
            <v>29508</v>
          </cell>
          <cell r="G105">
            <v>33410</v>
          </cell>
          <cell r="H105">
            <v>29639</v>
          </cell>
        </row>
        <row r="106">
          <cell r="B106" t="str">
            <v>Other Receivables</v>
          </cell>
          <cell r="C106">
            <v>21325</v>
          </cell>
          <cell r="D106">
            <v>25228</v>
          </cell>
          <cell r="E106">
            <v>32748</v>
          </cell>
          <cell r="F106">
            <v>31477</v>
          </cell>
          <cell r="G106">
            <v>32833</v>
          </cell>
          <cell r="H106">
            <v>29667</v>
          </cell>
        </row>
        <row r="109">
          <cell r="B109" t="str">
            <v>Inventory</v>
          </cell>
          <cell r="C109">
            <v>4061</v>
          </cell>
          <cell r="D109">
            <v>6580</v>
          </cell>
          <cell r="E109">
            <v>4946</v>
          </cell>
          <cell r="F109">
            <v>6331</v>
          </cell>
          <cell r="G109">
            <v>7286</v>
          </cell>
          <cell r="H109">
            <v>6911</v>
          </cell>
        </row>
        <row r="110">
          <cell r="B110" t="str">
            <v>Other Current Assets</v>
          </cell>
          <cell r="C110">
            <v>11264</v>
          </cell>
          <cell r="D110">
            <v>14111</v>
          </cell>
          <cell r="E110">
            <v>21223</v>
          </cell>
          <cell r="F110">
            <v>14695</v>
          </cell>
          <cell r="G110">
            <v>14287</v>
          </cell>
          <cell r="H110">
            <v>13248</v>
          </cell>
        </row>
        <row r="113">
          <cell r="B113" t="str">
            <v>Gross Property, Plant &amp; Equipment</v>
          </cell>
          <cell r="C113">
            <v>112096</v>
          </cell>
          <cell r="D113">
            <v>119810</v>
          </cell>
          <cell r="E113">
            <v>124874</v>
          </cell>
          <cell r="F113">
            <v>114599</v>
          </cell>
          <cell r="G113">
            <v>119128</v>
          </cell>
          <cell r="H113">
            <v>120615</v>
          </cell>
        </row>
        <row r="114">
          <cell r="B114" t="str">
            <v>Accumulated Depreciation</v>
          </cell>
          <cell r="C114">
            <v>-66760</v>
          </cell>
          <cell r="D114">
            <v>-70283</v>
          </cell>
          <cell r="E114">
            <v>-72340</v>
          </cell>
          <cell r="F114">
            <v>-70884</v>
          </cell>
          <cell r="G114">
            <v>-73448</v>
          </cell>
          <cell r="H114">
            <v>-74546</v>
          </cell>
        </row>
        <row r="117">
          <cell r="B117" t="str">
            <v>Long-term Investments</v>
          </cell>
          <cell r="C117">
            <v>100887</v>
          </cell>
          <cell r="D117">
            <v>127877</v>
          </cell>
          <cell r="E117">
            <v>120805</v>
          </cell>
          <cell r="F117">
            <v>100544</v>
          </cell>
          <cell r="G117">
            <v>91479</v>
          </cell>
          <cell r="H117">
            <v>87593</v>
          </cell>
        </row>
        <row r="118">
          <cell r="B118" t="str">
            <v>Deferred Tax Assets, LT</v>
          </cell>
          <cell r="C118" t="str">
            <v>-</v>
          </cell>
          <cell r="D118" t="str">
            <v>-</v>
          </cell>
          <cell r="E118" t="str">
            <v>-</v>
          </cell>
          <cell r="F118">
            <v>17852</v>
          </cell>
          <cell r="G118">
            <v>19499</v>
          </cell>
          <cell r="H118" t="str">
            <v>-</v>
          </cell>
        </row>
        <row r="119">
          <cell r="B119" t="str">
            <v>Other Long-Term Assets</v>
          </cell>
          <cell r="C119">
            <v>33952</v>
          </cell>
          <cell r="D119">
            <v>38762</v>
          </cell>
          <cell r="E119">
            <v>44011</v>
          </cell>
          <cell r="F119">
            <v>46906</v>
          </cell>
          <cell r="G119">
            <v>55335</v>
          </cell>
          <cell r="H119">
            <v>77183</v>
          </cell>
        </row>
        <row r="120">
          <cell r="C120">
            <v>323888</v>
          </cell>
          <cell r="D120">
            <v>351002</v>
          </cell>
          <cell r="E120">
            <v>352755</v>
          </cell>
          <cell r="F120">
            <v>352583</v>
          </cell>
          <cell r="G120">
            <v>364980</v>
          </cell>
          <cell r="H120">
            <v>344085</v>
          </cell>
        </row>
        <row r="123">
          <cell r="B123" t="str">
            <v>Accounts Payable</v>
          </cell>
          <cell r="C123">
            <v>42296</v>
          </cell>
          <cell r="D123">
            <v>54763</v>
          </cell>
          <cell r="E123">
            <v>64115</v>
          </cell>
          <cell r="F123">
            <v>62611</v>
          </cell>
          <cell r="G123">
            <v>68960</v>
          </cell>
          <cell r="H123">
            <v>61910</v>
          </cell>
        </row>
        <row r="124">
          <cell r="B124" t="str">
            <v>Short-term Borrowings</v>
          </cell>
          <cell r="C124">
            <v>4996</v>
          </cell>
          <cell r="D124">
            <v>6000</v>
          </cell>
          <cell r="E124">
            <v>9982</v>
          </cell>
          <cell r="F124">
            <v>5985</v>
          </cell>
          <cell r="G124">
            <v>9967</v>
          </cell>
          <cell r="H124">
            <v>1995</v>
          </cell>
        </row>
        <row r="125">
          <cell r="B125" t="str">
            <v>Curr. Port. of LT Debt</v>
          </cell>
          <cell r="C125">
            <v>8773</v>
          </cell>
          <cell r="D125">
            <v>9613</v>
          </cell>
          <cell r="E125">
            <v>11128</v>
          </cell>
          <cell r="F125">
            <v>9822</v>
          </cell>
          <cell r="G125">
            <v>10912</v>
          </cell>
          <cell r="H125">
            <v>10848</v>
          </cell>
        </row>
        <row r="126">
          <cell r="B126" t="str">
            <v>Curr. Port. of Leases</v>
          </cell>
          <cell r="C126">
            <v>1460</v>
          </cell>
          <cell r="D126">
            <v>1528</v>
          </cell>
          <cell r="E126">
            <v>1663</v>
          </cell>
          <cell r="F126">
            <v>1575</v>
          </cell>
          <cell r="G126">
            <v>1632</v>
          </cell>
          <cell r="H126" t="str">
            <v>-</v>
          </cell>
        </row>
        <row r="127">
          <cell r="B127" t="str">
            <v>Curr. Income Taxes Payable</v>
          </cell>
          <cell r="C127" t="str">
            <v>-</v>
          </cell>
          <cell r="D127" t="str">
            <v>-</v>
          </cell>
          <cell r="E127" t="str">
            <v>-</v>
          </cell>
          <cell r="F127">
            <v>8819</v>
          </cell>
          <cell r="G127">
            <v>26601</v>
          </cell>
          <cell r="H127" t="str">
            <v>-</v>
          </cell>
        </row>
        <row r="128">
          <cell r="B128" t="str">
            <v>Unearned Revenue, Current</v>
          </cell>
          <cell r="C128">
            <v>6643</v>
          </cell>
          <cell r="D128">
            <v>7612</v>
          </cell>
          <cell r="E128">
            <v>7912</v>
          </cell>
          <cell r="F128">
            <v>8061</v>
          </cell>
          <cell r="G128">
            <v>8249</v>
          </cell>
          <cell r="H128">
            <v>8461</v>
          </cell>
        </row>
        <row r="129">
          <cell r="B129" t="str">
            <v>Other Current Liabilities</v>
          </cell>
          <cell r="C129">
            <v>41224</v>
          </cell>
          <cell r="D129">
            <v>45965</v>
          </cell>
          <cell r="E129">
            <v>59182</v>
          </cell>
          <cell r="F129">
            <v>48435</v>
          </cell>
          <cell r="G129">
            <v>50071</v>
          </cell>
          <cell r="H129">
            <v>61151</v>
          </cell>
        </row>
        <row r="132">
          <cell r="B132" t="str">
            <v>Long-Term Debt</v>
          </cell>
          <cell r="C132">
            <v>98667</v>
          </cell>
          <cell r="D132">
            <v>109106</v>
          </cell>
          <cell r="E132">
            <v>98959</v>
          </cell>
          <cell r="F132">
            <v>95281</v>
          </cell>
          <cell r="G132">
            <v>85750</v>
          </cell>
          <cell r="H132">
            <v>83956</v>
          </cell>
        </row>
        <row r="133">
          <cell r="B133" t="str">
            <v>Long-Term Leases</v>
          </cell>
          <cell r="C133">
            <v>8382</v>
          </cell>
          <cell r="D133">
            <v>10275</v>
          </cell>
          <cell r="E133">
            <v>10748</v>
          </cell>
          <cell r="F133">
            <v>11267</v>
          </cell>
          <cell r="G133">
            <v>10798</v>
          </cell>
          <cell r="H133" t="str">
            <v>-</v>
          </cell>
        </row>
        <row r="134">
          <cell r="B134" t="str">
            <v>Other Non-Current Liabilities</v>
          </cell>
          <cell r="C134">
            <v>46108</v>
          </cell>
          <cell r="D134">
            <v>43050</v>
          </cell>
          <cell r="E134">
            <v>38394</v>
          </cell>
          <cell r="F134">
            <v>38581</v>
          </cell>
          <cell r="G134">
            <v>35090</v>
          </cell>
          <cell r="H134">
            <v>49006</v>
          </cell>
        </row>
        <row r="137">
          <cell r="B137" t="str">
            <v>Common Stock</v>
          </cell>
          <cell r="C137">
            <v>50779</v>
          </cell>
          <cell r="D137">
            <v>57365</v>
          </cell>
          <cell r="E137">
            <v>64849</v>
          </cell>
          <cell r="F137">
            <v>73812</v>
          </cell>
          <cell r="G137">
            <v>83276</v>
          </cell>
          <cell r="H137">
            <v>84768</v>
          </cell>
        </row>
        <row r="138">
          <cell r="B138" t="str">
            <v>Additional Paid In Capital</v>
          </cell>
          <cell r="C138" t="str">
            <v>-</v>
          </cell>
          <cell r="D138" t="str">
            <v>-</v>
          </cell>
          <cell r="E138" t="str">
            <v>-</v>
          </cell>
          <cell r="F138" t="str">
            <v>-</v>
          </cell>
          <cell r="G138" t="str">
            <v>-</v>
          </cell>
          <cell r="H138" t="str">
            <v>-</v>
          </cell>
        </row>
        <row r="139">
          <cell r="B139" t="str">
            <v>Retained Earnings</v>
          </cell>
          <cell r="C139">
            <v>14966</v>
          </cell>
          <cell r="D139">
            <v>5562</v>
          </cell>
          <cell r="E139">
            <v>-3068</v>
          </cell>
          <cell r="F139">
            <v>-214</v>
          </cell>
          <cell r="G139">
            <v>-19154</v>
          </cell>
          <cell r="H139">
            <v>-11221</v>
          </cell>
        </row>
        <row r="140">
          <cell r="B140" t="str">
            <v>Treasury Stock</v>
          </cell>
          <cell r="C140" t="str">
            <v>-</v>
          </cell>
          <cell r="D140" t="str">
            <v>-</v>
          </cell>
          <cell r="E140" t="str">
            <v>-</v>
          </cell>
          <cell r="F140" t="str">
            <v>-</v>
          </cell>
          <cell r="G140" t="str">
            <v>-</v>
          </cell>
          <cell r="H140" t="str">
            <v>-</v>
          </cell>
        </row>
        <row r="141">
          <cell r="B141" t="str">
            <v>Comprehensive Inc. and Other</v>
          </cell>
          <cell r="C141">
            <v>-406</v>
          </cell>
          <cell r="D141">
            <v>163</v>
          </cell>
          <cell r="E141">
            <v>-11109</v>
          </cell>
          <cell r="F141">
            <v>-11452</v>
          </cell>
          <cell r="G141">
            <v>-7172</v>
          </cell>
          <cell r="H141">
            <v>-6789</v>
          </cell>
        </row>
        <row r="172">
          <cell r="B172" t="str">
            <v>Net Income</v>
          </cell>
          <cell r="C172">
            <v>57411</v>
          </cell>
          <cell r="D172">
            <v>94680</v>
          </cell>
          <cell r="E172">
            <v>99803</v>
          </cell>
          <cell r="F172">
            <v>96995</v>
          </cell>
          <cell r="G172">
            <v>93736</v>
          </cell>
          <cell r="H172">
            <v>96150</v>
          </cell>
        </row>
        <row r="173">
          <cell r="B173" t="str">
            <v>Depreciation &amp; Amort.</v>
          </cell>
          <cell r="C173">
            <v>11056</v>
          </cell>
          <cell r="D173">
            <v>11284</v>
          </cell>
          <cell r="E173">
            <v>11104</v>
          </cell>
          <cell r="F173">
            <v>11519</v>
          </cell>
          <cell r="G173">
            <v>11445</v>
          </cell>
          <cell r="H173">
            <v>11677</v>
          </cell>
        </row>
        <row r="176">
          <cell r="B176" t="str">
            <v>Stock-Based Compensation</v>
          </cell>
          <cell r="C176">
            <v>6829</v>
          </cell>
          <cell r="D176">
            <v>7906</v>
          </cell>
          <cell r="E176">
            <v>9038</v>
          </cell>
          <cell r="F176">
            <v>10833</v>
          </cell>
          <cell r="G176">
            <v>11688</v>
          </cell>
          <cell r="H176">
            <v>11977</v>
          </cell>
        </row>
        <row r="177">
          <cell r="B177" t="str">
            <v>Other Operating Activities</v>
          </cell>
          <cell r="C177">
            <v>-312</v>
          </cell>
          <cell r="D177">
            <v>-4921</v>
          </cell>
          <cell r="E177">
            <v>1006</v>
          </cell>
          <cell r="F177">
            <v>-2227</v>
          </cell>
          <cell r="G177">
            <v>-2266</v>
          </cell>
          <cell r="H177">
            <v>-3286</v>
          </cell>
        </row>
        <row r="178">
          <cell r="B178" t="str">
            <v>Change in Acc. Receivable</v>
          </cell>
          <cell r="C178">
            <v>6917</v>
          </cell>
          <cell r="D178">
            <v>-10125</v>
          </cell>
          <cell r="E178">
            <v>-1823</v>
          </cell>
          <cell r="F178">
            <v>-1688</v>
          </cell>
          <cell r="G178">
            <v>-3788</v>
          </cell>
          <cell r="H178">
            <v>-6746</v>
          </cell>
        </row>
        <row r="179">
          <cell r="B179" t="str">
            <v>Change In Inventories</v>
          </cell>
          <cell r="C179">
            <v>-127</v>
          </cell>
          <cell r="D179">
            <v>-2642</v>
          </cell>
          <cell r="E179">
            <v>1484</v>
          </cell>
          <cell r="F179">
            <v>-1618</v>
          </cell>
          <cell r="G179">
            <v>-1046</v>
          </cell>
          <cell r="H179">
            <v>-694</v>
          </cell>
        </row>
        <row r="180">
          <cell r="B180" t="str">
            <v>Change in Acc. Payable</v>
          </cell>
          <cell r="C180">
            <v>-4062</v>
          </cell>
          <cell r="D180">
            <v>12326</v>
          </cell>
          <cell r="E180">
            <v>9448</v>
          </cell>
          <cell r="F180">
            <v>-1889</v>
          </cell>
          <cell r="G180">
            <v>6020</v>
          </cell>
          <cell r="H180">
            <v>3891</v>
          </cell>
        </row>
        <row r="181">
          <cell r="B181" t="str">
            <v>Change in Unearned Rev.</v>
          </cell>
          <cell r="C181">
            <v>2081</v>
          </cell>
          <cell r="D181" t="str">
            <v>-</v>
          </cell>
          <cell r="E181" t="str">
            <v>-</v>
          </cell>
          <cell r="F181" t="str">
            <v>-</v>
          </cell>
          <cell r="G181" t="str">
            <v>-</v>
          </cell>
          <cell r="H181" t="str">
            <v>-</v>
          </cell>
        </row>
        <row r="182">
          <cell r="B182" t="str">
            <v>Change in Other Net Operating Assets</v>
          </cell>
          <cell r="C182">
            <v>881</v>
          </cell>
          <cell r="D182">
            <v>-4470</v>
          </cell>
          <cell r="E182">
            <v>-7909</v>
          </cell>
          <cell r="F182">
            <v>-1382</v>
          </cell>
          <cell r="G182">
            <v>2465</v>
          </cell>
          <cell r="H182">
            <v>-4675</v>
          </cell>
        </row>
        <row r="183">
          <cell r="B183" t="str">
            <v xml:space="preserve">  Cash from Ops.</v>
          </cell>
          <cell r="C183">
            <v>80674</v>
          </cell>
          <cell r="D183">
            <v>104038</v>
          </cell>
          <cell r="E183">
            <v>122151</v>
          </cell>
          <cell r="F183">
            <v>110543</v>
          </cell>
          <cell r="G183">
            <v>118254</v>
          </cell>
          <cell r="H183">
            <v>108294</v>
          </cell>
        </row>
        <row r="185">
          <cell r="B185" t="str">
            <v>Capital Expenditure</v>
          </cell>
          <cell r="C185">
            <v>-7309</v>
          </cell>
          <cell r="D185">
            <v>-11085</v>
          </cell>
          <cell r="E185">
            <v>-10708</v>
          </cell>
          <cell r="F185">
            <v>-10959</v>
          </cell>
          <cell r="G185">
            <v>-9447</v>
          </cell>
          <cell r="H185">
            <v>-9995</v>
          </cell>
        </row>
        <row r="186">
          <cell r="B186" t="str">
            <v>Cash Acquisitions</v>
          </cell>
          <cell r="C186">
            <v>-1524</v>
          </cell>
          <cell r="D186" t="str">
            <v>-</v>
          </cell>
          <cell r="E186" t="str">
            <v>-</v>
          </cell>
          <cell r="F186" t="str">
            <v>-</v>
          </cell>
          <cell r="G186" t="str">
            <v>-</v>
          </cell>
          <cell r="H186" t="str">
            <v>-</v>
          </cell>
        </row>
        <row r="187">
          <cell r="B187" t="str">
            <v>Divestitures</v>
          </cell>
          <cell r="C187" t="str">
            <v>-</v>
          </cell>
          <cell r="D187" t="str">
            <v>-</v>
          </cell>
          <cell r="E187" t="str">
            <v>-</v>
          </cell>
          <cell r="F187" t="str">
            <v>-</v>
          </cell>
          <cell r="G187" t="str">
            <v>-</v>
          </cell>
          <cell r="H187" t="str">
            <v>-</v>
          </cell>
        </row>
        <row r="188">
          <cell r="B188" t="str">
            <v>Invest. in Marketable &amp; Equity Securt.</v>
          </cell>
          <cell r="C188">
            <v>5453</v>
          </cell>
          <cell r="D188">
            <v>-3075</v>
          </cell>
          <cell r="E188">
            <v>-9560</v>
          </cell>
          <cell r="F188">
            <v>16001</v>
          </cell>
          <cell r="G188">
            <v>13690</v>
          </cell>
          <cell r="H188">
            <v>22422</v>
          </cell>
        </row>
        <row r="189">
          <cell r="B189" t="str">
            <v>Net (Inc.) Dec. in Loans Originated/Sold</v>
          </cell>
          <cell r="C189" t="str">
            <v>-</v>
          </cell>
          <cell r="D189" t="str">
            <v>-</v>
          </cell>
          <cell r="E189" t="str">
            <v>-</v>
          </cell>
          <cell r="F189" t="str">
            <v>-</v>
          </cell>
          <cell r="G189" t="str">
            <v>-</v>
          </cell>
          <cell r="H189" t="str">
            <v>-</v>
          </cell>
        </row>
        <row r="190">
          <cell r="B190" t="str">
            <v>Other Investing Activities</v>
          </cell>
          <cell r="C190">
            <v>-909</v>
          </cell>
          <cell r="D190">
            <v>-385</v>
          </cell>
          <cell r="E190">
            <v>-2086</v>
          </cell>
          <cell r="F190">
            <v>-1337</v>
          </cell>
          <cell r="G190">
            <v>-1308</v>
          </cell>
          <cell r="H190">
            <v>-1627</v>
          </cell>
        </row>
        <row r="191">
          <cell r="B191" t="str">
            <v xml:space="preserve">  Cash from Investing</v>
          </cell>
          <cell r="C191">
            <v>-4289</v>
          </cell>
          <cell r="D191">
            <v>-14545</v>
          </cell>
          <cell r="E191">
            <v>-22354</v>
          </cell>
          <cell r="F191">
            <v>3705</v>
          </cell>
          <cell r="G191">
            <v>2935</v>
          </cell>
          <cell r="H191">
            <v>10800</v>
          </cell>
        </row>
        <row r="193">
          <cell r="B193" t="str">
            <v>Short Term Debt Issued</v>
          </cell>
          <cell r="C193" t="str">
            <v>-</v>
          </cell>
          <cell r="D193">
            <v>1022</v>
          </cell>
          <cell r="E193">
            <v>3955</v>
          </cell>
          <cell r="F193" t="str">
            <v>-</v>
          </cell>
          <cell r="G193">
            <v>3960</v>
          </cell>
          <cell r="H193" t="str">
            <v>-</v>
          </cell>
        </row>
        <row r="194">
          <cell r="B194" t="str">
            <v>Long-Term Debt Issued</v>
          </cell>
          <cell r="C194">
            <v>16091</v>
          </cell>
          <cell r="D194">
            <v>20393</v>
          </cell>
          <cell r="E194">
            <v>5465</v>
          </cell>
          <cell r="F194">
            <v>5228</v>
          </cell>
          <cell r="G194" t="str">
            <v>-</v>
          </cell>
          <cell r="H194" t="str">
            <v>-</v>
          </cell>
        </row>
        <row r="195">
          <cell r="B195" t="str">
            <v>Total Debt Issued</v>
          </cell>
          <cell r="C195">
            <v>16091</v>
          </cell>
          <cell r="D195">
            <v>21415</v>
          </cell>
          <cell r="E195">
            <v>9420</v>
          </cell>
          <cell r="F195">
            <v>5228</v>
          </cell>
          <cell r="G195">
            <v>3960</v>
          </cell>
          <cell r="H195">
            <v>3960</v>
          </cell>
        </row>
        <row r="196">
          <cell r="B196" t="str">
            <v>Short Term Debt Repaid</v>
          </cell>
          <cell r="C196">
            <v>-963</v>
          </cell>
          <cell r="D196" t="str">
            <v>-</v>
          </cell>
          <cell r="E196" t="str">
            <v>-</v>
          </cell>
          <cell r="F196">
            <v>-3978</v>
          </cell>
          <cell r="G196" t="str">
            <v>-</v>
          </cell>
          <cell r="H196" t="str">
            <v>-</v>
          </cell>
        </row>
        <row r="197">
          <cell r="B197" t="str">
            <v>Long-Term Debt Repaid</v>
          </cell>
          <cell r="C197">
            <v>-12629</v>
          </cell>
          <cell r="D197">
            <v>-8750</v>
          </cell>
          <cell r="E197">
            <v>-9543</v>
          </cell>
          <cell r="F197">
            <v>-11151</v>
          </cell>
          <cell r="G197">
            <v>-9958</v>
          </cell>
          <cell r="H197" t="str">
            <v>-</v>
          </cell>
        </row>
        <row r="198">
          <cell r="B198" t="str">
            <v>Total Debt Repaid</v>
          </cell>
          <cell r="C198">
            <v>-13592</v>
          </cell>
          <cell r="D198">
            <v>-8750</v>
          </cell>
          <cell r="E198">
            <v>-9543</v>
          </cell>
          <cell r="F198">
            <v>-15129</v>
          </cell>
          <cell r="G198">
            <v>-9958</v>
          </cell>
          <cell r="H198">
            <v>-14927</v>
          </cell>
        </row>
        <row r="200">
          <cell r="B200" t="str">
            <v>Repurchase of Common Stock</v>
          </cell>
          <cell r="C200">
            <v>-75992</v>
          </cell>
          <cell r="D200">
            <v>-92527</v>
          </cell>
          <cell r="E200">
            <v>-95625</v>
          </cell>
          <cell r="F200">
            <v>-82981</v>
          </cell>
          <cell r="G200">
            <v>-100390</v>
          </cell>
          <cell r="H200">
            <v>-104187</v>
          </cell>
        </row>
        <row r="203">
          <cell r="B203" t="str">
            <v>Total Dividends Paid</v>
          </cell>
          <cell r="C203">
            <v>-14081</v>
          </cell>
          <cell r="D203">
            <v>-14467</v>
          </cell>
          <cell r="E203">
            <v>-14841</v>
          </cell>
          <cell r="F203">
            <v>-15025</v>
          </cell>
          <cell r="G203">
            <v>-15234</v>
          </cell>
          <cell r="H203">
            <v>-15265</v>
          </cell>
        </row>
        <row r="205">
          <cell r="B205" t="str">
            <v>Special Dividend Paid</v>
          </cell>
          <cell r="C205" t="str">
            <v>-</v>
          </cell>
          <cell r="D205" t="str">
            <v>-</v>
          </cell>
          <cell r="E205" t="str">
            <v>-</v>
          </cell>
          <cell r="F205" t="str">
            <v>-</v>
          </cell>
          <cell r="G205" t="str">
            <v>-</v>
          </cell>
          <cell r="H205" t="str">
            <v>-</v>
          </cell>
        </row>
        <row r="206">
          <cell r="B206" t="str">
            <v>Other Financing Activities</v>
          </cell>
          <cell r="C206">
            <v>754</v>
          </cell>
          <cell r="D206">
            <v>976</v>
          </cell>
          <cell r="E206">
            <v>-160</v>
          </cell>
          <cell r="F206">
            <v>-581</v>
          </cell>
          <cell r="G206">
            <v>-361</v>
          </cell>
          <cell r="H206">
            <v>-350</v>
          </cell>
        </row>
        <row r="207">
          <cell r="B207" t="str">
            <v xml:space="preserve">  Cash from Financing</v>
          </cell>
          <cell r="C207">
            <v>-86820</v>
          </cell>
          <cell r="D207">
            <v>-93353</v>
          </cell>
          <cell r="E207">
            <v>-110749</v>
          </cell>
          <cell r="F207">
            <v>-108488</v>
          </cell>
          <cell r="G207">
            <v>-121983</v>
          </cell>
          <cell r="H207">
            <v>-130769</v>
          </cell>
        </row>
        <row r="209">
          <cell r="C209">
            <v>-10435</v>
          </cell>
          <cell r="D209">
            <v>-3860</v>
          </cell>
          <cell r="E209">
            <v>-10952</v>
          </cell>
          <cell r="F209">
            <v>5760</v>
          </cell>
          <cell r="G209">
            <v>-794</v>
          </cell>
          <cell r="H209">
            <v>-11675</v>
          </cell>
        </row>
        <row r="281">
          <cell r="C281">
            <v>239.07</v>
          </cell>
        </row>
        <row r="282">
          <cell r="C282">
            <v>15022.073</v>
          </cell>
        </row>
        <row r="286">
          <cell r="C286">
            <v>96799</v>
          </cell>
        </row>
      </sheetData>
      <sheetData sheetId="8">
        <row r="6">
          <cell r="C6">
            <v>44075</v>
          </cell>
          <cell r="D6">
            <v>44440</v>
          </cell>
          <cell r="E6">
            <v>44805</v>
          </cell>
          <cell r="F6">
            <v>45170</v>
          </cell>
          <cell r="G6">
            <v>45536</v>
          </cell>
        </row>
        <row r="7">
          <cell r="B7" t="str">
            <v>Equity Capital</v>
          </cell>
          <cell r="C7">
            <v>50779</v>
          </cell>
          <cell r="D7">
            <v>57365</v>
          </cell>
          <cell r="E7">
            <v>64849</v>
          </cell>
          <cell r="F7">
            <v>73812</v>
          </cell>
          <cell r="G7">
            <v>83276</v>
          </cell>
          <cell r="H7">
            <v>84768</v>
          </cell>
        </row>
        <row r="8">
          <cell r="B8" t="str">
            <v>Reserves</v>
          </cell>
          <cell r="C8">
            <v>14560</v>
          </cell>
          <cell r="D8">
            <v>5725</v>
          </cell>
          <cell r="E8">
            <v>-14177</v>
          </cell>
          <cell r="F8">
            <v>-11666</v>
          </cell>
          <cell r="G8">
            <v>-26326</v>
          </cell>
          <cell r="H8">
            <v>-18010</v>
          </cell>
        </row>
        <row r="9">
          <cell r="B9" t="str">
            <v>Current Liabilities</v>
          </cell>
        </row>
        <row r="10">
          <cell r="B10" t="str">
            <v>Accounts Payable</v>
          </cell>
          <cell r="C10">
            <v>42296</v>
          </cell>
          <cell r="D10">
            <v>54763</v>
          </cell>
          <cell r="E10">
            <v>64115</v>
          </cell>
          <cell r="F10">
            <v>62611</v>
          </cell>
          <cell r="G10">
            <v>68960</v>
          </cell>
        </row>
        <row r="11">
          <cell r="B11" t="str">
            <v>Short-term Borrowings</v>
          </cell>
          <cell r="C11">
            <v>4996</v>
          </cell>
          <cell r="D11">
            <v>6000</v>
          </cell>
          <cell r="E11">
            <v>9982</v>
          </cell>
          <cell r="F11">
            <v>5985</v>
          </cell>
          <cell r="G11">
            <v>9967</v>
          </cell>
        </row>
        <row r="12">
          <cell r="B12" t="str">
            <v>Curr. Port. of LT Debt</v>
          </cell>
          <cell r="C12">
            <v>8773</v>
          </cell>
          <cell r="D12">
            <v>9613</v>
          </cell>
          <cell r="E12">
            <v>11128</v>
          </cell>
          <cell r="F12">
            <v>9822</v>
          </cell>
          <cell r="G12">
            <v>10912</v>
          </cell>
        </row>
        <row r="13">
          <cell r="B13" t="str">
            <v>Curr. Port. of Leases</v>
          </cell>
          <cell r="C13">
            <v>1460</v>
          </cell>
          <cell r="D13">
            <v>1528</v>
          </cell>
          <cell r="E13">
            <v>1663</v>
          </cell>
          <cell r="F13">
            <v>1575</v>
          </cell>
          <cell r="G13">
            <v>1632</v>
          </cell>
        </row>
        <row r="14">
          <cell r="B14" t="str">
            <v>Curr. Income Taxes Payable</v>
          </cell>
          <cell r="C14" t="str">
            <v>-</v>
          </cell>
          <cell r="D14" t="str">
            <v>-</v>
          </cell>
          <cell r="E14" t="str">
            <v>-</v>
          </cell>
          <cell r="F14">
            <v>8819</v>
          </cell>
          <cell r="G14">
            <v>26601</v>
          </cell>
        </row>
        <row r="15">
          <cell r="B15" t="str">
            <v>Unearned Revenue, Current</v>
          </cell>
          <cell r="C15">
            <v>6643</v>
          </cell>
          <cell r="D15">
            <v>7612</v>
          </cell>
          <cell r="E15">
            <v>7912</v>
          </cell>
          <cell r="F15">
            <v>8061</v>
          </cell>
          <cell r="G15">
            <v>8249</v>
          </cell>
        </row>
        <row r="16">
          <cell r="B16" t="str">
            <v>Other Current Liabilities</v>
          </cell>
          <cell r="C16">
            <v>41224</v>
          </cell>
          <cell r="D16">
            <v>45965</v>
          </cell>
          <cell r="E16">
            <v>59182</v>
          </cell>
          <cell r="F16">
            <v>48435</v>
          </cell>
          <cell r="G16">
            <v>50071</v>
          </cell>
        </row>
        <row r="17">
          <cell r="B17" t="str">
            <v>Non Current Liabilities</v>
          </cell>
        </row>
        <row r="21">
          <cell r="B21" t="str">
            <v>Total Liabilities</v>
          </cell>
        </row>
        <row r="24">
          <cell r="B24" t="str">
            <v>Gross Property, Plant &amp; Equipment</v>
          </cell>
          <cell r="C24">
            <v>112096</v>
          </cell>
          <cell r="D24">
            <v>119810</v>
          </cell>
          <cell r="E24">
            <v>124874</v>
          </cell>
          <cell r="F24">
            <v>114599</v>
          </cell>
          <cell r="G24">
            <v>119128</v>
          </cell>
        </row>
        <row r="25">
          <cell r="B25" t="str">
            <v>Gross Block</v>
          </cell>
          <cell r="C25">
            <v>112096</v>
          </cell>
          <cell r="D25">
            <v>119810</v>
          </cell>
          <cell r="E25">
            <v>124874</v>
          </cell>
          <cell r="F25">
            <v>114599</v>
          </cell>
          <cell r="G25">
            <v>119128</v>
          </cell>
        </row>
        <row r="26">
          <cell r="B26" t="str">
            <v>Accumulated Depreciation</v>
          </cell>
          <cell r="C26">
            <v>-66760</v>
          </cell>
          <cell r="D26">
            <v>-70283</v>
          </cell>
          <cell r="E26">
            <v>-72340</v>
          </cell>
          <cell r="F26">
            <v>-70884</v>
          </cell>
          <cell r="G26">
            <v>-73448</v>
          </cell>
        </row>
        <row r="32">
          <cell r="B32" t="str">
            <v>Cash And Equivalents</v>
          </cell>
          <cell r="C32">
            <v>38016</v>
          </cell>
          <cell r="D32">
            <v>34940</v>
          </cell>
          <cell r="E32">
            <v>23646</v>
          </cell>
          <cell r="F32">
            <v>29965</v>
          </cell>
          <cell r="G32">
            <v>29943</v>
          </cell>
        </row>
        <row r="33">
          <cell r="B33" t="str">
            <v>Inventory</v>
          </cell>
          <cell r="C33">
            <v>4061</v>
          </cell>
          <cell r="D33">
            <v>6580</v>
          </cell>
          <cell r="E33">
            <v>4946</v>
          </cell>
          <cell r="F33">
            <v>6331</v>
          </cell>
          <cell r="G33">
            <v>7286</v>
          </cell>
        </row>
        <row r="34">
          <cell r="B34" t="str">
            <v>Other Current Assets</v>
          </cell>
          <cell r="C34">
            <v>11264</v>
          </cell>
          <cell r="D34">
            <v>14111</v>
          </cell>
          <cell r="E34">
            <v>21223</v>
          </cell>
          <cell r="F34">
            <v>14695</v>
          </cell>
          <cell r="G34">
            <v>14287</v>
          </cell>
        </row>
        <row r="35">
          <cell r="B35" t="str">
            <v>Accounts Receivable</v>
          </cell>
          <cell r="C35">
            <v>16120</v>
          </cell>
          <cell r="D35">
            <v>26278</v>
          </cell>
          <cell r="E35">
            <v>28184</v>
          </cell>
          <cell r="F35">
            <v>29508</v>
          </cell>
          <cell r="G35">
            <v>33410</v>
          </cell>
        </row>
        <row r="36">
          <cell r="B36" t="str">
            <v>Other Receivables</v>
          </cell>
          <cell r="C36">
            <v>21325</v>
          </cell>
          <cell r="D36">
            <v>25228</v>
          </cell>
          <cell r="E36">
            <v>32748</v>
          </cell>
          <cell r="F36">
            <v>31477</v>
          </cell>
          <cell r="G36">
            <v>32833</v>
          </cell>
        </row>
        <row r="37">
          <cell r="B37" t="str">
            <v>Deferred Tax Assets, LT</v>
          </cell>
          <cell r="C37" t="str">
            <v>-</v>
          </cell>
          <cell r="D37" t="str">
            <v>-</v>
          </cell>
          <cell r="E37" t="str">
            <v>-</v>
          </cell>
          <cell r="F37">
            <v>17852</v>
          </cell>
          <cell r="G37">
            <v>19499</v>
          </cell>
        </row>
        <row r="38">
          <cell r="B38" t="str">
            <v>Other Long-Term Assets</v>
          </cell>
          <cell r="C38">
            <v>33952</v>
          </cell>
          <cell r="D38">
            <v>38762</v>
          </cell>
          <cell r="E38">
            <v>44011</v>
          </cell>
          <cell r="F38">
            <v>46906</v>
          </cell>
          <cell r="G38">
            <v>55335</v>
          </cell>
        </row>
        <row r="56">
          <cell r="C56">
            <v>-7309</v>
          </cell>
          <cell r="D56">
            <v>-11085</v>
          </cell>
          <cell r="E56">
            <v>-10708</v>
          </cell>
          <cell r="F56">
            <v>-10959</v>
          </cell>
          <cell r="G56">
            <v>-9447</v>
          </cell>
        </row>
        <row r="57">
          <cell r="C57">
            <v>-1524</v>
          </cell>
          <cell r="D57" t="str">
            <v>-</v>
          </cell>
          <cell r="E57" t="str">
            <v>-</v>
          </cell>
          <cell r="F57" t="str">
            <v>-</v>
          </cell>
          <cell r="G57" t="str">
            <v>-</v>
          </cell>
        </row>
      </sheetData>
      <sheetData sheetId="9">
        <row r="17">
          <cell r="B17" t="str">
            <v>Alphabet Inc. (NasdaqGS:GOOGL)</v>
          </cell>
          <cell r="E17">
            <v>2129742.7000000002</v>
          </cell>
          <cell r="F17">
            <v>-67520</v>
          </cell>
        </row>
        <row r="18">
          <cell r="B18" t="str">
            <v>NVIDIA Corporation (NasdaqGS:NVDA)</v>
          </cell>
          <cell r="E18">
            <v>2749636</v>
          </cell>
          <cell r="F18">
            <v>-32940</v>
          </cell>
        </row>
        <row r="19">
          <cell r="B19" t="str">
            <v>Dell Technologies Inc. (NYSE:DELL)</v>
          </cell>
          <cell r="E19">
            <v>63812.1</v>
          </cell>
          <cell r="F19">
            <v>20934</v>
          </cell>
        </row>
        <row r="20">
          <cell r="B20" t="str">
            <v>QUALCOMM Incorporated (NasdaqGS:QCOM)</v>
          </cell>
          <cell r="E20">
            <v>178211.20000000001</v>
          </cell>
          <cell r="F20">
            <v>272</v>
          </cell>
        </row>
        <row r="21">
          <cell r="B21" t="str">
            <v>HP Inc. (NYSE:HPQ)</v>
          </cell>
          <cell r="E21">
            <v>28790.2</v>
          </cell>
          <cell r="F21">
            <v>8009</v>
          </cell>
        </row>
        <row r="22">
          <cell r="B22" t="str">
            <v>NetApp, Inc. (NasdaqGS:NTAP)</v>
          </cell>
          <cell r="E22">
            <v>19073.900000000001</v>
          </cell>
          <cell r="F22">
            <v>-18</v>
          </cell>
        </row>
        <row r="23">
          <cell r="B23" t="str">
            <v>Western Digital Corporation (NasdaqGS:WDC)</v>
          </cell>
          <cell r="E23">
            <v>14504.3</v>
          </cell>
          <cell r="F23">
            <v>5418</v>
          </cell>
        </row>
        <row r="24">
          <cell r="B24" t="str">
            <v>Hewlett Packard Enterprise Company (NYSE:HPE)</v>
          </cell>
          <cell r="E24">
            <v>20767.7</v>
          </cell>
          <cell r="F24">
            <v>5268</v>
          </cell>
        </row>
        <row r="25">
          <cell r="B25" t="str">
            <v>Samsung Electronics Co., Ltd. (KOSE:A005930)</v>
          </cell>
          <cell r="E25">
            <v>245246.5</v>
          </cell>
          <cell r="F25">
            <v>-64467.8</v>
          </cell>
        </row>
        <row r="29">
          <cell r="E29">
            <v>3591327</v>
          </cell>
          <cell r="F29">
            <v>-44569</v>
          </cell>
        </row>
        <row r="44">
          <cell r="N44">
            <v>1.03</v>
          </cell>
        </row>
        <row r="45">
          <cell r="N45">
            <v>1.76</v>
          </cell>
        </row>
        <row r="46">
          <cell r="N46">
            <v>0.9</v>
          </cell>
        </row>
        <row r="47">
          <cell r="N47">
            <v>1.29</v>
          </cell>
        </row>
        <row r="48">
          <cell r="N48">
            <v>1.1100000000000001</v>
          </cell>
        </row>
        <row r="49">
          <cell r="N49">
            <v>1.23</v>
          </cell>
        </row>
        <row r="50">
          <cell r="N50">
            <v>1.46</v>
          </cell>
        </row>
        <row r="51">
          <cell r="N51">
            <v>1.23</v>
          </cell>
        </row>
        <row r="52">
          <cell r="N52">
            <v>0.74</v>
          </cell>
        </row>
      </sheetData>
      <sheetData sheetId="10">
        <row r="8">
          <cell r="F8">
            <v>8.169692307692307E-2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95F29-6985-7640-A1F1-37EB5A405892}">
  <sheetPr>
    <tabColor rgb="FFFFC000"/>
  </sheetPr>
  <dimension ref="A1"/>
  <sheetViews>
    <sheetView showGridLines="0" workbookViewId="0">
      <selection activeCell="E43" sqref="E43"/>
    </sheetView>
  </sheetViews>
  <sheetFormatPr baseColWidth="10" defaultRowHeight="15" x14ac:dyDescent="0.2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3DEEE-ECCA-2D4E-B075-48EE3A5F6D7D}">
  <dimension ref="A2:H123"/>
  <sheetViews>
    <sheetView showGridLines="0" workbookViewId="0">
      <pane ySplit="3" topLeftCell="A115" activePane="bottomLeft" state="frozen"/>
      <selection activeCell="H35" sqref="H35"/>
      <selection pane="bottomLeft" activeCell="K145" sqref="K145"/>
    </sheetView>
  </sheetViews>
  <sheetFormatPr baseColWidth="10" defaultRowHeight="15" outlineLevelRow="1" x14ac:dyDescent="0.2"/>
  <cols>
    <col min="1" max="1" width="2" customWidth="1"/>
    <col min="2" max="2" width="26" bestFit="1" customWidth="1"/>
    <col min="3" max="4" width="11" bestFit="1" customWidth="1"/>
    <col min="5" max="8" width="11.1640625" bestFit="1" customWidth="1"/>
  </cols>
  <sheetData>
    <row r="2" spans="1:8" x14ac:dyDescent="0.2">
      <c r="B2" s="370" t="str">
        <f>"Historical Financials - "&amp;'[2]Data Sheet'!B1</f>
        <v xml:space="preserve">Historical Financials - Apple Inc. </v>
      </c>
      <c r="C2" s="371"/>
      <c r="D2" s="371"/>
      <c r="E2" s="371"/>
      <c r="F2" s="371"/>
      <c r="G2" s="371"/>
      <c r="H2" s="371"/>
    </row>
    <row r="3" spans="1:8" x14ac:dyDescent="0.2">
      <c r="B3" s="1" t="s">
        <v>201</v>
      </c>
      <c r="C3" s="205">
        <f>'[2]Raw FS'!C6</f>
        <v>44075</v>
      </c>
      <c r="D3" s="205">
        <f>'[2]Raw FS'!D6</f>
        <v>44440</v>
      </c>
      <c r="E3" s="205">
        <f>'[2]Raw FS'!E6</f>
        <v>44805</v>
      </c>
      <c r="F3" s="205">
        <f>'[2]Raw FS'!F6</f>
        <v>45170</v>
      </c>
      <c r="G3" s="205">
        <f>'[2]Raw FS'!G6</f>
        <v>45536</v>
      </c>
      <c r="H3" s="206" t="s">
        <v>173</v>
      </c>
    </row>
    <row r="4" spans="1:8" x14ac:dyDescent="0.2">
      <c r="A4" t="s">
        <v>202</v>
      </c>
    </row>
    <row r="5" spans="1:8" x14ac:dyDescent="0.2">
      <c r="A5" t="s">
        <v>0</v>
      </c>
      <c r="B5" s="207" t="s">
        <v>203</v>
      </c>
      <c r="C5" s="208"/>
      <c r="D5" s="208"/>
      <c r="E5" s="208"/>
      <c r="F5" s="208"/>
      <c r="G5" s="208"/>
      <c r="H5" s="208"/>
    </row>
    <row r="6" spans="1:8" ht="16" outlineLevel="1" x14ac:dyDescent="0.2">
      <c r="B6" s="209" t="s">
        <v>204</v>
      </c>
      <c r="C6" s="210">
        <f>IFERROR(SUM('[2]Data Sheet'!C8),0)</f>
        <v>274515</v>
      </c>
      <c r="D6" s="210">
        <f>IFERROR(SUM('[2]Data Sheet'!D8),0)</f>
        <v>365817</v>
      </c>
      <c r="E6" s="210">
        <f>IFERROR(SUM('[2]Data Sheet'!E8),0)</f>
        <v>394328</v>
      </c>
      <c r="F6" s="210">
        <f>IFERROR(SUM('[2]Data Sheet'!F8),0)</f>
        <v>383285</v>
      </c>
      <c r="G6" s="210">
        <f>IFERROR(SUM('[2]Data Sheet'!G8),0)</f>
        <v>391035</v>
      </c>
      <c r="H6" s="210">
        <f>IFERROR(SUM('[2]Data Sheet'!H8),0)</f>
        <v>395760</v>
      </c>
    </row>
    <row r="7" spans="1:8" ht="16" outlineLevel="1" x14ac:dyDescent="0.2">
      <c r="B7" s="211" t="s">
        <v>205</v>
      </c>
      <c r="C7" s="212"/>
      <c r="D7" s="212">
        <f>IFERROR(D6/C6-1,0)</f>
        <v>0.33259384733074704</v>
      </c>
      <c r="E7" s="212">
        <f t="shared" ref="E7:H7" si="0">IFERROR(E6/D6-1,0)</f>
        <v>7.7937876041846099E-2</v>
      </c>
      <c r="F7" s="212">
        <f t="shared" si="0"/>
        <v>-2.800460530319937E-2</v>
      </c>
      <c r="G7" s="212">
        <f t="shared" si="0"/>
        <v>2.021994077514111E-2</v>
      </c>
      <c r="H7" s="212">
        <f t="shared" si="0"/>
        <v>1.2083317350109368E-2</v>
      </c>
    </row>
    <row r="8" spans="1:8" ht="16" outlineLevel="1" x14ac:dyDescent="0.2">
      <c r="B8" s="209"/>
      <c r="C8" s="209"/>
      <c r="D8" s="209"/>
      <c r="E8" s="209"/>
      <c r="F8" s="209"/>
      <c r="G8" s="209"/>
      <c r="H8" s="209"/>
    </row>
    <row r="9" spans="1:8" ht="16" outlineLevel="1" x14ac:dyDescent="0.2">
      <c r="B9" s="213" t="s">
        <v>5</v>
      </c>
      <c r="C9" s="214">
        <f>IFERROR('[2]Data Sheet'!C10,0)</f>
        <v>169559</v>
      </c>
      <c r="D9" s="214">
        <f>IFERROR('[2]Data Sheet'!D10,0)</f>
        <v>212981</v>
      </c>
      <c r="E9" s="214">
        <f>IFERROR('[2]Data Sheet'!E10,0)</f>
        <v>223546</v>
      </c>
      <c r="F9" s="214">
        <f>IFERROR('[2]Data Sheet'!F10,0)</f>
        <v>214137</v>
      </c>
      <c r="G9" s="214">
        <f>IFERROR('[2]Data Sheet'!G10,0)</f>
        <v>210352</v>
      </c>
      <c r="H9" s="214">
        <f>IFERROR('[2]Data Sheet'!H10,0)</f>
        <v>211657</v>
      </c>
    </row>
    <row r="10" spans="1:8" ht="16" outlineLevel="1" x14ac:dyDescent="0.2">
      <c r="B10" s="215" t="s">
        <v>206</v>
      </c>
      <c r="C10" s="216">
        <f>C9/C6</f>
        <v>0.61766752272189129</v>
      </c>
      <c r="D10" s="216">
        <f t="shared" ref="D10:H10" si="1">D9/D6</f>
        <v>0.58220640374832222</v>
      </c>
      <c r="E10" s="216">
        <f t="shared" si="1"/>
        <v>0.56690369438639909</v>
      </c>
      <c r="F10" s="216">
        <f t="shared" si="1"/>
        <v>0.55868870422792438</v>
      </c>
      <c r="G10" s="216">
        <f t="shared" si="1"/>
        <v>0.53793650184766073</v>
      </c>
      <c r="H10" s="216">
        <f t="shared" si="1"/>
        <v>0.53481150192035576</v>
      </c>
    </row>
    <row r="11" spans="1:8" ht="16" outlineLevel="1" x14ac:dyDescent="0.2">
      <c r="B11" s="209"/>
      <c r="C11" s="209"/>
      <c r="D11" s="209"/>
      <c r="E11" s="209"/>
      <c r="F11" s="209"/>
      <c r="G11" s="209"/>
      <c r="H11" s="209"/>
    </row>
    <row r="12" spans="1:8" ht="16" outlineLevel="1" x14ac:dyDescent="0.2">
      <c r="B12" s="217" t="s">
        <v>7</v>
      </c>
      <c r="C12" s="218">
        <f>IFERROR('[2]Data Sheet'!C11,0)</f>
        <v>104956</v>
      </c>
      <c r="D12" s="218">
        <f>IFERROR('[2]Data Sheet'!D11,0)</f>
        <v>152836</v>
      </c>
      <c r="E12" s="218">
        <f>IFERROR('[2]Data Sheet'!E11,0)</f>
        <v>170782</v>
      </c>
      <c r="F12" s="218">
        <f>IFERROR('[2]Data Sheet'!F11,0)</f>
        <v>169148</v>
      </c>
      <c r="G12" s="218">
        <f>IFERROR('[2]Data Sheet'!G11,0)</f>
        <v>180683</v>
      </c>
      <c r="H12" s="218">
        <f>IFERROR('[2]Data Sheet'!H11,0)</f>
        <v>184103</v>
      </c>
    </row>
    <row r="13" spans="1:8" ht="16" outlineLevel="1" x14ac:dyDescent="0.2">
      <c r="B13" s="219" t="s">
        <v>99</v>
      </c>
      <c r="C13" s="220">
        <f>IFERROR(C12/C6,0)</f>
        <v>0.38233247727810865</v>
      </c>
      <c r="D13" s="220">
        <f t="shared" ref="D13:H13" si="2">IFERROR(D12/D6,0)</f>
        <v>0.41779359625167778</v>
      </c>
      <c r="E13" s="220">
        <f t="shared" si="2"/>
        <v>0.43309630561360085</v>
      </c>
      <c r="F13" s="220">
        <f t="shared" si="2"/>
        <v>0.44131129577207562</v>
      </c>
      <c r="G13" s="220">
        <f t="shared" si="2"/>
        <v>0.46206349815233932</v>
      </c>
      <c r="H13" s="220">
        <f t="shared" si="2"/>
        <v>0.46518849807964424</v>
      </c>
    </row>
    <row r="14" spans="1:8" ht="16" outlineLevel="1" x14ac:dyDescent="0.2">
      <c r="B14" s="209"/>
      <c r="C14" s="209"/>
      <c r="D14" s="209"/>
      <c r="E14" s="209"/>
      <c r="F14" s="209"/>
      <c r="G14" s="209"/>
      <c r="H14" s="209"/>
    </row>
    <row r="15" spans="1:8" ht="16" outlineLevel="1" x14ac:dyDescent="0.2">
      <c r="B15" s="221" t="s">
        <v>207</v>
      </c>
      <c r="C15" s="214">
        <f>IFERROR('[2]Data Sheet'!C13,0)</f>
        <v>19916</v>
      </c>
      <c r="D15" s="214">
        <f>IFERROR('[2]Data Sheet'!D13,0)</f>
        <v>21973</v>
      </c>
      <c r="E15" s="214">
        <f>IFERROR('[2]Data Sheet'!E13,0)</f>
        <v>25094</v>
      </c>
      <c r="F15" s="214">
        <f>IFERROR('[2]Data Sheet'!F13,0)</f>
        <v>24932</v>
      </c>
      <c r="G15" s="214">
        <f>IFERROR('[2]Data Sheet'!G13,0)</f>
        <v>26097</v>
      </c>
      <c r="H15" s="214">
        <f>IFERROR('[2]Data Sheet'!H13,0)</f>
        <v>26486</v>
      </c>
    </row>
    <row r="16" spans="1:8" ht="16" outlineLevel="1" x14ac:dyDescent="0.2">
      <c r="B16" s="215" t="s">
        <v>208</v>
      </c>
      <c r="C16" s="216">
        <f>IFERROR(C15/C6,0)</f>
        <v>7.2549769593646979E-2</v>
      </c>
      <c r="D16" s="216">
        <f t="shared" ref="D16:H16" si="3">IFERROR(D15/D6,0)</f>
        <v>6.006555190163388E-2</v>
      </c>
      <c r="E16" s="216">
        <f t="shared" si="3"/>
        <v>6.3637378020328261E-2</v>
      </c>
      <c r="F16" s="216">
        <f t="shared" si="3"/>
        <v>6.5048201729783317E-2</v>
      </c>
      <c r="G16" s="216">
        <f t="shared" si="3"/>
        <v>6.6738271510222866E-2</v>
      </c>
      <c r="H16" s="216">
        <f t="shared" si="3"/>
        <v>6.6924398625429551E-2</v>
      </c>
    </row>
    <row r="17" spans="2:8" ht="16" outlineLevel="1" x14ac:dyDescent="0.2">
      <c r="B17" s="209"/>
      <c r="C17" s="209"/>
      <c r="D17" s="209"/>
      <c r="E17" s="209"/>
      <c r="F17" s="209"/>
      <c r="G17" s="209"/>
      <c r="H17" s="209"/>
    </row>
    <row r="18" spans="2:8" ht="16" outlineLevel="1" x14ac:dyDescent="0.2">
      <c r="B18" s="213" t="str">
        <f>'[2]Data Sheet'!B14</f>
        <v>R &amp; D Exp.</v>
      </c>
      <c r="C18" s="214">
        <f>IFERROR('[2]Data Sheet'!C14,0)</f>
        <v>18752</v>
      </c>
      <c r="D18" s="214">
        <f>IFERROR('[2]Data Sheet'!D14,0)</f>
        <v>21914</v>
      </c>
      <c r="E18" s="214">
        <f>IFERROR('[2]Data Sheet'!E14,0)</f>
        <v>26251</v>
      </c>
      <c r="F18" s="214">
        <f>IFERROR('[2]Data Sheet'!F14,0)</f>
        <v>29915</v>
      </c>
      <c r="G18" s="214">
        <f>IFERROR('[2]Data Sheet'!G14,0)</f>
        <v>31370</v>
      </c>
      <c r="H18" s="214">
        <f>IFERROR('[2]Data Sheet'!H14,0)</f>
        <v>31942</v>
      </c>
    </row>
    <row r="19" spans="2:8" ht="16" outlineLevel="1" x14ac:dyDescent="0.2">
      <c r="B19" s="215" t="s">
        <v>209</v>
      </c>
      <c r="C19" s="216">
        <f>IFERROR(C18/C6,0)</f>
        <v>6.8309564140393061E-2</v>
      </c>
      <c r="D19" s="216">
        <f t="shared" ref="D19:H19" si="4">IFERROR(D18/D6,0)</f>
        <v>5.9904269074427925E-2</v>
      </c>
      <c r="E19" s="216">
        <f t="shared" si="4"/>
        <v>6.657148363798665E-2</v>
      </c>
      <c r="F19" s="216">
        <f t="shared" si="4"/>
        <v>7.8048971392045086E-2</v>
      </c>
      <c r="G19" s="216">
        <f t="shared" si="4"/>
        <v>8.0222997941360744E-2</v>
      </c>
      <c r="H19" s="216">
        <f t="shared" si="4"/>
        <v>8.0710531635334551E-2</v>
      </c>
    </row>
    <row r="20" spans="2:8" ht="16" outlineLevel="1" x14ac:dyDescent="0.2">
      <c r="B20" s="209"/>
      <c r="C20" s="209"/>
      <c r="D20" s="209"/>
      <c r="E20" s="209"/>
      <c r="F20" s="209"/>
      <c r="G20" s="209"/>
      <c r="H20" s="209"/>
    </row>
    <row r="21" spans="2:8" ht="16" outlineLevel="1" x14ac:dyDescent="0.2">
      <c r="B21" s="217" t="s">
        <v>11</v>
      </c>
      <c r="C21" s="218">
        <f>IFERROR('[2]Data Sheet'!C66,0)</f>
        <v>77344</v>
      </c>
      <c r="D21" s="218">
        <f>IFERROR('[2]Data Sheet'!D66,0)</f>
        <v>120233</v>
      </c>
      <c r="E21" s="218">
        <f>IFERROR('[2]Data Sheet'!E66,0)</f>
        <v>130541</v>
      </c>
      <c r="F21" s="218">
        <f>IFERROR('[2]Data Sheet'!F66,0)</f>
        <v>125820</v>
      </c>
      <c r="G21" s="218">
        <f>IFERROR('[2]Data Sheet'!G66,0)</f>
        <v>134661</v>
      </c>
      <c r="H21" s="218">
        <f>IFERROR('[2]Data Sheet'!H66,0)</f>
        <v>137352</v>
      </c>
    </row>
    <row r="22" spans="2:8" ht="16" outlineLevel="1" x14ac:dyDescent="0.2">
      <c r="B22" s="219" t="s">
        <v>210</v>
      </c>
      <c r="C22" s="220">
        <f>IFERROR(C21/C6,0)</f>
        <v>0.2817478097736007</v>
      </c>
      <c r="D22" s="220">
        <f t="shared" ref="D22:H22" si="5">IFERROR(D21/D6,0)</f>
        <v>0.32866979938056462</v>
      </c>
      <c r="E22" s="220">
        <f t="shared" si="5"/>
        <v>0.3310467428130896</v>
      </c>
      <c r="F22" s="220">
        <f t="shared" si="5"/>
        <v>0.32826747720364741</v>
      </c>
      <c r="G22" s="220">
        <f t="shared" si="5"/>
        <v>0.34437070850435381</v>
      </c>
      <c r="H22" s="220">
        <f t="shared" si="5"/>
        <v>0.34705882352941175</v>
      </c>
    </row>
    <row r="23" spans="2:8" ht="16" outlineLevel="1" x14ac:dyDescent="0.2">
      <c r="B23" s="209"/>
      <c r="C23" s="209"/>
      <c r="D23" s="209"/>
      <c r="E23" s="209"/>
      <c r="F23" s="209"/>
      <c r="G23" s="209"/>
      <c r="H23" s="209"/>
    </row>
    <row r="24" spans="2:8" ht="16" outlineLevel="1" x14ac:dyDescent="0.2">
      <c r="B24" s="213" t="s">
        <v>211</v>
      </c>
      <c r="C24" s="214">
        <v>0</v>
      </c>
      <c r="D24" s="214">
        <v>0</v>
      </c>
      <c r="E24" s="214">
        <v>0</v>
      </c>
      <c r="F24" s="214">
        <v>0</v>
      </c>
      <c r="G24" s="214">
        <v>0</v>
      </c>
      <c r="H24" s="214">
        <v>0</v>
      </c>
    </row>
    <row r="25" spans="2:8" ht="16" outlineLevel="1" x14ac:dyDescent="0.2">
      <c r="B25" s="215" t="s">
        <v>212</v>
      </c>
      <c r="C25" s="216">
        <f t="shared" ref="C25:H25" si="6">IFERROR(C24/C6,0)</f>
        <v>0</v>
      </c>
      <c r="D25" s="216">
        <f t="shared" si="6"/>
        <v>0</v>
      </c>
      <c r="E25" s="216">
        <f t="shared" si="6"/>
        <v>0</v>
      </c>
      <c r="F25" s="216">
        <f t="shared" si="6"/>
        <v>0</v>
      </c>
      <c r="G25" s="216">
        <f t="shared" si="6"/>
        <v>0</v>
      </c>
      <c r="H25" s="216">
        <f t="shared" si="6"/>
        <v>0</v>
      </c>
    </row>
    <row r="26" spans="2:8" ht="16" outlineLevel="1" x14ac:dyDescent="0.2">
      <c r="B26" s="209"/>
      <c r="C26" s="209"/>
      <c r="D26" s="209"/>
      <c r="E26" s="209"/>
      <c r="F26" s="209"/>
      <c r="G26" s="209"/>
      <c r="H26" s="209"/>
    </row>
    <row r="27" spans="2:8" ht="16" outlineLevel="1" x14ac:dyDescent="0.2">
      <c r="B27" s="217" t="s">
        <v>9</v>
      </c>
      <c r="C27" s="218">
        <f>IFERROR('[2]Data Sheet'!C68,0)</f>
        <v>66288</v>
      </c>
      <c r="D27" s="218">
        <f>IFERROR('[2]Data Sheet'!D68,0)</f>
        <v>108949</v>
      </c>
      <c r="E27" s="218">
        <f>IFERROR('[2]Data Sheet'!E68,0)</f>
        <v>119437</v>
      </c>
      <c r="F27" s="218">
        <f>IFERROR('[2]Data Sheet'!F68,0)</f>
        <v>114301</v>
      </c>
      <c r="G27" s="218">
        <f>IFERROR('[2]Data Sheet'!G68,0)</f>
        <v>123216</v>
      </c>
      <c r="H27" s="218">
        <f>IFERROR('[2]Data Sheet'!H68,0)</f>
        <v>125675</v>
      </c>
    </row>
    <row r="28" spans="2:8" ht="16" outlineLevel="1" x14ac:dyDescent="0.2">
      <c r="B28" s="219" t="s">
        <v>213</v>
      </c>
      <c r="C28" s="220">
        <f>IFERROR(C27/C6,0)</f>
        <v>0.24147314354406862</v>
      </c>
      <c r="D28" s="220">
        <f t="shared" ref="D28:H28" si="7">IFERROR(D27/D6,0)</f>
        <v>0.29782377527561593</v>
      </c>
      <c r="E28" s="220">
        <f t="shared" si="7"/>
        <v>0.30288744395528594</v>
      </c>
      <c r="F28" s="220">
        <f t="shared" si="7"/>
        <v>0.29821412265024722</v>
      </c>
      <c r="G28" s="220">
        <f t="shared" si="7"/>
        <v>0.31510222870075566</v>
      </c>
      <c r="H28" s="220">
        <f t="shared" si="7"/>
        <v>0.31755356781888011</v>
      </c>
    </row>
    <row r="29" spans="2:8" ht="16" outlineLevel="1" x14ac:dyDescent="0.2">
      <c r="B29" s="209"/>
      <c r="C29" s="209"/>
      <c r="D29" s="209"/>
      <c r="E29" s="209"/>
      <c r="F29" s="209"/>
      <c r="G29" s="209"/>
      <c r="H29" s="209"/>
    </row>
    <row r="30" spans="2:8" ht="16" outlineLevel="1" x14ac:dyDescent="0.2">
      <c r="B30" s="213" t="s">
        <v>27</v>
      </c>
      <c r="C30" s="214">
        <f>IFERROR('[2]Data Sheet'!C24,0)</f>
        <v>890</v>
      </c>
      <c r="D30" s="214">
        <f>IFERROR('[2]Data Sheet'!D24,0)</f>
        <v>198</v>
      </c>
      <c r="E30" s="214" t="str">
        <f>IFERROR('[2]Data Sheet'!E24,0)</f>
        <v>-</v>
      </c>
      <c r="F30" s="214" t="str">
        <f>IFERROR('[2]Data Sheet'!F24,0)</f>
        <v>-</v>
      </c>
      <c r="G30" s="214" t="str">
        <f>IFERROR('[2]Data Sheet'!G24,0)</f>
        <v>-</v>
      </c>
      <c r="H30" s="214" t="str">
        <f>IFERROR('[2]Data Sheet'!H24,0)</f>
        <v>-</v>
      </c>
    </row>
    <row r="31" spans="2:8" ht="16" outlineLevel="1" x14ac:dyDescent="0.2">
      <c r="B31" s="215" t="s">
        <v>214</v>
      </c>
      <c r="C31" s="216">
        <f t="shared" ref="C31:H31" si="8">IFERROR(C30/C6,0)</f>
        <v>3.242081489171812E-3</v>
      </c>
      <c r="D31" s="216">
        <f t="shared" si="8"/>
        <v>5.4125423367421411E-4</v>
      </c>
      <c r="E31" s="216">
        <f t="shared" si="8"/>
        <v>0</v>
      </c>
      <c r="F31" s="216">
        <f t="shared" si="8"/>
        <v>0</v>
      </c>
      <c r="G31" s="216">
        <f t="shared" si="8"/>
        <v>0</v>
      </c>
      <c r="H31" s="216">
        <f t="shared" si="8"/>
        <v>0</v>
      </c>
    </row>
    <row r="32" spans="2:8" ht="16" outlineLevel="1" x14ac:dyDescent="0.2">
      <c r="B32" s="209"/>
      <c r="C32" s="209"/>
      <c r="D32" s="209"/>
      <c r="E32" s="209"/>
      <c r="F32" s="209"/>
      <c r="G32" s="209"/>
      <c r="H32" s="209"/>
    </row>
    <row r="33" spans="1:8" ht="16" outlineLevel="1" x14ac:dyDescent="0.2">
      <c r="B33" s="217" t="s">
        <v>13</v>
      </c>
      <c r="C33" s="218">
        <f>IFERROR('[2]Data Sheet'!C31,0)</f>
        <v>67091</v>
      </c>
      <c r="D33" s="218">
        <f>IFERROR('[2]Data Sheet'!D31,0)</f>
        <v>109207</v>
      </c>
      <c r="E33" s="218">
        <f>IFERROR('[2]Data Sheet'!E31,0)</f>
        <v>119103</v>
      </c>
      <c r="F33" s="218">
        <f>IFERROR('[2]Data Sheet'!F31,0)</f>
        <v>113736</v>
      </c>
      <c r="G33" s="218">
        <f>IFERROR('[2]Data Sheet'!G31,0)</f>
        <v>123485</v>
      </c>
      <c r="H33" s="218">
        <f>IFERROR('[2]Data Sheet'!H31,0)</f>
        <v>125746</v>
      </c>
    </row>
    <row r="34" spans="1:8" ht="16" outlineLevel="1" x14ac:dyDescent="0.2">
      <c r="B34" s="219" t="s">
        <v>215</v>
      </c>
      <c r="C34" s="220">
        <f>IFERROR(C33/C6,0)</f>
        <v>0.24439830246070343</v>
      </c>
      <c r="D34" s="220">
        <f t="shared" ref="D34:H34" si="9">IFERROR(D33/D6,0)</f>
        <v>0.29852904594373691</v>
      </c>
      <c r="E34" s="220">
        <f t="shared" si="9"/>
        <v>0.30204043334482966</v>
      </c>
      <c r="F34" s="220">
        <f t="shared" si="9"/>
        <v>0.29674002374212399</v>
      </c>
      <c r="G34" s="220">
        <f t="shared" si="9"/>
        <v>0.31579014666206351</v>
      </c>
      <c r="H34" s="220">
        <f t="shared" si="9"/>
        <v>0.31773296947645036</v>
      </c>
    </row>
    <row r="35" spans="1:8" ht="16" outlineLevel="1" x14ac:dyDescent="0.2">
      <c r="B35" s="209"/>
      <c r="C35" s="209"/>
      <c r="D35" s="209"/>
      <c r="E35" s="209"/>
      <c r="F35" s="209"/>
      <c r="G35" s="209"/>
      <c r="H35" s="209"/>
    </row>
    <row r="36" spans="1:8" ht="16" outlineLevel="1" x14ac:dyDescent="0.2">
      <c r="B36" s="213" t="s">
        <v>14</v>
      </c>
      <c r="C36" s="214">
        <f>IFERROR('[2]Data Sheet'!C33,0)</f>
        <v>9680</v>
      </c>
      <c r="D36" s="214">
        <f>IFERROR('[2]Data Sheet'!D33,0)</f>
        <v>14527</v>
      </c>
      <c r="E36" s="214">
        <f>IFERROR('[2]Data Sheet'!E33,0)</f>
        <v>19300</v>
      </c>
      <c r="F36" s="214">
        <f>IFERROR('[2]Data Sheet'!F33,0)</f>
        <v>16741</v>
      </c>
      <c r="G36" s="214">
        <f>IFERROR('[2]Data Sheet'!G33,0)</f>
        <v>29749</v>
      </c>
      <c r="H36" s="214">
        <f>IFERROR('[2]Data Sheet'!H33,0)</f>
        <v>29596</v>
      </c>
    </row>
    <row r="37" spans="1:8" ht="16" outlineLevel="1" x14ac:dyDescent="0.2">
      <c r="B37" s="215" t="s">
        <v>216</v>
      </c>
      <c r="C37" s="216">
        <f>IFERROR(C36/C33,0)</f>
        <v>0.14428164731484103</v>
      </c>
      <c r="D37" s="216">
        <f t="shared" ref="D37:H37" si="10">IFERROR(D36/D33,0)</f>
        <v>0.13302260844085087</v>
      </c>
      <c r="E37" s="216">
        <f t="shared" si="10"/>
        <v>0.16204461684424407</v>
      </c>
      <c r="F37" s="216">
        <f t="shared" si="10"/>
        <v>0.14719174228036858</v>
      </c>
      <c r="G37" s="216">
        <f t="shared" si="10"/>
        <v>0.24091185164189982</v>
      </c>
      <c r="H37" s="216">
        <f t="shared" si="10"/>
        <v>0.23536335151813975</v>
      </c>
    </row>
    <row r="38" spans="1:8" ht="16" outlineLevel="1" x14ac:dyDescent="0.2">
      <c r="B38" s="209"/>
      <c r="C38" s="209"/>
      <c r="D38" s="209"/>
      <c r="E38" s="209"/>
      <c r="F38" s="209"/>
      <c r="G38" s="209"/>
      <c r="H38" s="209"/>
    </row>
    <row r="39" spans="1:8" ht="16" outlineLevel="1" x14ac:dyDescent="0.2">
      <c r="B39" s="217" t="s">
        <v>217</v>
      </c>
      <c r="C39" s="218">
        <f>IFERROR('[2]Data Sheet'!C41,0)</f>
        <v>57411</v>
      </c>
      <c r="D39" s="218">
        <f>IFERROR('[2]Data Sheet'!D41,0)</f>
        <v>94680</v>
      </c>
      <c r="E39" s="218">
        <f>IFERROR('[2]Data Sheet'!E41,0)</f>
        <v>99803</v>
      </c>
      <c r="F39" s="218">
        <f>IFERROR('[2]Data Sheet'!F41,0)</f>
        <v>96995</v>
      </c>
      <c r="G39" s="218">
        <f>IFERROR('[2]Data Sheet'!G41,0)</f>
        <v>93736</v>
      </c>
      <c r="H39" s="218">
        <f>IFERROR('[2]Data Sheet'!H41,0)</f>
        <v>96150</v>
      </c>
    </row>
    <row r="40" spans="1:8" ht="16" outlineLevel="1" x14ac:dyDescent="0.2">
      <c r="B40" s="219" t="s">
        <v>218</v>
      </c>
      <c r="C40" s="220">
        <f>IFERROR(C39/C6,0)</f>
        <v>0.20913611278072236</v>
      </c>
      <c r="D40" s="220">
        <f t="shared" ref="D40:H40" si="11">IFERROR(D39/D6,0)</f>
        <v>0.25881793355694238</v>
      </c>
      <c r="E40" s="220">
        <f t="shared" si="11"/>
        <v>0.25309640705199732</v>
      </c>
      <c r="F40" s="220">
        <f t="shared" si="11"/>
        <v>0.25306234264320282</v>
      </c>
      <c r="G40" s="220">
        <f t="shared" si="11"/>
        <v>0.23971255769943867</v>
      </c>
      <c r="H40" s="220">
        <f t="shared" si="11"/>
        <v>0.24295027289266222</v>
      </c>
    </row>
    <row r="41" spans="1:8" outlineLevel="1" x14ac:dyDescent="0.2"/>
    <row r="42" spans="1:8" ht="16" outlineLevel="1" x14ac:dyDescent="0.2">
      <c r="B42" s="213" t="s">
        <v>219</v>
      </c>
      <c r="C42" s="214">
        <f>IFERROR('[2]Data Sheet'!C49,0)</f>
        <v>3.31</v>
      </c>
      <c r="D42" s="214">
        <f>IFERROR('[2]Data Sheet'!D49,0)</f>
        <v>5.67</v>
      </c>
      <c r="E42" s="214">
        <f>IFERROR('[2]Data Sheet'!E49,0)</f>
        <v>6.15</v>
      </c>
      <c r="F42" s="214">
        <f>IFERROR('[2]Data Sheet'!F49,0)</f>
        <v>6.16</v>
      </c>
      <c r="G42" s="214">
        <f>IFERROR('[2]Data Sheet'!G49,0)</f>
        <v>6.11</v>
      </c>
      <c r="H42" s="214">
        <f>IFERROR('[2]Data Sheet'!H49,0)</f>
        <v>6.31</v>
      </c>
    </row>
    <row r="43" spans="1:8" ht="16" outlineLevel="1" x14ac:dyDescent="0.2">
      <c r="B43" s="215" t="s">
        <v>220</v>
      </c>
      <c r="C43" s="216" t="s">
        <v>120</v>
      </c>
      <c r="D43" s="216">
        <f>IFERROR(D42/C42-1,0)</f>
        <v>0.7129909365558913</v>
      </c>
      <c r="E43" s="216">
        <f t="shared" ref="E43:H43" si="12">IFERROR(E42/D42-1,0)</f>
        <v>8.4656084656084651E-2</v>
      </c>
      <c r="F43" s="216">
        <f t="shared" si="12"/>
        <v>1.6260162601626771E-3</v>
      </c>
      <c r="G43" s="216">
        <f t="shared" si="12"/>
        <v>-8.116883116883078E-3</v>
      </c>
      <c r="H43" s="216">
        <f t="shared" si="12"/>
        <v>3.2733224222585733E-2</v>
      </c>
    </row>
    <row r="44" spans="1:8" outlineLevel="1" x14ac:dyDescent="0.2"/>
    <row r="45" spans="1:8" ht="16" outlineLevel="1" x14ac:dyDescent="0.2">
      <c r="B45" s="213" t="s">
        <v>221</v>
      </c>
      <c r="C45" s="214">
        <f>'[2]Data Sheet'!C60</f>
        <v>0.8</v>
      </c>
      <c r="D45" s="214">
        <f>'[2]Data Sheet'!D60</f>
        <v>0.85</v>
      </c>
      <c r="E45" s="214">
        <f>'[2]Data Sheet'!E60</f>
        <v>0.9</v>
      </c>
      <c r="F45" s="214">
        <f>'[2]Data Sheet'!F60</f>
        <v>0.94</v>
      </c>
      <c r="G45" s="214">
        <f>'[2]Data Sheet'!G60</f>
        <v>0.98</v>
      </c>
      <c r="H45" s="214">
        <f>'[2]Data Sheet'!H60</f>
        <v>0.99</v>
      </c>
    </row>
    <row r="46" spans="1:8" ht="16" outlineLevel="1" x14ac:dyDescent="0.2">
      <c r="B46" s="215" t="s">
        <v>222</v>
      </c>
      <c r="C46" s="216">
        <f>'[2]Data Sheet'!C61</f>
        <v>0.24526600000000001</v>
      </c>
      <c r="D46" s="216">
        <f>'[2]Data Sheet'!D61</f>
        <v>0.15279799999999999</v>
      </c>
      <c r="E46" s="216">
        <f>'[2]Data Sheet'!E61</f>
        <v>0.148702</v>
      </c>
      <c r="F46" s="216">
        <f>'[2]Data Sheet'!F61</f>
        <v>0.15490399999999999</v>
      </c>
      <c r="G46" s="216">
        <f>'[2]Data Sheet'!G61</f>
        <v>0.16252</v>
      </c>
      <c r="H46" s="216">
        <f>'[2]Data Sheet'!H61</f>
        <v>0.15876199999999999</v>
      </c>
    </row>
    <row r="48" spans="1:8" x14ac:dyDescent="0.2">
      <c r="A48" t="s">
        <v>0</v>
      </c>
      <c r="B48" s="207" t="s">
        <v>223</v>
      </c>
      <c r="C48" s="208"/>
      <c r="D48" s="208"/>
      <c r="E48" s="208"/>
      <c r="F48" s="208"/>
      <c r="G48" s="208"/>
      <c r="H48" s="208"/>
    </row>
    <row r="49" spans="2:8" outlineLevel="1" x14ac:dyDescent="0.2">
      <c r="B49" s="16" t="str">
        <f>IFERROR('[2]Raw FS'!B7,0)</f>
        <v>Equity Capital</v>
      </c>
      <c r="C49" s="222">
        <f>IFERROR('[2]Raw FS'!C7,0)</f>
        <v>50779</v>
      </c>
      <c r="D49" s="222">
        <f>IFERROR('[2]Raw FS'!D7,0)</f>
        <v>57365</v>
      </c>
      <c r="E49" s="222">
        <f>IFERROR('[2]Raw FS'!E7,0)</f>
        <v>64849</v>
      </c>
      <c r="F49" s="222">
        <f>IFERROR('[2]Raw FS'!F7,0)</f>
        <v>73812</v>
      </c>
      <c r="G49" s="222">
        <f>IFERROR('[2]Raw FS'!G7,0)</f>
        <v>83276</v>
      </c>
      <c r="H49" s="222">
        <f>IFERROR('[2]Raw FS'!H7,0)</f>
        <v>84768</v>
      </c>
    </row>
    <row r="50" spans="2:8" outlineLevel="1" x14ac:dyDescent="0.2">
      <c r="B50" s="223" t="str">
        <f>'[2]Data Sheet'!B137</f>
        <v>Common Stock</v>
      </c>
      <c r="C50" s="224">
        <f>'[2]Data Sheet'!C137</f>
        <v>50779</v>
      </c>
      <c r="D50" s="224">
        <f>'[2]Data Sheet'!D137</f>
        <v>57365</v>
      </c>
      <c r="E50" s="224">
        <f>'[2]Data Sheet'!E137</f>
        <v>64849</v>
      </c>
      <c r="F50" s="224">
        <f>'[2]Data Sheet'!F137</f>
        <v>73812</v>
      </c>
      <c r="G50" s="224">
        <f>'[2]Data Sheet'!G137</f>
        <v>83276</v>
      </c>
      <c r="H50" s="224">
        <f>'[2]Data Sheet'!H137</f>
        <v>84768</v>
      </c>
    </row>
    <row r="51" spans="2:8" outlineLevel="1" x14ac:dyDescent="0.2">
      <c r="B51" s="225" t="str">
        <f>'[2]Data Sheet'!B138</f>
        <v>Additional Paid In Capital</v>
      </c>
      <c r="C51" s="226" t="str">
        <f>'[2]Data Sheet'!C138</f>
        <v>-</v>
      </c>
      <c r="D51" s="226" t="str">
        <f>'[2]Data Sheet'!D138</f>
        <v>-</v>
      </c>
      <c r="E51" s="226" t="str">
        <f>'[2]Data Sheet'!E138</f>
        <v>-</v>
      </c>
      <c r="F51" s="226" t="str">
        <f>'[2]Data Sheet'!F138</f>
        <v>-</v>
      </c>
      <c r="G51" s="226" t="str">
        <f>'[2]Data Sheet'!G138</f>
        <v>-</v>
      </c>
      <c r="H51" s="226" t="str">
        <f>'[2]Data Sheet'!H138</f>
        <v>-</v>
      </c>
    </row>
    <row r="52" spans="2:8" outlineLevel="1" x14ac:dyDescent="0.2">
      <c r="B52" s="201" t="str">
        <f>IFERROR('[2]Raw FS'!B8,0)</f>
        <v>Reserves</v>
      </c>
      <c r="C52" s="227">
        <f>IFERROR('[2]Raw FS'!C8,0)</f>
        <v>14560</v>
      </c>
      <c r="D52" s="227">
        <f>IFERROR('[2]Raw FS'!D8,0)</f>
        <v>5725</v>
      </c>
      <c r="E52" s="227">
        <f>IFERROR('[2]Raw FS'!E8,0)</f>
        <v>-14177</v>
      </c>
      <c r="F52" s="227">
        <f>IFERROR('[2]Raw FS'!F8,0)</f>
        <v>-11666</v>
      </c>
      <c r="G52" s="227">
        <f>IFERROR('[2]Raw FS'!G8,0)</f>
        <v>-26326</v>
      </c>
      <c r="H52" s="227">
        <f>IFERROR('[2]Raw FS'!H8,0)</f>
        <v>-18010</v>
      </c>
    </row>
    <row r="53" spans="2:8" outlineLevel="1" x14ac:dyDescent="0.2">
      <c r="B53" s="223" t="str">
        <f>'[2]Data Sheet'!B139</f>
        <v>Retained Earnings</v>
      </c>
      <c r="C53" s="224">
        <f>'[2]Data Sheet'!C139</f>
        <v>14966</v>
      </c>
      <c r="D53" s="224">
        <f>'[2]Data Sheet'!D139</f>
        <v>5562</v>
      </c>
      <c r="E53" s="224">
        <f>'[2]Data Sheet'!E139</f>
        <v>-3068</v>
      </c>
      <c r="F53" s="224">
        <f>'[2]Data Sheet'!F139</f>
        <v>-214</v>
      </c>
      <c r="G53" s="224">
        <f>'[2]Data Sheet'!G139</f>
        <v>-19154</v>
      </c>
      <c r="H53" s="224">
        <f>'[2]Data Sheet'!H139</f>
        <v>-11221</v>
      </c>
    </row>
    <row r="54" spans="2:8" outlineLevel="1" x14ac:dyDescent="0.2">
      <c r="B54" s="223" t="str">
        <f>'[2]Data Sheet'!B140</f>
        <v>Treasury Stock</v>
      </c>
      <c r="C54" s="224" t="str">
        <f>'[2]Data Sheet'!C140</f>
        <v>-</v>
      </c>
      <c r="D54" s="224" t="str">
        <f>'[2]Data Sheet'!D140</f>
        <v>-</v>
      </c>
      <c r="E54" s="224" t="str">
        <f>'[2]Data Sheet'!E140</f>
        <v>-</v>
      </c>
      <c r="F54" s="224" t="str">
        <f>'[2]Data Sheet'!F140</f>
        <v>-</v>
      </c>
      <c r="G54" s="224" t="str">
        <f>'[2]Data Sheet'!G140</f>
        <v>-</v>
      </c>
      <c r="H54" s="224" t="str">
        <f>'[2]Data Sheet'!H140</f>
        <v>-</v>
      </c>
    </row>
    <row r="55" spans="2:8" outlineLevel="1" x14ac:dyDescent="0.2">
      <c r="B55" s="223" t="str">
        <f>'[2]Data Sheet'!B141</f>
        <v>Comprehensive Inc. and Other</v>
      </c>
      <c r="C55" s="224">
        <f>'[2]Data Sheet'!C141</f>
        <v>-406</v>
      </c>
      <c r="D55" s="224">
        <f>'[2]Data Sheet'!D141</f>
        <v>163</v>
      </c>
      <c r="E55" s="224">
        <f>'[2]Data Sheet'!E141</f>
        <v>-11109</v>
      </c>
      <c r="F55" s="224">
        <f>'[2]Data Sheet'!F141</f>
        <v>-11452</v>
      </c>
      <c r="G55" s="224">
        <f>'[2]Data Sheet'!G141</f>
        <v>-7172</v>
      </c>
      <c r="H55" s="224">
        <f>'[2]Data Sheet'!H141</f>
        <v>-6789</v>
      </c>
    </row>
    <row r="56" spans="2:8" outlineLevel="1" x14ac:dyDescent="0.2">
      <c r="B56" s="201" t="str">
        <f>IFERROR('[2]Raw FS'!B9,0)</f>
        <v>Current Liabilities</v>
      </c>
      <c r="C56" s="227">
        <f>IFERROR(SUM(C57:C63),0)</f>
        <v>105392</v>
      </c>
      <c r="D56" s="227">
        <f t="shared" ref="D56:H56" si="13">IFERROR(SUM(D57:D63),0)</f>
        <v>125481</v>
      </c>
      <c r="E56" s="227">
        <f t="shared" si="13"/>
        <v>153982</v>
      </c>
      <c r="F56" s="227">
        <f t="shared" si="13"/>
        <v>145308</v>
      </c>
      <c r="G56" s="227">
        <f t="shared" si="13"/>
        <v>176392</v>
      </c>
      <c r="H56" s="227">
        <f t="shared" si="13"/>
        <v>144365</v>
      </c>
    </row>
    <row r="57" spans="2:8" outlineLevel="1" x14ac:dyDescent="0.2">
      <c r="B57" s="225" t="str">
        <f>'[2]Data Sheet'!B123</f>
        <v>Accounts Payable</v>
      </c>
      <c r="C57" s="226">
        <f>IFERROR('[2]Data Sheet'!C123,0)</f>
        <v>42296</v>
      </c>
      <c r="D57" s="226">
        <f>IFERROR('[2]Data Sheet'!D123,0)</f>
        <v>54763</v>
      </c>
      <c r="E57" s="226">
        <f>IFERROR('[2]Data Sheet'!E123,0)</f>
        <v>64115</v>
      </c>
      <c r="F57" s="226">
        <f>IFERROR('[2]Data Sheet'!F123,0)</f>
        <v>62611</v>
      </c>
      <c r="G57" s="226">
        <f>IFERROR('[2]Data Sheet'!G123,0)</f>
        <v>68960</v>
      </c>
      <c r="H57" s="226">
        <f>IFERROR('[2]Data Sheet'!H123,0)</f>
        <v>61910</v>
      </c>
    </row>
    <row r="58" spans="2:8" outlineLevel="1" x14ac:dyDescent="0.2">
      <c r="B58" s="223" t="str">
        <f>'[2]Data Sheet'!B124</f>
        <v>Short-term Borrowings</v>
      </c>
      <c r="C58" s="224">
        <f>IFERROR('[2]Data Sheet'!C124,0)</f>
        <v>4996</v>
      </c>
      <c r="D58" s="224">
        <f>IFERROR('[2]Data Sheet'!D124,0)</f>
        <v>6000</v>
      </c>
      <c r="E58" s="224">
        <f>IFERROR('[2]Data Sheet'!E124,0)</f>
        <v>9982</v>
      </c>
      <c r="F58" s="224">
        <f>IFERROR('[2]Data Sheet'!F124,0)</f>
        <v>5985</v>
      </c>
      <c r="G58" s="224">
        <f>IFERROR('[2]Data Sheet'!G124,0)</f>
        <v>9967</v>
      </c>
      <c r="H58" s="224">
        <f>IFERROR('[2]Data Sheet'!H124,0)</f>
        <v>1995</v>
      </c>
    </row>
    <row r="59" spans="2:8" outlineLevel="1" x14ac:dyDescent="0.2">
      <c r="B59" s="223" t="str">
        <f>'[2]Data Sheet'!B125</f>
        <v>Curr. Port. of LT Debt</v>
      </c>
      <c r="C59" s="224">
        <f>IFERROR('[2]Data Sheet'!C125,0)</f>
        <v>8773</v>
      </c>
      <c r="D59" s="224">
        <f>IFERROR('[2]Data Sheet'!D125,0)</f>
        <v>9613</v>
      </c>
      <c r="E59" s="224">
        <f>IFERROR('[2]Data Sheet'!E125,0)</f>
        <v>11128</v>
      </c>
      <c r="F59" s="224">
        <f>IFERROR('[2]Data Sheet'!F125,0)</f>
        <v>9822</v>
      </c>
      <c r="G59" s="224">
        <f>IFERROR('[2]Data Sheet'!G125,0)</f>
        <v>10912</v>
      </c>
      <c r="H59" s="224">
        <f>IFERROR('[2]Data Sheet'!H125,0)</f>
        <v>10848</v>
      </c>
    </row>
    <row r="60" spans="2:8" outlineLevel="1" x14ac:dyDescent="0.2">
      <c r="B60" s="223" t="str">
        <f>'[2]Data Sheet'!B126</f>
        <v>Curr. Port. of Leases</v>
      </c>
      <c r="C60" s="224">
        <f>IFERROR('[2]Data Sheet'!C126,0)</f>
        <v>1460</v>
      </c>
      <c r="D60" s="224">
        <f>IFERROR('[2]Data Sheet'!D126,0)</f>
        <v>1528</v>
      </c>
      <c r="E60" s="224">
        <f>IFERROR('[2]Data Sheet'!E126,0)</f>
        <v>1663</v>
      </c>
      <c r="F60" s="224">
        <f>IFERROR('[2]Data Sheet'!F126,0)</f>
        <v>1575</v>
      </c>
      <c r="G60" s="224">
        <f>IFERROR('[2]Data Sheet'!G126,0)</f>
        <v>1632</v>
      </c>
      <c r="H60" s="224" t="str">
        <f>IFERROR('[2]Data Sheet'!H126,0)</f>
        <v>-</v>
      </c>
    </row>
    <row r="61" spans="2:8" outlineLevel="1" x14ac:dyDescent="0.2">
      <c r="B61" s="223" t="str">
        <f>'[2]Data Sheet'!B127</f>
        <v>Curr. Income Taxes Payable</v>
      </c>
      <c r="C61" s="224" t="str">
        <f>IFERROR('[2]Data Sheet'!C127,0)</f>
        <v>-</v>
      </c>
      <c r="D61" s="224" t="str">
        <f>IFERROR('[2]Data Sheet'!D127,0)</f>
        <v>-</v>
      </c>
      <c r="E61" s="224" t="str">
        <f>IFERROR('[2]Data Sheet'!E127,0)</f>
        <v>-</v>
      </c>
      <c r="F61" s="224">
        <f>IFERROR('[2]Data Sheet'!F127,0)</f>
        <v>8819</v>
      </c>
      <c r="G61" s="224">
        <f>IFERROR('[2]Data Sheet'!G127,0)</f>
        <v>26601</v>
      </c>
      <c r="H61" s="224" t="str">
        <f>IFERROR('[2]Data Sheet'!H127,0)</f>
        <v>-</v>
      </c>
    </row>
    <row r="62" spans="2:8" outlineLevel="1" x14ac:dyDescent="0.2">
      <c r="B62" s="223" t="str">
        <f>'[2]Data Sheet'!B128</f>
        <v>Unearned Revenue, Current</v>
      </c>
      <c r="C62" s="224">
        <f>IFERROR('[2]Data Sheet'!C128,0)</f>
        <v>6643</v>
      </c>
      <c r="D62" s="224">
        <f>IFERROR('[2]Data Sheet'!D128,0)</f>
        <v>7612</v>
      </c>
      <c r="E62" s="224">
        <f>IFERROR('[2]Data Sheet'!E128,0)</f>
        <v>7912</v>
      </c>
      <c r="F62" s="224">
        <f>IFERROR('[2]Data Sheet'!F128,0)</f>
        <v>8061</v>
      </c>
      <c r="G62" s="224">
        <f>IFERROR('[2]Data Sheet'!G128,0)</f>
        <v>8249</v>
      </c>
      <c r="H62" s="224">
        <f>IFERROR('[2]Data Sheet'!H128,0)</f>
        <v>8461</v>
      </c>
    </row>
    <row r="63" spans="2:8" outlineLevel="1" x14ac:dyDescent="0.2">
      <c r="B63" s="223" t="str">
        <f>'[2]Data Sheet'!B129</f>
        <v>Other Current Liabilities</v>
      </c>
      <c r="C63" s="224">
        <f>IFERROR('[2]Data Sheet'!C129,0)</f>
        <v>41224</v>
      </c>
      <c r="D63" s="224">
        <f>IFERROR('[2]Data Sheet'!D129,0)</f>
        <v>45965</v>
      </c>
      <c r="E63" s="224">
        <f>IFERROR('[2]Data Sheet'!E129,0)</f>
        <v>59182</v>
      </c>
      <c r="F63" s="224">
        <f>IFERROR('[2]Data Sheet'!F129,0)</f>
        <v>48435</v>
      </c>
      <c r="G63" s="224">
        <f>IFERROR('[2]Data Sheet'!G129,0)</f>
        <v>50071</v>
      </c>
      <c r="H63" s="224">
        <f>IFERROR('[2]Data Sheet'!H129,0)</f>
        <v>61151</v>
      </c>
    </row>
    <row r="64" spans="2:8" outlineLevel="1" x14ac:dyDescent="0.2">
      <c r="B64" s="201" t="str">
        <f>IFERROR('[2]Raw FS'!B17,0)</f>
        <v>Non Current Liabilities</v>
      </c>
      <c r="C64" s="227">
        <f>IFERROR(SUM(C65:C67),0)</f>
        <v>153157</v>
      </c>
      <c r="D64" s="227">
        <f t="shared" ref="D64:H64" si="14">IFERROR(SUM(D65:D67),0)</f>
        <v>162431</v>
      </c>
      <c r="E64" s="227">
        <f t="shared" si="14"/>
        <v>148101</v>
      </c>
      <c r="F64" s="227">
        <f t="shared" si="14"/>
        <v>145129</v>
      </c>
      <c r="G64" s="227">
        <f t="shared" si="14"/>
        <v>131638</v>
      </c>
      <c r="H64" s="227">
        <f t="shared" si="14"/>
        <v>132962</v>
      </c>
    </row>
    <row r="65" spans="2:8" outlineLevel="1" x14ac:dyDescent="0.2">
      <c r="B65" s="223" t="str">
        <f>'[2]Data Sheet'!B132</f>
        <v>Long-Term Debt</v>
      </c>
      <c r="C65" s="224">
        <f>IFERROR('[2]Data Sheet'!C132,0)</f>
        <v>98667</v>
      </c>
      <c r="D65" s="224">
        <f>IFERROR('[2]Data Sheet'!D132,0)</f>
        <v>109106</v>
      </c>
      <c r="E65" s="224">
        <f>IFERROR('[2]Data Sheet'!E132,0)</f>
        <v>98959</v>
      </c>
      <c r="F65" s="224">
        <f>IFERROR('[2]Data Sheet'!F132,0)</f>
        <v>95281</v>
      </c>
      <c r="G65" s="224">
        <f>IFERROR('[2]Data Sheet'!G132,0)</f>
        <v>85750</v>
      </c>
      <c r="H65" s="224">
        <f>IFERROR('[2]Data Sheet'!H132,0)</f>
        <v>83956</v>
      </c>
    </row>
    <row r="66" spans="2:8" outlineLevel="1" x14ac:dyDescent="0.2">
      <c r="B66" s="223" t="str">
        <f>'[2]Data Sheet'!B133</f>
        <v>Long-Term Leases</v>
      </c>
      <c r="C66" s="224">
        <f>IFERROR('[2]Data Sheet'!C133,0)</f>
        <v>8382</v>
      </c>
      <c r="D66" s="224">
        <f>IFERROR('[2]Data Sheet'!D133,0)</f>
        <v>10275</v>
      </c>
      <c r="E66" s="224">
        <f>IFERROR('[2]Data Sheet'!E133,0)</f>
        <v>10748</v>
      </c>
      <c r="F66" s="224">
        <f>IFERROR('[2]Data Sheet'!F133,0)</f>
        <v>11267</v>
      </c>
      <c r="G66" s="224">
        <f>IFERROR('[2]Data Sheet'!G133,0)</f>
        <v>10798</v>
      </c>
      <c r="H66" s="224" t="str">
        <f>IFERROR('[2]Data Sheet'!H133,0)</f>
        <v>-</v>
      </c>
    </row>
    <row r="67" spans="2:8" outlineLevel="1" x14ac:dyDescent="0.2">
      <c r="B67" s="225" t="str">
        <f>'[2]Data Sheet'!B134</f>
        <v>Other Non-Current Liabilities</v>
      </c>
      <c r="C67" s="226">
        <f>IFERROR('[2]Data Sheet'!C134,0)</f>
        <v>46108</v>
      </c>
      <c r="D67" s="226">
        <f>IFERROR('[2]Data Sheet'!D134,0)</f>
        <v>43050</v>
      </c>
      <c r="E67" s="226">
        <f>IFERROR('[2]Data Sheet'!E134,0)</f>
        <v>38394</v>
      </c>
      <c r="F67" s="226">
        <f>IFERROR('[2]Data Sheet'!F134,0)</f>
        <v>38581</v>
      </c>
      <c r="G67" s="226">
        <f>IFERROR('[2]Data Sheet'!G134,0)</f>
        <v>35090</v>
      </c>
      <c r="H67" s="226">
        <f>IFERROR('[2]Data Sheet'!H134,0)</f>
        <v>49006</v>
      </c>
    </row>
    <row r="68" spans="2:8" outlineLevel="1" x14ac:dyDescent="0.2">
      <c r="B68" s="228" t="str">
        <f>IFERROR('[2]Raw FS'!B21,0)</f>
        <v>Total Liabilities</v>
      </c>
      <c r="C68" s="229">
        <f>SUM(C49,C52,C56,C64)</f>
        <v>323888</v>
      </c>
      <c r="D68" s="229">
        <f t="shared" ref="D68:H68" si="15">SUM(D49,D52,D56,D64)</f>
        <v>351002</v>
      </c>
      <c r="E68" s="229">
        <f t="shared" si="15"/>
        <v>352755</v>
      </c>
      <c r="F68" s="229">
        <f t="shared" si="15"/>
        <v>352583</v>
      </c>
      <c r="G68" s="229">
        <f t="shared" si="15"/>
        <v>364980</v>
      </c>
      <c r="H68" s="229">
        <f t="shared" si="15"/>
        <v>344085</v>
      </c>
    </row>
    <row r="69" spans="2:8" outlineLevel="1" x14ac:dyDescent="0.2"/>
    <row r="70" spans="2:8" outlineLevel="1" x14ac:dyDescent="0.2">
      <c r="B70" s="201" t="s">
        <v>224</v>
      </c>
      <c r="C70" s="227">
        <f>IFERROR(SUM(C71:C76),0)</f>
        <v>143713</v>
      </c>
      <c r="D70" s="227">
        <f t="shared" ref="D70:H70" si="16">IFERROR(SUM(D71:D76),0)</f>
        <v>134836</v>
      </c>
      <c r="E70" s="227">
        <f t="shared" si="16"/>
        <v>135405</v>
      </c>
      <c r="F70" s="227">
        <f t="shared" si="16"/>
        <v>143566</v>
      </c>
      <c r="G70" s="227">
        <f t="shared" si="16"/>
        <v>152987</v>
      </c>
      <c r="H70" s="227">
        <f t="shared" si="16"/>
        <v>133240</v>
      </c>
    </row>
    <row r="71" spans="2:8" outlineLevel="1" x14ac:dyDescent="0.2">
      <c r="B71" s="223" t="str">
        <f>'[2]Data Sheet'!B101</f>
        <v>Cash And Equivalents</v>
      </c>
      <c r="C71" s="224">
        <f>IFERROR('[2]Data Sheet'!C101,0)</f>
        <v>38016</v>
      </c>
      <c r="D71" s="224">
        <f>IFERROR('[2]Data Sheet'!D101,0)</f>
        <v>34940</v>
      </c>
      <c r="E71" s="224">
        <f>IFERROR('[2]Data Sheet'!E101,0)</f>
        <v>23646</v>
      </c>
      <c r="F71" s="224">
        <f>IFERROR('[2]Data Sheet'!F101,0)</f>
        <v>29965</v>
      </c>
      <c r="G71" s="224">
        <f>IFERROR('[2]Data Sheet'!G101,0)</f>
        <v>29943</v>
      </c>
      <c r="H71" s="224">
        <f>IFERROR('[2]Data Sheet'!H101,0)</f>
        <v>30299</v>
      </c>
    </row>
    <row r="72" spans="2:8" outlineLevel="1" x14ac:dyDescent="0.2">
      <c r="B72" s="223" t="str">
        <f>'[2]Data Sheet'!B102</f>
        <v>Short Term Investments</v>
      </c>
      <c r="C72" s="224">
        <f>IFERROR('[2]Data Sheet'!C102,0)</f>
        <v>52927</v>
      </c>
      <c r="D72" s="224">
        <f>IFERROR('[2]Data Sheet'!D102,0)</f>
        <v>27699</v>
      </c>
      <c r="E72" s="224">
        <f>IFERROR('[2]Data Sheet'!E102,0)</f>
        <v>24658</v>
      </c>
      <c r="F72" s="224">
        <f>IFERROR('[2]Data Sheet'!F102,0)</f>
        <v>31590</v>
      </c>
      <c r="G72" s="224">
        <f>IFERROR('[2]Data Sheet'!G102,0)</f>
        <v>35228</v>
      </c>
      <c r="H72" s="224">
        <f>IFERROR('[2]Data Sheet'!H102,0)</f>
        <v>23476</v>
      </c>
    </row>
    <row r="73" spans="2:8" outlineLevel="1" x14ac:dyDescent="0.2">
      <c r="B73" s="223" t="str">
        <f>'[2]Data Sheet'!B105</f>
        <v>Accounts Receivable</v>
      </c>
      <c r="C73" s="224">
        <f>IFERROR('[2]Data Sheet'!C105,0)</f>
        <v>16120</v>
      </c>
      <c r="D73" s="224">
        <f>IFERROR('[2]Data Sheet'!D105,0)</f>
        <v>26278</v>
      </c>
      <c r="E73" s="224">
        <f>IFERROR('[2]Data Sheet'!E105,0)</f>
        <v>28184</v>
      </c>
      <c r="F73" s="224">
        <f>IFERROR('[2]Data Sheet'!F105,0)</f>
        <v>29508</v>
      </c>
      <c r="G73" s="224">
        <f>IFERROR('[2]Data Sheet'!G105,0)</f>
        <v>33410</v>
      </c>
      <c r="H73" s="224">
        <f>IFERROR('[2]Data Sheet'!H105,0)</f>
        <v>29639</v>
      </c>
    </row>
    <row r="74" spans="2:8" outlineLevel="1" x14ac:dyDescent="0.2">
      <c r="B74" s="223" t="str">
        <f>'[2]Data Sheet'!B106</f>
        <v>Other Receivables</v>
      </c>
      <c r="C74" s="224">
        <f>IFERROR('[2]Data Sheet'!C106,0)</f>
        <v>21325</v>
      </c>
      <c r="D74" s="224">
        <f>IFERROR('[2]Data Sheet'!D106,0)</f>
        <v>25228</v>
      </c>
      <c r="E74" s="224">
        <f>IFERROR('[2]Data Sheet'!E106,0)</f>
        <v>32748</v>
      </c>
      <c r="F74" s="224">
        <f>IFERROR('[2]Data Sheet'!F106,0)</f>
        <v>31477</v>
      </c>
      <c r="G74" s="224">
        <f>IFERROR('[2]Data Sheet'!G106,0)</f>
        <v>32833</v>
      </c>
      <c r="H74" s="224">
        <f>IFERROR('[2]Data Sheet'!H106,0)</f>
        <v>29667</v>
      </c>
    </row>
    <row r="75" spans="2:8" outlineLevel="1" x14ac:dyDescent="0.2">
      <c r="B75" s="223" t="str">
        <f>'[2]Data Sheet'!B109</f>
        <v>Inventory</v>
      </c>
      <c r="C75" s="224">
        <f>IFERROR('[2]Data Sheet'!C109,0)</f>
        <v>4061</v>
      </c>
      <c r="D75" s="224">
        <f>IFERROR('[2]Data Sheet'!D109,0)</f>
        <v>6580</v>
      </c>
      <c r="E75" s="224">
        <f>IFERROR('[2]Data Sheet'!E109,0)</f>
        <v>4946</v>
      </c>
      <c r="F75" s="224">
        <f>IFERROR('[2]Data Sheet'!F109,0)</f>
        <v>6331</v>
      </c>
      <c r="G75" s="224">
        <f>IFERROR('[2]Data Sheet'!G109,0)</f>
        <v>7286</v>
      </c>
      <c r="H75" s="224">
        <f>IFERROR('[2]Data Sheet'!H109,0)</f>
        <v>6911</v>
      </c>
    </row>
    <row r="76" spans="2:8" outlineLevel="1" x14ac:dyDescent="0.2">
      <c r="B76" s="223" t="str">
        <f>'[2]Data Sheet'!B110</f>
        <v>Other Current Assets</v>
      </c>
      <c r="C76" s="224">
        <f>IFERROR('[2]Data Sheet'!C110,0)</f>
        <v>11264</v>
      </c>
      <c r="D76" s="224">
        <f>IFERROR('[2]Data Sheet'!D110,0)</f>
        <v>14111</v>
      </c>
      <c r="E76" s="224">
        <f>IFERROR('[2]Data Sheet'!E110,0)</f>
        <v>21223</v>
      </c>
      <c r="F76" s="224">
        <f>IFERROR('[2]Data Sheet'!F110,0)</f>
        <v>14695</v>
      </c>
      <c r="G76" s="224">
        <f>IFERROR('[2]Data Sheet'!G110,0)</f>
        <v>14287</v>
      </c>
      <c r="H76" s="224">
        <f>IFERROR('[2]Data Sheet'!H110,0)</f>
        <v>13248</v>
      </c>
    </row>
    <row r="77" spans="2:8" outlineLevel="1" x14ac:dyDescent="0.2">
      <c r="B77" s="201" t="s">
        <v>225</v>
      </c>
      <c r="C77" s="227">
        <f>IFERROR(SUM(C78:C79),0)</f>
        <v>45336</v>
      </c>
      <c r="D77" s="227">
        <f t="shared" ref="D77:H77" si="17">IFERROR(SUM(D78:D79),0)</f>
        <v>49527</v>
      </c>
      <c r="E77" s="227">
        <f t="shared" si="17"/>
        <v>52534</v>
      </c>
      <c r="F77" s="227">
        <f t="shared" si="17"/>
        <v>43715</v>
      </c>
      <c r="G77" s="227">
        <f t="shared" si="17"/>
        <v>45680</v>
      </c>
      <c r="H77" s="227">
        <f t="shared" si="17"/>
        <v>46069</v>
      </c>
    </row>
    <row r="78" spans="2:8" outlineLevel="1" x14ac:dyDescent="0.2">
      <c r="B78" s="223" t="str">
        <f>'[2]Data Sheet'!B113</f>
        <v>Gross Property, Plant &amp; Equipment</v>
      </c>
      <c r="C78" s="224">
        <f>IFERROR('[2]Data Sheet'!C113,0)</f>
        <v>112096</v>
      </c>
      <c r="D78" s="224">
        <f>IFERROR('[2]Data Sheet'!D113,0)</f>
        <v>119810</v>
      </c>
      <c r="E78" s="224">
        <f>IFERROR('[2]Data Sheet'!E113,0)</f>
        <v>124874</v>
      </c>
      <c r="F78" s="224">
        <f>IFERROR('[2]Data Sheet'!F113,0)</f>
        <v>114599</v>
      </c>
      <c r="G78" s="224">
        <f>IFERROR('[2]Data Sheet'!G113,0)</f>
        <v>119128</v>
      </c>
      <c r="H78" s="224">
        <f>IFERROR('[2]Data Sheet'!H113,0)</f>
        <v>120615</v>
      </c>
    </row>
    <row r="79" spans="2:8" outlineLevel="1" x14ac:dyDescent="0.2">
      <c r="B79" s="223" t="str">
        <f>'[2]Data Sheet'!B114</f>
        <v>Accumulated Depreciation</v>
      </c>
      <c r="C79" s="224">
        <f>IFERROR('[2]Data Sheet'!C114,0)</f>
        <v>-66760</v>
      </c>
      <c r="D79" s="224">
        <f>IFERROR('[2]Data Sheet'!D114,0)</f>
        <v>-70283</v>
      </c>
      <c r="E79" s="224">
        <f>IFERROR('[2]Data Sheet'!E114,0)</f>
        <v>-72340</v>
      </c>
      <c r="F79" s="224">
        <f>IFERROR('[2]Data Sheet'!F114,0)</f>
        <v>-70884</v>
      </c>
      <c r="G79" s="224">
        <f>IFERROR('[2]Data Sheet'!G114,0)</f>
        <v>-73448</v>
      </c>
      <c r="H79" s="224">
        <f>IFERROR('[2]Data Sheet'!H114,0)</f>
        <v>-74546</v>
      </c>
    </row>
    <row r="80" spans="2:8" outlineLevel="1" x14ac:dyDescent="0.2">
      <c r="B80" s="4" t="str">
        <f>'[2]Data Sheet'!B117</f>
        <v>Long-term Investments</v>
      </c>
      <c r="C80" s="224">
        <f>IFERROR('[2]Data Sheet'!C117,0)</f>
        <v>100887</v>
      </c>
      <c r="D80" s="224">
        <f>IFERROR('[2]Data Sheet'!D117,0)</f>
        <v>127877</v>
      </c>
      <c r="E80" s="224">
        <f>IFERROR('[2]Data Sheet'!E117,0)</f>
        <v>120805</v>
      </c>
      <c r="F80" s="224">
        <f>IFERROR('[2]Data Sheet'!F117,0)</f>
        <v>100544</v>
      </c>
      <c r="G80" s="224">
        <f>IFERROR('[2]Data Sheet'!G117,0)</f>
        <v>91479</v>
      </c>
      <c r="H80" s="224">
        <f>IFERROR('[2]Data Sheet'!H117,0)</f>
        <v>87593</v>
      </c>
    </row>
    <row r="81" spans="1:8" outlineLevel="1" x14ac:dyDescent="0.2">
      <c r="B81" s="4" t="str">
        <f>'[2]Data Sheet'!B118</f>
        <v>Deferred Tax Assets, LT</v>
      </c>
      <c r="C81" s="224" t="str">
        <f>IFERROR('[2]Data Sheet'!C118,0)</f>
        <v>-</v>
      </c>
      <c r="D81" s="224" t="str">
        <f>IFERROR('[2]Data Sheet'!D118,0)</f>
        <v>-</v>
      </c>
      <c r="E81" s="224" t="str">
        <f>IFERROR('[2]Data Sheet'!E118,0)</f>
        <v>-</v>
      </c>
      <c r="F81" s="224">
        <f>IFERROR('[2]Data Sheet'!F118,0)</f>
        <v>17852</v>
      </c>
      <c r="G81" s="224">
        <f>IFERROR('[2]Data Sheet'!G118,0)</f>
        <v>19499</v>
      </c>
      <c r="H81" s="224" t="str">
        <f>IFERROR('[2]Data Sheet'!H118,0)</f>
        <v>-</v>
      </c>
    </row>
    <row r="82" spans="1:8" outlineLevel="1" x14ac:dyDescent="0.2">
      <c r="B82" s="4" t="str">
        <f>'[2]Data Sheet'!B119</f>
        <v>Other Long-Term Assets</v>
      </c>
      <c r="C82" s="224">
        <f>IFERROR('[2]Data Sheet'!C119,0)</f>
        <v>33952</v>
      </c>
      <c r="D82" s="224">
        <f>IFERROR('[2]Data Sheet'!D119,0)</f>
        <v>38762</v>
      </c>
      <c r="E82" s="224">
        <f>IFERROR('[2]Data Sheet'!E119,0)</f>
        <v>44011</v>
      </c>
      <c r="F82" s="224">
        <f>IFERROR('[2]Data Sheet'!F119,0)</f>
        <v>46906</v>
      </c>
      <c r="G82" s="224">
        <f>IFERROR('[2]Data Sheet'!G119,0)</f>
        <v>55335</v>
      </c>
      <c r="H82" s="224">
        <f>IFERROR('[2]Data Sheet'!H119,0)</f>
        <v>77183</v>
      </c>
    </row>
    <row r="83" spans="1:8" outlineLevel="1" x14ac:dyDescent="0.2">
      <c r="B83" s="228" t="s">
        <v>226</v>
      </c>
      <c r="C83" s="229">
        <f>IFERROR(SUM(C70,C77,C80:C82),0)</f>
        <v>323888</v>
      </c>
      <c r="D83" s="229">
        <f t="shared" ref="D83:H83" si="18">IFERROR(SUM(D70,D77,D80:D82),0)</f>
        <v>351002</v>
      </c>
      <c r="E83" s="229">
        <f t="shared" si="18"/>
        <v>352755</v>
      </c>
      <c r="F83" s="229">
        <f t="shared" si="18"/>
        <v>352583</v>
      </c>
      <c r="G83" s="229">
        <f t="shared" si="18"/>
        <v>364980</v>
      </c>
      <c r="H83" s="229">
        <f t="shared" si="18"/>
        <v>344085</v>
      </c>
    </row>
    <row r="84" spans="1:8" outlineLevel="1" x14ac:dyDescent="0.2"/>
    <row r="85" spans="1:8" outlineLevel="1" x14ac:dyDescent="0.2">
      <c r="B85" t="s">
        <v>227</v>
      </c>
      <c r="C85" t="b">
        <f t="shared" ref="C85:H85" si="19">C68=C83</f>
        <v>1</v>
      </c>
      <c r="D85" t="b">
        <f t="shared" si="19"/>
        <v>1</v>
      </c>
      <c r="E85" t="b">
        <f t="shared" si="19"/>
        <v>1</v>
      </c>
      <c r="F85" t="b">
        <f t="shared" si="19"/>
        <v>1</v>
      </c>
      <c r="G85" t="b">
        <f t="shared" si="19"/>
        <v>1</v>
      </c>
      <c r="H85" t="b">
        <f t="shared" si="19"/>
        <v>1</v>
      </c>
    </row>
    <row r="87" spans="1:8" x14ac:dyDescent="0.2">
      <c r="A87" t="s">
        <v>0</v>
      </c>
      <c r="B87" s="207" t="s">
        <v>133</v>
      </c>
      <c r="C87" s="208"/>
      <c r="D87" s="208"/>
      <c r="E87" s="208"/>
      <c r="F87" s="208"/>
      <c r="G87" s="208"/>
      <c r="H87" s="208"/>
    </row>
    <row r="88" spans="1:8" outlineLevel="1" x14ac:dyDescent="0.2">
      <c r="B88" s="178" t="s">
        <v>228</v>
      </c>
      <c r="C88" s="27"/>
      <c r="D88" s="27"/>
      <c r="E88" s="27"/>
      <c r="F88" s="27"/>
      <c r="G88" s="27"/>
      <c r="H88" s="27"/>
    </row>
    <row r="89" spans="1:8" outlineLevel="1" x14ac:dyDescent="0.2">
      <c r="B89" t="str">
        <f>'[2]Data Sheet'!B172</f>
        <v>Net Income</v>
      </c>
      <c r="C89" s="226">
        <f>IFERROR('[2]Data Sheet'!C172,0)</f>
        <v>57411</v>
      </c>
      <c r="D89" s="226">
        <f>IFERROR('[2]Data Sheet'!D172,0)</f>
        <v>94680</v>
      </c>
      <c r="E89" s="226">
        <f>IFERROR('[2]Data Sheet'!E172,0)</f>
        <v>99803</v>
      </c>
      <c r="F89" s="226">
        <f>IFERROR('[2]Data Sheet'!F172,0)</f>
        <v>96995</v>
      </c>
      <c r="G89" s="226">
        <f>IFERROR('[2]Data Sheet'!G172,0)</f>
        <v>93736</v>
      </c>
      <c r="H89" s="226">
        <f>IFERROR('[2]Data Sheet'!H172,0)</f>
        <v>96150</v>
      </c>
    </row>
    <row r="90" spans="1:8" outlineLevel="1" x14ac:dyDescent="0.2">
      <c r="B90" s="4" t="str">
        <f>'[2]Data Sheet'!B173</f>
        <v>Depreciation &amp; Amort.</v>
      </c>
      <c r="C90" s="224">
        <f>IFERROR('[2]Data Sheet'!C173,0)</f>
        <v>11056</v>
      </c>
      <c r="D90" s="224">
        <f>IFERROR('[2]Data Sheet'!D173,0)</f>
        <v>11284</v>
      </c>
      <c r="E90" s="224">
        <f>IFERROR('[2]Data Sheet'!E173,0)</f>
        <v>11104</v>
      </c>
      <c r="F90" s="224">
        <f>IFERROR('[2]Data Sheet'!F173,0)</f>
        <v>11519</v>
      </c>
      <c r="G90" s="224">
        <f>IFERROR('[2]Data Sheet'!G173,0)</f>
        <v>11445</v>
      </c>
      <c r="H90" s="224">
        <f>IFERROR('[2]Data Sheet'!H173,0)</f>
        <v>11677</v>
      </c>
    </row>
    <row r="91" spans="1:8" outlineLevel="1" x14ac:dyDescent="0.2">
      <c r="B91" s="4" t="str">
        <f>'[2]Data Sheet'!B176</f>
        <v>Stock-Based Compensation</v>
      </c>
      <c r="C91" s="224">
        <f>IFERROR('[2]Data Sheet'!C176,0)</f>
        <v>6829</v>
      </c>
      <c r="D91" s="224">
        <f>IFERROR('[2]Data Sheet'!D176,0)</f>
        <v>7906</v>
      </c>
      <c r="E91" s="224">
        <f>IFERROR('[2]Data Sheet'!E176,0)</f>
        <v>9038</v>
      </c>
      <c r="F91" s="224">
        <f>IFERROR('[2]Data Sheet'!F176,0)</f>
        <v>10833</v>
      </c>
      <c r="G91" s="224">
        <f>IFERROR('[2]Data Sheet'!G176,0)</f>
        <v>11688</v>
      </c>
      <c r="H91" s="224">
        <f>IFERROR('[2]Data Sheet'!H176,0)</f>
        <v>11977</v>
      </c>
    </row>
    <row r="92" spans="1:8" outlineLevel="1" x14ac:dyDescent="0.2">
      <c r="B92" s="4" t="str">
        <f>'[2]Data Sheet'!B177</f>
        <v>Other Operating Activities</v>
      </c>
      <c r="C92" s="224">
        <f>IFERROR('[2]Data Sheet'!C177,0)</f>
        <v>-312</v>
      </c>
      <c r="D92" s="224">
        <f>IFERROR('[2]Data Sheet'!D177,0)</f>
        <v>-4921</v>
      </c>
      <c r="E92" s="224">
        <f>IFERROR('[2]Data Sheet'!E177,0)</f>
        <v>1006</v>
      </c>
      <c r="F92" s="224">
        <f>IFERROR('[2]Data Sheet'!F177,0)</f>
        <v>-2227</v>
      </c>
      <c r="G92" s="224">
        <f>IFERROR('[2]Data Sheet'!G177,0)</f>
        <v>-2266</v>
      </c>
      <c r="H92" s="224">
        <f>IFERROR('[2]Data Sheet'!H177,0)</f>
        <v>-3286</v>
      </c>
    </row>
    <row r="93" spans="1:8" outlineLevel="1" x14ac:dyDescent="0.2">
      <c r="B93" s="4" t="str">
        <f>'[2]Data Sheet'!B178</f>
        <v>Change in Acc. Receivable</v>
      </c>
      <c r="C93" s="224">
        <f>IFERROR('[2]Data Sheet'!C178,0)</f>
        <v>6917</v>
      </c>
      <c r="D93" s="224">
        <f>IFERROR('[2]Data Sheet'!D178,0)</f>
        <v>-10125</v>
      </c>
      <c r="E93" s="224">
        <f>IFERROR('[2]Data Sheet'!E178,0)</f>
        <v>-1823</v>
      </c>
      <c r="F93" s="224">
        <f>IFERROR('[2]Data Sheet'!F178,0)</f>
        <v>-1688</v>
      </c>
      <c r="G93" s="224">
        <f>IFERROR('[2]Data Sheet'!G178,0)</f>
        <v>-3788</v>
      </c>
      <c r="H93" s="224">
        <f>IFERROR('[2]Data Sheet'!H178,0)</f>
        <v>-6746</v>
      </c>
    </row>
    <row r="94" spans="1:8" outlineLevel="1" x14ac:dyDescent="0.2">
      <c r="B94" s="4" t="str">
        <f>'[2]Data Sheet'!B179</f>
        <v>Change In Inventories</v>
      </c>
      <c r="C94" s="224">
        <f>IFERROR('[2]Data Sheet'!C179,0)</f>
        <v>-127</v>
      </c>
      <c r="D94" s="224">
        <f>IFERROR('[2]Data Sheet'!D179,0)</f>
        <v>-2642</v>
      </c>
      <c r="E94" s="224">
        <f>IFERROR('[2]Data Sheet'!E179,0)</f>
        <v>1484</v>
      </c>
      <c r="F94" s="224">
        <f>IFERROR('[2]Data Sheet'!F179,0)</f>
        <v>-1618</v>
      </c>
      <c r="G94" s="224">
        <f>IFERROR('[2]Data Sheet'!G179,0)</f>
        <v>-1046</v>
      </c>
      <c r="H94" s="224">
        <f>IFERROR('[2]Data Sheet'!H179,0)</f>
        <v>-694</v>
      </c>
    </row>
    <row r="95" spans="1:8" outlineLevel="1" x14ac:dyDescent="0.2">
      <c r="B95" s="4" t="str">
        <f>'[2]Data Sheet'!B180</f>
        <v>Change in Acc. Payable</v>
      </c>
      <c r="C95" s="224">
        <f>IFERROR('[2]Data Sheet'!C180,0)</f>
        <v>-4062</v>
      </c>
      <c r="D95" s="224">
        <f>IFERROR('[2]Data Sheet'!D180,0)</f>
        <v>12326</v>
      </c>
      <c r="E95" s="224">
        <f>IFERROR('[2]Data Sheet'!E180,0)</f>
        <v>9448</v>
      </c>
      <c r="F95" s="224">
        <f>IFERROR('[2]Data Sheet'!F180,0)</f>
        <v>-1889</v>
      </c>
      <c r="G95" s="224">
        <f>IFERROR('[2]Data Sheet'!G180,0)</f>
        <v>6020</v>
      </c>
      <c r="H95" s="224">
        <f>IFERROR('[2]Data Sheet'!H180,0)</f>
        <v>3891</v>
      </c>
    </row>
    <row r="96" spans="1:8" outlineLevel="1" x14ac:dyDescent="0.2">
      <c r="B96" s="4" t="str">
        <f>'[2]Data Sheet'!B181</f>
        <v>Change in Unearned Rev.</v>
      </c>
      <c r="C96" s="224">
        <f>IFERROR('[2]Data Sheet'!C181,0)</f>
        <v>2081</v>
      </c>
      <c r="D96" s="224" t="str">
        <f>IFERROR('[2]Data Sheet'!D181,0)</f>
        <v>-</v>
      </c>
      <c r="E96" s="224" t="str">
        <f>IFERROR('[2]Data Sheet'!E181,0)</f>
        <v>-</v>
      </c>
      <c r="F96" s="224" t="str">
        <f>IFERROR('[2]Data Sheet'!F181,0)</f>
        <v>-</v>
      </c>
      <c r="G96" s="224" t="str">
        <f>IFERROR('[2]Data Sheet'!G181,0)</f>
        <v>-</v>
      </c>
      <c r="H96" s="224" t="str">
        <f>IFERROR('[2]Data Sheet'!H181,0)</f>
        <v>-</v>
      </c>
    </row>
    <row r="97" spans="2:8" outlineLevel="1" x14ac:dyDescent="0.2">
      <c r="B97" t="str">
        <f>'[2]Data Sheet'!B182</f>
        <v>Change in Other Net Operating Assets</v>
      </c>
      <c r="C97" s="226">
        <f>IFERROR('[2]Data Sheet'!C182,0)</f>
        <v>881</v>
      </c>
      <c r="D97" s="226">
        <f>IFERROR('[2]Data Sheet'!D182,0)</f>
        <v>-4470</v>
      </c>
      <c r="E97" s="226">
        <f>IFERROR('[2]Data Sheet'!E182,0)</f>
        <v>-7909</v>
      </c>
      <c r="F97" s="226">
        <f>IFERROR('[2]Data Sheet'!F182,0)</f>
        <v>-1382</v>
      </c>
      <c r="G97" s="226">
        <f>IFERROR('[2]Data Sheet'!G182,0)</f>
        <v>2465</v>
      </c>
      <c r="H97" s="226">
        <f>IFERROR('[2]Data Sheet'!H182,0)</f>
        <v>-4675</v>
      </c>
    </row>
    <row r="98" spans="2:8" outlineLevel="1" x14ac:dyDescent="0.2">
      <c r="B98" s="230" t="s">
        <v>229</v>
      </c>
      <c r="C98" s="231">
        <f>IFERROR(SUM(C89:C97),0)</f>
        <v>80674</v>
      </c>
      <c r="D98" s="231">
        <f t="shared" ref="D98:H98" si="20">IFERROR(SUM(D89:D97),0)</f>
        <v>104038</v>
      </c>
      <c r="E98" s="231">
        <f t="shared" si="20"/>
        <v>122151</v>
      </c>
      <c r="F98" s="231">
        <f t="shared" si="20"/>
        <v>110543</v>
      </c>
      <c r="G98" s="231">
        <f t="shared" si="20"/>
        <v>118254</v>
      </c>
      <c r="H98" s="231">
        <f t="shared" si="20"/>
        <v>108294</v>
      </c>
    </row>
    <row r="99" spans="2:8" outlineLevel="1" x14ac:dyDescent="0.2">
      <c r="C99" s="226"/>
      <c r="D99" s="226"/>
      <c r="E99" s="226"/>
      <c r="F99" s="226"/>
      <c r="G99" s="226"/>
      <c r="H99" s="226"/>
    </row>
    <row r="100" spans="2:8" outlineLevel="1" x14ac:dyDescent="0.2">
      <c r="B100" s="178" t="s">
        <v>230</v>
      </c>
      <c r="C100" s="232"/>
      <c r="D100" s="232"/>
      <c r="E100" s="232"/>
      <c r="F100" s="232"/>
      <c r="G100" s="232"/>
      <c r="H100" s="232"/>
    </row>
    <row r="101" spans="2:8" outlineLevel="1" x14ac:dyDescent="0.2">
      <c r="B101" t="str">
        <f>'[2]Data Sheet'!B185</f>
        <v>Capital Expenditure</v>
      </c>
      <c r="C101" s="226">
        <f>IFERROR('[2]Data Sheet'!C185,0)</f>
        <v>-7309</v>
      </c>
      <c r="D101" s="226">
        <f>IFERROR('[2]Data Sheet'!D185,0)</f>
        <v>-11085</v>
      </c>
      <c r="E101" s="226">
        <f>IFERROR('[2]Data Sheet'!E185,0)</f>
        <v>-10708</v>
      </c>
      <c r="F101" s="226">
        <f>IFERROR('[2]Data Sheet'!F185,0)</f>
        <v>-10959</v>
      </c>
      <c r="G101" s="226">
        <f>IFERROR('[2]Data Sheet'!G185,0)</f>
        <v>-9447</v>
      </c>
      <c r="H101" s="226">
        <f>IFERROR('[2]Data Sheet'!H185,0)</f>
        <v>-9995</v>
      </c>
    </row>
    <row r="102" spans="2:8" outlineLevel="1" x14ac:dyDescent="0.2">
      <c r="B102" s="4" t="str">
        <f>'[2]Data Sheet'!B186</f>
        <v>Cash Acquisitions</v>
      </c>
      <c r="C102" s="224">
        <f>IFERROR('[2]Data Sheet'!C186,0)</f>
        <v>-1524</v>
      </c>
      <c r="D102" s="224" t="str">
        <f>IFERROR('[2]Data Sheet'!D186,0)</f>
        <v>-</v>
      </c>
      <c r="E102" s="224" t="str">
        <f>IFERROR('[2]Data Sheet'!E186,0)</f>
        <v>-</v>
      </c>
      <c r="F102" s="224" t="str">
        <f>IFERROR('[2]Data Sheet'!F186,0)</f>
        <v>-</v>
      </c>
      <c r="G102" s="224" t="str">
        <f>IFERROR('[2]Data Sheet'!G186,0)</f>
        <v>-</v>
      </c>
      <c r="H102" s="224" t="str">
        <f>IFERROR('[2]Data Sheet'!H186,0)</f>
        <v>-</v>
      </c>
    </row>
    <row r="103" spans="2:8" outlineLevel="1" x14ac:dyDescent="0.2">
      <c r="B103" s="4" t="str">
        <f>'[2]Data Sheet'!B187</f>
        <v>Divestitures</v>
      </c>
      <c r="C103" s="224" t="str">
        <f>IFERROR('[2]Data Sheet'!C187,0)</f>
        <v>-</v>
      </c>
      <c r="D103" s="224" t="str">
        <f>IFERROR('[2]Data Sheet'!D187,0)</f>
        <v>-</v>
      </c>
      <c r="E103" s="224" t="str">
        <f>IFERROR('[2]Data Sheet'!E187,0)</f>
        <v>-</v>
      </c>
      <c r="F103" s="224" t="str">
        <f>IFERROR('[2]Data Sheet'!F187,0)</f>
        <v>-</v>
      </c>
      <c r="G103" s="224" t="str">
        <f>IFERROR('[2]Data Sheet'!G187,0)</f>
        <v>-</v>
      </c>
      <c r="H103" s="224" t="str">
        <f>IFERROR('[2]Data Sheet'!H187,0)</f>
        <v>-</v>
      </c>
    </row>
    <row r="104" spans="2:8" outlineLevel="1" x14ac:dyDescent="0.2">
      <c r="B104" s="4" t="str">
        <f>'[2]Data Sheet'!B188</f>
        <v>Invest. in Marketable &amp; Equity Securt.</v>
      </c>
      <c r="C104" s="224">
        <f>IFERROR('[2]Data Sheet'!C188,0)</f>
        <v>5453</v>
      </c>
      <c r="D104" s="224">
        <f>IFERROR('[2]Data Sheet'!D188,0)</f>
        <v>-3075</v>
      </c>
      <c r="E104" s="224">
        <f>IFERROR('[2]Data Sheet'!E188,0)</f>
        <v>-9560</v>
      </c>
      <c r="F104" s="224">
        <f>IFERROR('[2]Data Sheet'!F188,0)</f>
        <v>16001</v>
      </c>
      <c r="G104" s="224">
        <f>IFERROR('[2]Data Sheet'!G188,0)</f>
        <v>13690</v>
      </c>
      <c r="H104" s="224">
        <f>IFERROR('[2]Data Sheet'!H188,0)</f>
        <v>22422</v>
      </c>
    </row>
    <row r="105" spans="2:8" outlineLevel="1" x14ac:dyDescent="0.2">
      <c r="B105" s="4" t="str">
        <f>'[2]Data Sheet'!B189</f>
        <v>Net (Inc.) Dec. in Loans Originated/Sold</v>
      </c>
      <c r="C105" s="224" t="str">
        <f>IFERROR('[2]Data Sheet'!C189,0)</f>
        <v>-</v>
      </c>
      <c r="D105" s="224" t="str">
        <f>IFERROR('[2]Data Sheet'!D189,0)</f>
        <v>-</v>
      </c>
      <c r="E105" s="224" t="str">
        <f>IFERROR('[2]Data Sheet'!E189,0)</f>
        <v>-</v>
      </c>
      <c r="F105" s="224" t="str">
        <f>IFERROR('[2]Data Sheet'!F189,0)</f>
        <v>-</v>
      </c>
      <c r="G105" s="224" t="str">
        <f>IFERROR('[2]Data Sheet'!G189,0)</f>
        <v>-</v>
      </c>
      <c r="H105" s="224" t="str">
        <f>IFERROR('[2]Data Sheet'!H189,0)</f>
        <v>-</v>
      </c>
    </row>
    <row r="106" spans="2:8" outlineLevel="1" x14ac:dyDescent="0.2">
      <c r="B106" s="4" t="str">
        <f>'[2]Data Sheet'!B190</f>
        <v>Other Investing Activities</v>
      </c>
      <c r="C106" s="224">
        <f>IFERROR('[2]Data Sheet'!C190,0)</f>
        <v>-909</v>
      </c>
      <c r="D106" s="224">
        <f>IFERROR('[2]Data Sheet'!D190,0)</f>
        <v>-385</v>
      </c>
      <c r="E106" s="224">
        <f>IFERROR('[2]Data Sheet'!E190,0)</f>
        <v>-2086</v>
      </c>
      <c r="F106" s="224">
        <f>IFERROR('[2]Data Sheet'!F190,0)</f>
        <v>-1337</v>
      </c>
      <c r="G106" s="224">
        <f>IFERROR('[2]Data Sheet'!G190,0)</f>
        <v>-1308</v>
      </c>
      <c r="H106" s="224">
        <f>IFERROR('[2]Data Sheet'!H190,0)</f>
        <v>-1627</v>
      </c>
    </row>
    <row r="107" spans="2:8" outlineLevel="1" x14ac:dyDescent="0.2">
      <c r="B107" s="233" t="s">
        <v>229</v>
      </c>
      <c r="C107" s="234">
        <f>IFERROR(SUM(C101:C106),0)</f>
        <v>-4289</v>
      </c>
      <c r="D107" s="234">
        <f t="shared" ref="D107:H107" si="21">IFERROR(SUM(D101:D106),0)</f>
        <v>-14545</v>
      </c>
      <c r="E107" s="234">
        <f t="shared" si="21"/>
        <v>-22354</v>
      </c>
      <c r="F107" s="234">
        <f t="shared" si="21"/>
        <v>3705</v>
      </c>
      <c r="G107" s="234">
        <f t="shared" si="21"/>
        <v>2935</v>
      </c>
      <c r="H107" s="234">
        <f t="shared" si="21"/>
        <v>10800</v>
      </c>
    </row>
    <row r="108" spans="2:8" outlineLevel="1" x14ac:dyDescent="0.2">
      <c r="C108" s="226"/>
      <c r="D108" s="226"/>
      <c r="E108" s="226"/>
      <c r="F108" s="226"/>
      <c r="G108" s="226"/>
      <c r="H108" s="226"/>
    </row>
    <row r="109" spans="2:8" outlineLevel="1" x14ac:dyDescent="0.2">
      <c r="B109" s="178" t="s">
        <v>231</v>
      </c>
      <c r="C109" s="232"/>
      <c r="D109" s="232"/>
      <c r="E109" s="232"/>
      <c r="F109" s="232"/>
      <c r="G109" s="232"/>
      <c r="H109" s="232"/>
    </row>
    <row r="110" spans="2:8" outlineLevel="1" x14ac:dyDescent="0.2">
      <c r="B110" s="16" t="str">
        <f>'[2]Data Sheet'!B195</f>
        <v>Total Debt Issued</v>
      </c>
      <c r="C110" s="222">
        <f>IFERROR(SUM(C111:C112),0)</f>
        <v>16091</v>
      </c>
      <c r="D110" s="222">
        <f t="shared" ref="D110:G110" si="22">IFERROR(SUM(D111:D112),0)</f>
        <v>21415</v>
      </c>
      <c r="E110" s="222">
        <f t="shared" si="22"/>
        <v>9420</v>
      </c>
      <c r="F110" s="222">
        <f t="shared" si="22"/>
        <v>5228</v>
      </c>
      <c r="G110" s="222">
        <f t="shared" si="22"/>
        <v>3960</v>
      </c>
      <c r="H110" s="222">
        <f>'[2]Data Sheet'!H195</f>
        <v>3960</v>
      </c>
    </row>
    <row r="111" spans="2:8" outlineLevel="1" x14ac:dyDescent="0.2">
      <c r="B111" s="223" t="str">
        <f>'[2]Data Sheet'!B193</f>
        <v>Short Term Debt Issued</v>
      </c>
      <c r="C111" s="224" t="str">
        <f>IFERROR('[2]Data Sheet'!C193,0)</f>
        <v>-</v>
      </c>
      <c r="D111" s="224">
        <f>IFERROR('[2]Data Sheet'!D193,0)</f>
        <v>1022</v>
      </c>
      <c r="E111" s="224">
        <f>IFERROR('[2]Data Sheet'!E193,0)</f>
        <v>3955</v>
      </c>
      <c r="F111" s="224" t="str">
        <f>IFERROR('[2]Data Sheet'!F193,0)</f>
        <v>-</v>
      </c>
      <c r="G111" s="224">
        <f>IFERROR('[2]Data Sheet'!G193,0)</f>
        <v>3960</v>
      </c>
      <c r="H111" s="224" t="str">
        <f>IFERROR('[2]Data Sheet'!H193,0)</f>
        <v>-</v>
      </c>
    </row>
    <row r="112" spans="2:8" outlineLevel="1" x14ac:dyDescent="0.2">
      <c r="B112" s="223" t="str">
        <f>'[2]Data Sheet'!B194</f>
        <v>Long-Term Debt Issued</v>
      </c>
      <c r="C112" s="224">
        <f>IFERROR('[2]Data Sheet'!C194,0)</f>
        <v>16091</v>
      </c>
      <c r="D112" s="224">
        <f>IFERROR('[2]Data Sheet'!D194,0)</f>
        <v>20393</v>
      </c>
      <c r="E112" s="224">
        <f>IFERROR('[2]Data Sheet'!E194,0)</f>
        <v>5465</v>
      </c>
      <c r="F112" s="224">
        <f>IFERROR('[2]Data Sheet'!F194,0)</f>
        <v>5228</v>
      </c>
      <c r="G112" s="224" t="str">
        <f>IFERROR('[2]Data Sheet'!G194,0)</f>
        <v>-</v>
      </c>
      <c r="H112" s="224" t="str">
        <f>IFERROR('[2]Data Sheet'!H194,0)</f>
        <v>-</v>
      </c>
    </row>
    <row r="113" spans="2:8" outlineLevel="1" x14ac:dyDescent="0.2">
      <c r="B113" s="201" t="str">
        <f>'[2]Data Sheet'!B198</f>
        <v>Total Debt Repaid</v>
      </c>
      <c r="C113" s="227">
        <f>IFERROR(SUM(C114:C115),0)</f>
        <v>-13592</v>
      </c>
      <c r="D113" s="227">
        <f t="shared" ref="D113:G113" si="23">IFERROR(SUM(D114:D115),0)</f>
        <v>-8750</v>
      </c>
      <c r="E113" s="227">
        <f t="shared" si="23"/>
        <v>-9543</v>
      </c>
      <c r="F113" s="227">
        <f t="shared" si="23"/>
        <v>-15129</v>
      </c>
      <c r="G113" s="227">
        <f t="shared" si="23"/>
        <v>-9958</v>
      </c>
      <c r="H113" s="227">
        <f>'[2]Data Sheet'!H198</f>
        <v>-14927</v>
      </c>
    </row>
    <row r="114" spans="2:8" outlineLevel="1" x14ac:dyDescent="0.2">
      <c r="B114" s="223" t="str">
        <f>'[2]Data Sheet'!B196</f>
        <v>Short Term Debt Repaid</v>
      </c>
      <c r="C114" s="224">
        <f>IFERROR('[2]Data Sheet'!C196,0)</f>
        <v>-963</v>
      </c>
      <c r="D114" s="224" t="str">
        <f>IFERROR('[2]Data Sheet'!D196,0)</f>
        <v>-</v>
      </c>
      <c r="E114" s="224" t="str">
        <f>IFERROR('[2]Data Sheet'!E196,0)</f>
        <v>-</v>
      </c>
      <c r="F114" s="224">
        <f>IFERROR('[2]Data Sheet'!F196,0)</f>
        <v>-3978</v>
      </c>
      <c r="G114" s="224" t="str">
        <f>IFERROR('[2]Data Sheet'!G196,0)</f>
        <v>-</v>
      </c>
      <c r="H114" s="224" t="str">
        <f>IFERROR('[2]Data Sheet'!H196,0)</f>
        <v>-</v>
      </c>
    </row>
    <row r="115" spans="2:8" outlineLevel="1" x14ac:dyDescent="0.2">
      <c r="B115" s="223" t="str">
        <f>'[2]Data Sheet'!B197</f>
        <v>Long-Term Debt Repaid</v>
      </c>
      <c r="C115" s="224">
        <f>IFERROR('[2]Data Sheet'!C197,0)</f>
        <v>-12629</v>
      </c>
      <c r="D115" s="224">
        <f>IFERROR('[2]Data Sheet'!D197,0)</f>
        <v>-8750</v>
      </c>
      <c r="E115" s="224">
        <f>IFERROR('[2]Data Sheet'!E197,0)</f>
        <v>-9543</v>
      </c>
      <c r="F115" s="224">
        <f>IFERROR('[2]Data Sheet'!F197,0)</f>
        <v>-11151</v>
      </c>
      <c r="G115" s="224">
        <f>IFERROR('[2]Data Sheet'!G197,0)</f>
        <v>-9958</v>
      </c>
      <c r="H115" s="224" t="str">
        <f>IFERROR('[2]Data Sheet'!H197,0)</f>
        <v>-</v>
      </c>
    </row>
    <row r="116" spans="2:8" outlineLevel="1" x14ac:dyDescent="0.2">
      <c r="B116" s="4" t="str">
        <f>'[2]Data Sheet'!B200</f>
        <v>Repurchase of Common Stock</v>
      </c>
      <c r="C116" s="224">
        <f>IFERROR('[2]Data Sheet'!C200,0)</f>
        <v>-75992</v>
      </c>
      <c r="D116" s="224">
        <f>IFERROR('[2]Data Sheet'!D200,0)</f>
        <v>-92527</v>
      </c>
      <c r="E116" s="224">
        <f>IFERROR('[2]Data Sheet'!E200,0)</f>
        <v>-95625</v>
      </c>
      <c r="F116" s="224">
        <f>IFERROR('[2]Data Sheet'!F200,0)</f>
        <v>-82981</v>
      </c>
      <c r="G116" s="224">
        <f>IFERROR('[2]Data Sheet'!G200,0)</f>
        <v>-100390</v>
      </c>
      <c r="H116" s="224">
        <f>IFERROR('[2]Data Sheet'!H200,0)</f>
        <v>-104187</v>
      </c>
    </row>
    <row r="117" spans="2:8" outlineLevel="1" x14ac:dyDescent="0.2">
      <c r="B117" s="4" t="str">
        <f>'[2]Data Sheet'!B203</f>
        <v>Total Dividends Paid</v>
      </c>
      <c r="C117" s="224">
        <f>IFERROR('[2]Data Sheet'!C203,0)</f>
        <v>-14081</v>
      </c>
      <c r="D117" s="224">
        <f>IFERROR('[2]Data Sheet'!D203,0)</f>
        <v>-14467</v>
      </c>
      <c r="E117" s="224">
        <f>IFERROR('[2]Data Sheet'!E203,0)</f>
        <v>-14841</v>
      </c>
      <c r="F117" s="224">
        <f>IFERROR('[2]Data Sheet'!F203,0)</f>
        <v>-15025</v>
      </c>
      <c r="G117" s="224">
        <f>IFERROR('[2]Data Sheet'!G203,0)</f>
        <v>-15234</v>
      </c>
      <c r="H117" s="224">
        <f>IFERROR('[2]Data Sheet'!H203,0)</f>
        <v>-15265</v>
      </c>
    </row>
    <row r="118" spans="2:8" outlineLevel="1" x14ac:dyDescent="0.2">
      <c r="B118" s="4" t="str">
        <f>'[2]Data Sheet'!B205</f>
        <v>Special Dividend Paid</v>
      </c>
      <c r="C118" s="224" t="str">
        <f>IFERROR('[2]Data Sheet'!C205,0)</f>
        <v>-</v>
      </c>
      <c r="D118" s="224" t="str">
        <f>IFERROR('[2]Data Sheet'!D205,0)</f>
        <v>-</v>
      </c>
      <c r="E118" s="224" t="str">
        <f>IFERROR('[2]Data Sheet'!E205,0)</f>
        <v>-</v>
      </c>
      <c r="F118" s="224" t="str">
        <f>IFERROR('[2]Data Sheet'!F205,0)</f>
        <v>-</v>
      </c>
      <c r="G118" s="224" t="str">
        <f>IFERROR('[2]Data Sheet'!G205,0)</f>
        <v>-</v>
      </c>
      <c r="H118" s="224" t="str">
        <f>IFERROR('[2]Data Sheet'!H205,0)</f>
        <v>-</v>
      </c>
    </row>
    <row r="119" spans="2:8" outlineLevel="1" x14ac:dyDescent="0.2">
      <c r="B119" s="4" t="str">
        <f>'[2]Data Sheet'!B206</f>
        <v>Other Financing Activities</v>
      </c>
      <c r="C119" s="224">
        <f>IFERROR('[2]Data Sheet'!C206,0)</f>
        <v>754</v>
      </c>
      <c r="D119" s="224">
        <f>IFERROR('[2]Data Sheet'!D206,0)</f>
        <v>976</v>
      </c>
      <c r="E119" s="224">
        <f>IFERROR('[2]Data Sheet'!E206,0)</f>
        <v>-160</v>
      </c>
      <c r="F119" s="224">
        <f>IFERROR('[2]Data Sheet'!F206,0)</f>
        <v>-581</v>
      </c>
      <c r="G119" s="224">
        <f>IFERROR('[2]Data Sheet'!G206,0)</f>
        <v>-361</v>
      </c>
      <c r="H119" s="224">
        <f>IFERROR('[2]Data Sheet'!H206,0)</f>
        <v>-350</v>
      </c>
    </row>
    <row r="120" spans="2:8" outlineLevel="1" x14ac:dyDescent="0.2">
      <c r="B120" s="233" t="s">
        <v>232</v>
      </c>
      <c r="C120" s="234">
        <f>IFERROR(SUM(C110,C113,C116:C119),0)</f>
        <v>-86820</v>
      </c>
      <c r="D120" s="234">
        <f t="shared" ref="D120:H120" si="24">IFERROR(SUM(D110,D113,D116:D119),0)</f>
        <v>-93353</v>
      </c>
      <c r="E120" s="234">
        <f t="shared" si="24"/>
        <v>-110749</v>
      </c>
      <c r="F120" s="234">
        <f t="shared" si="24"/>
        <v>-108488</v>
      </c>
      <c r="G120" s="234">
        <f t="shared" si="24"/>
        <v>-121983</v>
      </c>
      <c r="H120" s="234">
        <f t="shared" si="24"/>
        <v>-130769</v>
      </c>
    </row>
    <row r="121" spans="2:8" outlineLevel="1" x14ac:dyDescent="0.2"/>
    <row r="122" spans="2:8" ht="16" outlineLevel="1" thickBot="1" x14ac:dyDescent="0.25">
      <c r="B122" s="235" t="s">
        <v>144</v>
      </c>
      <c r="C122" s="236">
        <f>IFERROR(SUM(C98,C107,C120),0)</f>
        <v>-10435</v>
      </c>
      <c r="D122" s="236">
        <f t="shared" ref="D122:G122" si="25">IFERROR(SUM(D98,D107,D120),0)</f>
        <v>-3860</v>
      </c>
      <c r="E122" s="236">
        <f t="shared" si="25"/>
        <v>-10952</v>
      </c>
      <c r="F122" s="236">
        <f t="shared" si="25"/>
        <v>5760</v>
      </c>
      <c r="G122" s="236">
        <f t="shared" si="25"/>
        <v>-794</v>
      </c>
      <c r="H122" s="236">
        <f>IFERROR(SUM(H98,H107,H120),0)</f>
        <v>-11675</v>
      </c>
    </row>
    <row r="123" spans="2:8" ht="16" thickTop="1" x14ac:dyDescent="0.2"/>
  </sheetData>
  <mergeCells count="1">
    <mergeCell ref="B2:H2"/>
  </mergeCells>
  <conditionalFormatting sqref="C85:H85">
    <cfRule type="containsText" dxfId="1" priority="1" operator="containsText" text="FALSE">
      <formula>NOT(ISERROR(SEARCH("FALSE",C85)))</formula>
    </cfRule>
    <cfRule type="containsText" dxfId="0" priority="2" stopIfTrue="1" operator="containsText" text="TRUE">
      <formula>NOT(ISERROR(SEARCH("TRUE",C85)))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066AB-9DFA-1C44-AFAE-4CAF0CD6D7B8}">
  <dimension ref="A2:J46"/>
  <sheetViews>
    <sheetView showGridLines="0" topLeftCell="A21" workbookViewId="0">
      <selection activeCell="H56" sqref="H56"/>
    </sheetView>
  </sheetViews>
  <sheetFormatPr baseColWidth="10" defaultRowHeight="15" outlineLevelRow="1" x14ac:dyDescent="0.2"/>
  <cols>
    <col min="1" max="1" width="2" customWidth="1"/>
    <col min="2" max="2" width="29.83203125" bestFit="1" customWidth="1"/>
    <col min="8" max="8" width="19.83203125" customWidth="1"/>
  </cols>
  <sheetData>
    <row r="2" spans="1:10" x14ac:dyDescent="0.2">
      <c r="B2" s="370" t="str">
        <f>"Ratio Analysis - "&amp;'[2]Data Sheet'!B1</f>
        <v xml:space="preserve">Ratio Analysis - Apple Inc. </v>
      </c>
      <c r="C2" s="370"/>
      <c r="D2" s="370"/>
      <c r="E2" s="370"/>
      <c r="F2" s="370"/>
      <c r="G2" s="370"/>
      <c r="H2" s="370"/>
      <c r="I2" s="370"/>
      <c r="J2" s="370"/>
    </row>
    <row r="3" spans="1:10" x14ac:dyDescent="0.2">
      <c r="B3" s="1" t="s">
        <v>201</v>
      </c>
      <c r="C3" s="205">
        <f>'[2]Raw FS'!C6</f>
        <v>44075</v>
      </c>
      <c r="D3" s="205">
        <f>'[2]Raw FS'!D6</f>
        <v>44440</v>
      </c>
      <c r="E3" s="205">
        <f>'[2]Raw FS'!E6</f>
        <v>44805</v>
      </c>
      <c r="F3" s="205">
        <f>'[2]Raw FS'!F6</f>
        <v>45170</v>
      </c>
      <c r="G3" s="205">
        <f>'[2]Raw FS'!G6</f>
        <v>45536</v>
      </c>
      <c r="H3" s="204" t="s">
        <v>233</v>
      </c>
      <c r="I3" s="204" t="s">
        <v>234</v>
      </c>
      <c r="J3" s="204" t="s">
        <v>235</v>
      </c>
    </row>
    <row r="4" spans="1:10" ht="16" x14ac:dyDescent="0.2">
      <c r="A4" s="209" t="s">
        <v>0</v>
      </c>
      <c r="B4" s="237" t="s">
        <v>236</v>
      </c>
      <c r="C4" s="208"/>
      <c r="D4" s="208"/>
      <c r="E4" s="208"/>
      <c r="F4" s="208"/>
      <c r="G4" s="208"/>
      <c r="H4" s="208"/>
      <c r="I4" s="208"/>
      <c r="J4" s="208"/>
    </row>
    <row r="5" spans="1:10" ht="16" outlineLevel="1" x14ac:dyDescent="0.2">
      <c r="A5" s="209"/>
      <c r="B5" s="209" t="s">
        <v>237</v>
      </c>
      <c r="D5" s="67">
        <f>'[2]Historical FS'!D11</f>
        <v>0.33259384733074704</v>
      </c>
      <c r="E5" s="67">
        <f>'[2]Historical FS'!E11</f>
        <v>7.7937876041846099E-2</v>
      </c>
      <c r="F5" s="67">
        <f>'[2]Historical FS'!F11</f>
        <v>-2.800460530319937E-2</v>
      </c>
      <c r="G5" s="67">
        <f>'[2]Historical FS'!G11</f>
        <v>2.021994077514111E-2</v>
      </c>
      <c r="I5" s="67">
        <f>AVERAGE(D5:G5)</f>
        <v>0.10068676471113372</v>
      </c>
      <c r="J5" s="67">
        <f>MEDIAN(D5:G5)</f>
        <v>4.9078908408493604E-2</v>
      </c>
    </row>
    <row r="6" spans="1:10" ht="16" outlineLevel="1" x14ac:dyDescent="0.2">
      <c r="A6" s="209"/>
      <c r="B6" s="209" t="s">
        <v>238</v>
      </c>
      <c r="D6" s="67">
        <f>IFERROR('[2]Historical FS'!D25/'[2]Historical FS'!C25-1,0)</f>
        <v>0.55452265204799334</v>
      </c>
      <c r="E6" s="67">
        <f>IFERROR('[2]Historical FS'!E25/'[2]Historical FS'!D25-1,0)</f>
        <v>8.5733534054710514E-2</v>
      </c>
      <c r="F6" s="67">
        <f>IFERROR('[2]Historical FS'!F25/'[2]Historical FS'!E25-1,0)</f>
        <v>-3.6164883063558584E-2</v>
      </c>
      <c r="G6" s="67">
        <f>IFERROR('[2]Historical FS'!G25/'[2]Historical FS'!F25-1,0)</f>
        <v>7.0267048164043944E-2</v>
      </c>
      <c r="I6" s="67">
        <f t="shared" ref="I6:I9" si="0">AVERAGE(D6:G6)</f>
        <v>0.1685895878007973</v>
      </c>
      <c r="J6" s="67">
        <f t="shared" ref="J6:J8" si="1">MEDIAN(D6:G6)</f>
        <v>7.8000291109377229E-2</v>
      </c>
    </row>
    <row r="7" spans="1:10" ht="16" outlineLevel="1" x14ac:dyDescent="0.2">
      <c r="A7" s="209"/>
      <c r="B7" s="209" t="s">
        <v>239</v>
      </c>
      <c r="D7" s="67">
        <f>IFERROR('[2]Historical FS'!D31/'[2]Historical FS'!C31-1,0)</f>
        <v>0.64357048032826447</v>
      </c>
      <c r="E7" s="67">
        <f>IFERROR('[2]Historical FS'!E31/'[2]Historical FS'!D31-1,0)</f>
        <v>9.6265225013538513E-2</v>
      </c>
      <c r="F7" s="67">
        <f>IFERROR('[2]Historical FS'!F31/'[2]Historical FS'!E31-1,0)</f>
        <v>-4.3001749876503959E-2</v>
      </c>
      <c r="G7" s="67">
        <f>IFERROR('[2]Historical FS'!G31/'[2]Historical FS'!F31-1,0)</f>
        <v>7.7995818059334532E-2</v>
      </c>
      <c r="I7" s="67">
        <f t="shared" si="0"/>
        <v>0.19370744338115839</v>
      </c>
      <c r="J7" s="67">
        <f t="shared" si="1"/>
        <v>8.7130521536436523E-2</v>
      </c>
    </row>
    <row r="8" spans="1:10" ht="16" outlineLevel="1" x14ac:dyDescent="0.2">
      <c r="A8" s="209"/>
      <c r="B8" s="209" t="s">
        <v>240</v>
      </c>
      <c r="D8" s="67">
        <f>IFERROR('[2]Historical FS'!D43/'[2]Historical FS'!C43-1,0)</f>
        <v>0.64916131055024295</v>
      </c>
      <c r="E8" s="67">
        <f>IFERROR('[2]Historical FS'!E43/'[2]Historical FS'!D43-1,0)</f>
        <v>5.410857625686516E-2</v>
      </c>
      <c r="F8" s="67">
        <f>IFERROR('[2]Historical FS'!F43/'[2]Historical FS'!E43-1,0)</f>
        <v>-2.8135426790777851E-2</v>
      </c>
      <c r="G8" s="67">
        <f>IFERROR('[2]Historical FS'!G43/'[2]Historical FS'!F43-1,0)</f>
        <v>-3.3599670086086886E-2</v>
      </c>
      <c r="I8" s="67">
        <f t="shared" si="0"/>
        <v>0.16038369748256084</v>
      </c>
      <c r="J8" s="67">
        <f t="shared" si="1"/>
        <v>1.2986574733043654E-2</v>
      </c>
    </row>
    <row r="9" spans="1:10" ht="16" outlineLevel="1" x14ac:dyDescent="0.2">
      <c r="A9" s="209"/>
      <c r="B9" s="238" t="s">
        <v>241</v>
      </c>
      <c r="C9" s="239"/>
      <c r="D9" s="240">
        <f>IFERROR('[2]Historical FS'!D49/'[2]Historical FS'!C49-1,0)</f>
        <v>6.25E-2</v>
      </c>
      <c r="E9" s="240">
        <f>IFERROR('[2]Historical FS'!E49/'[2]Historical FS'!D49-1,0)</f>
        <v>5.8823529411764719E-2</v>
      </c>
      <c r="F9" s="240">
        <f>IFERROR('[2]Historical FS'!F49/'[2]Historical FS'!E49-1,0)</f>
        <v>4.4444444444444287E-2</v>
      </c>
      <c r="G9" s="240">
        <f>IFERROR('[2]Historical FS'!G49/'[2]Historical FS'!F49-1,0)</f>
        <v>4.2553191489361764E-2</v>
      </c>
      <c r="H9" s="239"/>
      <c r="I9" s="240">
        <f t="shared" si="0"/>
        <v>5.2080291336392692E-2</v>
      </c>
      <c r="J9" s="240">
        <f>MEDIAN(D9:G9)</f>
        <v>5.1633986928104503E-2</v>
      </c>
    </row>
    <row r="10" spans="1:10" ht="16" x14ac:dyDescent="0.2">
      <c r="A10" s="209"/>
      <c r="B10" s="209"/>
    </row>
    <row r="11" spans="1:10" ht="16" x14ac:dyDescent="0.2">
      <c r="A11" s="209" t="s">
        <v>0</v>
      </c>
      <c r="B11" s="237" t="s">
        <v>242</v>
      </c>
      <c r="C11" s="208"/>
      <c r="D11" s="208"/>
      <c r="E11" s="208"/>
      <c r="F11" s="208"/>
      <c r="G11" s="208"/>
      <c r="H11" s="208"/>
      <c r="I11" s="208"/>
      <c r="J11" s="208"/>
    </row>
    <row r="12" spans="1:10" ht="16" outlineLevel="1" x14ac:dyDescent="0.2">
      <c r="A12" s="209"/>
      <c r="B12" s="209" t="s">
        <v>243</v>
      </c>
      <c r="C12" s="67">
        <f>IFERROR('[2]Historical FS'!C17,0)</f>
        <v>0.38233247727810865</v>
      </c>
      <c r="D12" s="67">
        <f>IFERROR('[2]Historical FS'!D17,0)</f>
        <v>0.41779359625167778</v>
      </c>
      <c r="E12" s="67">
        <f>IFERROR('[2]Historical FS'!E17,0)</f>
        <v>0.43309630561360085</v>
      </c>
      <c r="F12" s="67">
        <f>IFERROR('[2]Historical FS'!F17,0)</f>
        <v>0.44131129577207562</v>
      </c>
      <c r="G12" s="67">
        <f>IFERROR('[2]Historical FS'!G17,0)</f>
        <v>0.46206349815233932</v>
      </c>
      <c r="I12" s="67">
        <f>AVERAGE(C12:G12)</f>
        <v>0.42731943461356048</v>
      </c>
      <c r="J12" s="67">
        <f xml:space="preserve"> MEDIAN(C12:G12)</f>
        <v>0.43309630561360085</v>
      </c>
    </row>
    <row r="13" spans="1:10" ht="16" outlineLevel="1" x14ac:dyDescent="0.2">
      <c r="A13" s="209"/>
      <c r="B13" s="209" t="s">
        <v>244</v>
      </c>
      <c r="C13" s="67">
        <f>IFERROR('[2]Historical FS'!C26,0)</f>
        <v>0.2817478097736007</v>
      </c>
      <c r="D13" s="67">
        <f>IFERROR('[2]Historical FS'!D26,0)</f>
        <v>0.32866979938056462</v>
      </c>
      <c r="E13" s="67">
        <f>IFERROR('[2]Historical FS'!E26,0)</f>
        <v>0.3310467428130896</v>
      </c>
      <c r="F13" s="67">
        <f>IFERROR('[2]Historical FS'!F26,0)</f>
        <v>0.32826747720364741</v>
      </c>
      <c r="G13" s="67">
        <f>IFERROR('[2]Historical FS'!G26,0)</f>
        <v>0.34437070850435381</v>
      </c>
      <c r="I13" s="67">
        <f t="shared" ref="I13:I16" si="2">AVERAGE(C13:G13)</f>
        <v>0.32282050753505126</v>
      </c>
      <c r="J13" s="67">
        <f t="shared" ref="J13:J16" si="3" xml:space="preserve"> MEDIAN(C13:G13)</f>
        <v>0.32866979938056462</v>
      </c>
    </row>
    <row r="14" spans="1:10" ht="16" outlineLevel="1" x14ac:dyDescent="0.2">
      <c r="A14" s="209"/>
      <c r="B14" s="209" t="s">
        <v>245</v>
      </c>
      <c r="C14" s="67">
        <f>IFERROR('[2]Historical FS'!C31/'[2]Historical FS'!C10,0)</f>
        <v>0.24147314354406862</v>
      </c>
      <c r="D14" s="67">
        <f>IFERROR('[2]Historical FS'!D31/'[2]Historical FS'!D10,0)</f>
        <v>0.29782377527561593</v>
      </c>
      <c r="E14" s="67">
        <f>IFERROR('[2]Historical FS'!E31/'[2]Historical FS'!E10,0)</f>
        <v>0.30288744395528594</v>
      </c>
      <c r="F14" s="67">
        <f>IFERROR('[2]Historical FS'!F31/'[2]Historical FS'!F10,0)</f>
        <v>0.29821412265024722</v>
      </c>
      <c r="G14" s="67">
        <f>IFERROR('[2]Historical FS'!G31/'[2]Historical FS'!G10,0)</f>
        <v>0.31510222870075566</v>
      </c>
      <c r="I14" s="67">
        <f t="shared" si="2"/>
        <v>0.2911001428251947</v>
      </c>
      <c r="J14" s="67">
        <f t="shared" si="3"/>
        <v>0.29821412265024722</v>
      </c>
    </row>
    <row r="15" spans="1:10" ht="16" outlineLevel="1" x14ac:dyDescent="0.2">
      <c r="A15" s="209"/>
      <c r="B15" s="209" t="s">
        <v>246</v>
      </c>
      <c r="C15" s="67">
        <f>IFERROR('[2]Historical FS'!C38,0)</f>
        <v>0.24439830246070343</v>
      </c>
      <c r="D15" s="67">
        <f>IFERROR('[2]Historical FS'!D38,0)</f>
        <v>0.29852904594373691</v>
      </c>
      <c r="E15" s="67">
        <f>IFERROR('[2]Historical FS'!E38,0)</f>
        <v>0.30204043334482966</v>
      </c>
      <c r="F15" s="67">
        <f>IFERROR('[2]Historical FS'!F38,0)</f>
        <v>0.29674002374212399</v>
      </c>
      <c r="G15" s="67">
        <f>IFERROR('[2]Historical FS'!G38,0)</f>
        <v>0.31579014666206351</v>
      </c>
      <c r="I15" s="67">
        <f t="shared" si="2"/>
        <v>0.29149959043069151</v>
      </c>
      <c r="J15" s="67">
        <f t="shared" si="3"/>
        <v>0.29852904594373691</v>
      </c>
    </row>
    <row r="16" spans="1:10" ht="16" outlineLevel="1" x14ac:dyDescent="0.2">
      <c r="A16" s="209"/>
      <c r="B16" s="238" t="s">
        <v>247</v>
      </c>
      <c r="C16" s="240">
        <f>IFERROR('[2]Historical FS'!C44,0)</f>
        <v>0.20913611278072236</v>
      </c>
      <c r="D16" s="240">
        <f>IFERROR('[2]Historical FS'!D44,0)</f>
        <v>0.25881793355694238</v>
      </c>
      <c r="E16" s="240">
        <f>IFERROR('[2]Historical FS'!E44,0)</f>
        <v>0.25309640705199732</v>
      </c>
      <c r="F16" s="240">
        <f>IFERROR('[2]Historical FS'!F44,0)</f>
        <v>0.25306234264320282</v>
      </c>
      <c r="G16" s="240">
        <f>IFERROR('[2]Historical FS'!G44,0)</f>
        <v>0.23971255769943867</v>
      </c>
      <c r="H16" s="239"/>
      <c r="I16" s="240">
        <f t="shared" si="2"/>
        <v>0.24276507074646067</v>
      </c>
      <c r="J16" s="240">
        <f t="shared" si="3"/>
        <v>0.25306234264320282</v>
      </c>
    </row>
    <row r="17" spans="1:10" ht="16" x14ac:dyDescent="0.2">
      <c r="A17" s="209"/>
      <c r="B17" s="209"/>
    </row>
    <row r="18" spans="1:10" ht="16" x14ac:dyDescent="0.2">
      <c r="A18" s="209" t="s">
        <v>0</v>
      </c>
      <c r="B18" s="237" t="s">
        <v>248</v>
      </c>
      <c r="C18" s="208"/>
      <c r="D18" s="208"/>
      <c r="E18" s="208"/>
      <c r="F18" s="208"/>
      <c r="G18" s="208"/>
      <c r="H18" s="208"/>
      <c r="I18" s="208"/>
      <c r="J18" s="208"/>
    </row>
    <row r="19" spans="1:10" ht="16" outlineLevel="1" x14ac:dyDescent="0.2">
      <c r="A19" s="209"/>
      <c r="B19" s="209" t="s">
        <v>249</v>
      </c>
      <c r="C19" s="67">
        <f>IFERROR('[2]Historical FS'!C20,0)</f>
        <v>7.2549769593646979E-2</v>
      </c>
      <c r="D19" s="67">
        <f>IFERROR('[2]Historical FS'!D20,0)</f>
        <v>6.006555190163388E-2</v>
      </c>
      <c r="E19" s="67">
        <f>IFERROR('[2]Historical FS'!E20,0)</f>
        <v>6.3637378020328261E-2</v>
      </c>
      <c r="F19" s="67">
        <f>IFERROR('[2]Historical FS'!F20,0)</f>
        <v>6.5048201729783317E-2</v>
      </c>
      <c r="G19" s="67">
        <f>IFERROR('[2]Historical FS'!G20,0)</f>
        <v>6.6738271510222866E-2</v>
      </c>
      <c r="I19" s="67">
        <f>AVERAGE(C19:G19)</f>
        <v>6.5607834551123054E-2</v>
      </c>
      <c r="J19" s="67">
        <f>MEDIAN(C19:G19)</f>
        <v>6.5048201729783317E-2</v>
      </c>
    </row>
    <row r="20" spans="1:10" ht="16" outlineLevel="1" x14ac:dyDescent="0.2">
      <c r="A20" s="209"/>
      <c r="B20" s="209" t="s">
        <v>250</v>
      </c>
      <c r="C20" s="67">
        <f>IFERROR('[2]Historical FS'!C29,0)</f>
        <v>0</v>
      </c>
      <c r="D20" s="67">
        <f>IFERROR('[2]Historical FS'!D29,0)</f>
        <v>0</v>
      </c>
      <c r="E20" s="67">
        <f>IFERROR('[2]Historical FS'!E29,0)</f>
        <v>0</v>
      </c>
      <c r="F20" s="67">
        <f>IFERROR('[2]Historical FS'!F29,0)</f>
        <v>0</v>
      </c>
      <c r="G20" s="67">
        <f>IFERROR('[2]Historical FS'!G29,0)</f>
        <v>0</v>
      </c>
      <c r="I20" s="67">
        <f t="shared" ref="I20:I21" si="4">AVERAGE(C20:G20)</f>
        <v>0</v>
      </c>
      <c r="J20" s="67">
        <f t="shared" ref="J20:J21" si="5">MEDIAN(C20:G20)</f>
        <v>0</v>
      </c>
    </row>
    <row r="21" spans="1:10" ht="16" outlineLevel="1" x14ac:dyDescent="0.2">
      <c r="A21" s="209"/>
      <c r="B21" s="238" t="s">
        <v>251</v>
      </c>
      <c r="C21" s="240">
        <f>IFERROR(C14,0)</f>
        <v>0.24147314354406862</v>
      </c>
      <c r="D21" s="240">
        <f t="shared" ref="D21:G21" si="6">IFERROR(D14,0)</f>
        <v>0.29782377527561593</v>
      </c>
      <c r="E21" s="240">
        <f t="shared" si="6"/>
        <v>0.30288744395528594</v>
      </c>
      <c r="F21" s="240">
        <f t="shared" si="6"/>
        <v>0.29821412265024722</v>
      </c>
      <c r="G21" s="240">
        <f t="shared" si="6"/>
        <v>0.31510222870075566</v>
      </c>
      <c r="H21" s="239"/>
      <c r="I21" s="240">
        <f t="shared" si="4"/>
        <v>0.2911001428251947</v>
      </c>
      <c r="J21" s="240">
        <f t="shared" si="5"/>
        <v>0.29821412265024722</v>
      </c>
    </row>
    <row r="22" spans="1:10" ht="16" x14ac:dyDescent="0.2">
      <c r="A22" s="209"/>
      <c r="B22" s="209"/>
    </row>
    <row r="23" spans="1:10" ht="16" x14ac:dyDescent="0.2">
      <c r="A23" s="209" t="s">
        <v>0</v>
      </c>
      <c r="B23" s="237" t="s">
        <v>252</v>
      </c>
      <c r="C23" s="208"/>
      <c r="D23" s="208"/>
      <c r="E23" s="208"/>
      <c r="F23" s="208"/>
      <c r="G23" s="208"/>
      <c r="H23" s="208"/>
      <c r="I23" s="208"/>
      <c r="J23" s="208"/>
    </row>
    <row r="24" spans="1:10" ht="16" outlineLevel="1" x14ac:dyDescent="0.2">
      <c r="A24" s="209"/>
      <c r="B24" s="209" t="s">
        <v>253</v>
      </c>
      <c r="C24" s="67">
        <f>IFERROR('[2]Historical FS'!C31/SUM('[2]Historical FS'!C53,'[2]Historical FS'!C56,'[2]Historical FS'!C60),0)</f>
        <v>0.38825989421956175</v>
      </c>
      <c r="D24" s="67">
        <f>IFERROR('[2]Historical FS'!D31/SUM('[2]Historical FS'!D53,'[2]Historical FS'!D56,'[2]Historical FS'!D60),0)</f>
        <v>0.57776116157839752</v>
      </c>
      <c r="E24" s="67">
        <f>IFERROR('[2]Historical FS'!E31/SUM('[2]Historical FS'!E53,'[2]Historical FS'!E56,'[2]Historical FS'!E60),0)</f>
        <v>0.58360452275548003</v>
      </c>
      <c r="F24" s="67">
        <f>IFERROR('[2]Historical FS'!F31/SUM('[2]Historical FS'!F53,'[2]Historical FS'!F56,'[2]Historical FS'!F60),0)</f>
        <v>0.55097033559246866</v>
      </c>
      <c r="G24" s="67">
        <f>IFERROR('[2]Historical FS'!G31/SUM('[2]Historical FS'!G53,'[2]Historical FS'!G56,'[2]Historical FS'!G60),0)</f>
        <v>0.52804895818155329</v>
      </c>
      <c r="I24" s="67">
        <f>AVERAGE(C24:G24)</f>
        <v>0.52572897446549216</v>
      </c>
      <c r="J24" s="67">
        <f>MEDIAN(C24:G24)</f>
        <v>0.55097033559246866</v>
      </c>
    </row>
    <row r="25" spans="1:10" ht="16" outlineLevel="1" x14ac:dyDescent="0.2">
      <c r="A25" s="209"/>
      <c r="B25" s="209" t="s">
        <v>254</v>
      </c>
      <c r="C25" s="67">
        <f>IFERROR('[2]Historical FS'!C57/'[2]Historical FS'!C53,0)</f>
        <v>0.29472813564662559</v>
      </c>
      <c r="D25" s="67">
        <f>IFERROR('[2]Historical FS'!D57/'[2]Historical FS'!D53,0)</f>
        <v>9.6958075481565417E-2</v>
      </c>
      <c r="E25" s="67">
        <f>IFERROR('[2]Historical FS'!E57/'[2]Historical FS'!E53,0)</f>
        <v>-4.7309904547487243E-2</v>
      </c>
      <c r="F25" s="67">
        <f>IFERROR('[2]Historical FS'!F57/'[2]Historical FS'!F53,0)</f>
        <v>-2.8992575732943154E-3</v>
      </c>
      <c r="G25" s="67">
        <f>IFERROR('[2]Historical FS'!G57/'[2]Historical FS'!G53,0)</f>
        <v>-0.23000624429607569</v>
      </c>
      <c r="I25" s="67">
        <f t="shared" ref="I25:I28" si="7">AVERAGE(C25:G25)</f>
        <v>2.2294160942266762E-2</v>
      </c>
      <c r="J25" s="67">
        <f t="shared" ref="J25:J28" si="8">MEDIAN(C25:G25)</f>
        <v>-2.8992575732943154E-3</v>
      </c>
    </row>
    <row r="26" spans="1:10" ht="16" outlineLevel="1" x14ac:dyDescent="0.2">
      <c r="A26" s="209"/>
      <c r="B26" s="209" t="s">
        <v>255</v>
      </c>
      <c r="C26" s="67">
        <f>IFERROR('[2]Historical FS'!C43/SUM('[2]Historical FS'!C53,'[2]Historical FS'!C56),0)</f>
        <v>0.87866358530127486</v>
      </c>
      <c r="D26" s="67">
        <f>IFERROR('[2]Historical FS'!D43/SUM('[2]Historical FS'!D53,'[2]Historical FS'!D56),0)</f>
        <v>1.5007132667617689</v>
      </c>
      <c r="E26" s="67">
        <f>IFERROR('[2]Historical FS'!E43/SUM('[2]Historical FS'!E53,'[2]Historical FS'!E56),0)</f>
        <v>1.9695887275023682</v>
      </c>
      <c r="F26" s="67">
        <f>IFERROR('[2]Historical FS'!F43/SUM('[2]Historical FS'!F53,'[2]Historical FS'!F56),0)</f>
        <v>1.5607601454639075</v>
      </c>
      <c r="G26" s="67">
        <f>IFERROR('[2]Historical FS'!G43/SUM('[2]Historical FS'!G53,'[2]Historical FS'!G56),0)</f>
        <v>1.6459350307287095</v>
      </c>
      <c r="I26" s="67">
        <f t="shared" si="7"/>
        <v>1.511132151151606</v>
      </c>
      <c r="J26" s="67">
        <f t="shared" si="8"/>
        <v>1.5607601454639075</v>
      </c>
    </row>
    <row r="27" spans="1:10" ht="16" outlineLevel="1" x14ac:dyDescent="0.2">
      <c r="A27" s="209"/>
      <c r="B27" s="209" t="s">
        <v>256</v>
      </c>
      <c r="C27" s="67">
        <f>IFERROR(C26*C25,0)</f>
        <v>0.25896688035642451</v>
      </c>
      <c r="D27" s="67">
        <f t="shared" ref="D27:G27" si="9">IFERROR(D26*D25,0)</f>
        <v>0.14550627019487419</v>
      </c>
      <c r="E27" s="67">
        <f t="shared" si="9"/>
        <v>-9.3181054695943899E-2</v>
      </c>
      <c r="F27" s="67">
        <f t="shared" si="9"/>
        <v>-4.5250456718321707E-3</v>
      </c>
      <c r="G27" s="67">
        <f t="shared" si="9"/>
        <v>-0.37857533477325639</v>
      </c>
      <c r="I27" s="67">
        <f t="shared" si="7"/>
        <v>-1.4361656917946742E-2</v>
      </c>
      <c r="J27" s="67">
        <f t="shared" si="8"/>
        <v>-4.5250456718321707E-3</v>
      </c>
    </row>
    <row r="28" spans="1:10" ht="16" outlineLevel="1" x14ac:dyDescent="0.2">
      <c r="A28" s="209"/>
      <c r="B28" s="238" t="s">
        <v>257</v>
      </c>
      <c r="C28" s="241">
        <f>IFERROR(('[2]Historical FS'!C25-'[2]Historical FS'!C28)/'[2]Historical FS'!C34,0)</f>
        <v>86.903370786516859</v>
      </c>
      <c r="D28" s="241">
        <f>IFERROR(('[2]Historical FS'!D25-'[2]Historical FS'!D28)/'[2]Historical FS'!D34,0)</f>
        <v>607.23737373737379</v>
      </c>
      <c r="E28" s="241">
        <f>IFERROR(('[2]Historical FS'!E25-'[2]Historical FS'!E28)/'[2]Historical FS'!E34,0)</f>
        <v>0</v>
      </c>
      <c r="F28" s="241">
        <f>IFERROR(('[2]Historical FS'!F25-'[2]Historical FS'!F28)/'[2]Historical FS'!F34,0)</f>
        <v>0</v>
      </c>
      <c r="G28" s="241">
        <f>IFERROR(('[2]Historical FS'!G25-'[2]Historical FS'!G28)/'[2]Historical FS'!G34,0)</f>
        <v>0</v>
      </c>
      <c r="H28" s="239"/>
      <c r="I28" s="241">
        <f t="shared" si="7"/>
        <v>138.82814890477812</v>
      </c>
      <c r="J28" s="241">
        <f t="shared" si="8"/>
        <v>0</v>
      </c>
    </row>
    <row r="29" spans="1:10" ht="16" x14ac:dyDescent="0.2">
      <c r="A29" s="209"/>
      <c r="B29" s="209"/>
    </row>
    <row r="30" spans="1:10" ht="16" x14ac:dyDescent="0.2">
      <c r="A30" s="209" t="s">
        <v>0</v>
      </c>
      <c r="B30" s="237" t="s">
        <v>258</v>
      </c>
      <c r="C30" s="208"/>
      <c r="D30" s="208"/>
      <c r="E30" s="208"/>
      <c r="F30" s="208"/>
      <c r="G30" s="208"/>
      <c r="H30" s="208"/>
      <c r="I30" s="208"/>
      <c r="J30" s="208"/>
    </row>
    <row r="31" spans="1:10" ht="16" outlineLevel="1" x14ac:dyDescent="0.2">
      <c r="A31" s="209"/>
      <c r="B31" s="209" t="s">
        <v>259</v>
      </c>
      <c r="C31" s="242">
        <f>IFERROR('[2]Historical FS'!C10/'[2]Historical FS'!C61,0)</f>
        <v>6.4903300548515226</v>
      </c>
      <c r="D31" s="242">
        <f>IFERROR('[2]Historical FS'!D10/'[2]Historical FS'!D61,0)</f>
        <v>6.6800029216806971</v>
      </c>
      <c r="E31" s="242">
        <f>IFERROR('[2]Historical FS'!E10/'[2]Historical FS'!E61,0)</f>
        <v>6.1503236372143801</v>
      </c>
      <c r="F31" s="242">
        <f>IFERROR('[2]Historical FS'!F10/'[2]Historical FS'!F61,0)</f>
        <v>6.1216878823209981</v>
      </c>
      <c r="G31" s="242">
        <f>IFERROR('[2]Historical FS'!G10/'[2]Historical FS'!G61,0)</f>
        <v>5.6704611368909514</v>
      </c>
      <c r="I31" s="242">
        <f>AVERAGE(C31:G31)</f>
        <v>6.2225611265917093</v>
      </c>
      <c r="J31" s="242">
        <f>MEDIAN(C31:G31)</f>
        <v>6.1503236372143801</v>
      </c>
    </row>
    <row r="32" spans="1:10" ht="16" outlineLevel="1" x14ac:dyDescent="0.2">
      <c r="A32" s="209"/>
      <c r="B32" s="209" t="s">
        <v>260</v>
      </c>
      <c r="C32" s="242">
        <f>IFERROR('[2]Historical FS'!C10/'[2]Historical FS'!C77,0)</f>
        <v>17.029466501240694</v>
      </c>
      <c r="D32" s="242">
        <f>IFERROR('[2]Historical FS'!D10/'[2]Historical FS'!D77,0)</f>
        <v>13.921036608569906</v>
      </c>
      <c r="E32" s="242">
        <f>IFERROR('[2]Historical FS'!E10/'[2]Historical FS'!E77,0)</f>
        <v>13.991200681237581</v>
      </c>
      <c r="F32" s="242">
        <f>IFERROR('[2]Historical FS'!F10/'[2]Historical FS'!F77,0)</f>
        <v>12.989189372373593</v>
      </c>
      <c r="G32" s="242">
        <f>IFERROR('[2]Historical FS'!G10/'[2]Historical FS'!G77,0)</f>
        <v>11.704130499850343</v>
      </c>
      <c r="I32" s="242">
        <f t="shared" ref="I32:I35" si="10">AVERAGE(C32:G32)</f>
        <v>13.927004732654424</v>
      </c>
      <c r="J32" s="242">
        <f t="shared" ref="J32:J35" si="11">MEDIAN(C32:G32)</f>
        <v>13.921036608569906</v>
      </c>
    </row>
    <row r="33" spans="1:10" ht="16" outlineLevel="1" x14ac:dyDescent="0.2">
      <c r="A33" s="209"/>
      <c r="B33" s="209" t="s">
        <v>261</v>
      </c>
      <c r="C33" s="242">
        <f>IFERROR('[2]Historical FS'!C13/'[2]Historical FS'!C79,0)</f>
        <v>41.753016498399411</v>
      </c>
      <c r="D33" s="242">
        <f>IFERROR('[2]Historical FS'!D13/'[2]Historical FS'!D79,0)</f>
        <v>32.367933130699086</v>
      </c>
      <c r="E33" s="242">
        <f>IFERROR('[2]Historical FS'!E13/'[2]Historical FS'!E79,0)</f>
        <v>45.197331176708452</v>
      </c>
      <c r="F33" s="242">
        <f>IFERROR('[2]Historical FS'!F13/'[2]Historical FS'!F79,0)</f>
        <v>33.823566577160008</v>
      </c>
      <c r="G33" s="242">
        <f>IFERROR('[2]Historical FS'!G13/'[2]Historical FS'!G79,0)</f>
        <v>28.870710952511665</v>
      </c>
      <c r="I33" s="242">
        <f t="shared" si="10"/>
        <v>36.402511667095723</v>
      </c>
      <c r="J33" s="242">
        <f t="shared" si="11"/>
        <v>33.823566577160008</v>
      </c>
    </row>
    <row r="34" spans="1:10" ht="16" outlineLevel="1" x14ac:dyDescent="0.2">
      <c r="A34" s="209"/>
      <c r="B34" s="209" t="s">
        <v>262</v>
      </c>
      <c r="C34" s="242">
        <f>IFERROR('[2]Historical FS'!C10/'[2]Historical FS'!C81,0)</f>
        <v>6.0551217575436738</v>
      </c>
      <c r="D34" s="242">
        <f>IFERROR('[2]Historical FS'!D10/'[2]Historical FS'!D81,0)</f>
        <v>7.3862135804712583</v>
      </c>
      <c r="E34" s="242">
        <f>IFERROR('[2]Historical FS'!E10/'[2]Historical FS'!E81,0)</f>
        <v>7.5061483991319911</v>
      </c>
      <c r="F34" s="242">
        <f>IFERROR('[2]Historical FS'!F10/'[2]Historical FS'!F81,0)</f>
        <v>8.7678142514011217</v>
      </c>
      <c r="G34" s="242">
        <f>IFERROR('[2]Historical FS'!G10/'[2]Historical FS'!G81,0)</f>
        <v>8.5603108581436071</v>
      </c>
      <c r="I34" s="242">
        <f t="shared" si="10"/>
        <v>7.6551217693383311</v>
      </c>
      <c r="J34" s="242">
        <f t="shared" si="11"/>
        <v>7.5061483991319911</v>
      </c>
    </row>
    <row r="35" spans="1:10" ht="16" outlineLevel="1" x14ac:dyDescent="0.2">
      <c r="A35" s="209"/>
      <c r="B35" s="238" t="s">
        <v>263</v>
      </c>
      <c r="C35" s="241">
        <f>IFERROR('[2]Historical FS'!C10/SUM('[2]Historical FS'!C53,'[2]Historical FS'!C56),0)</f>
        <v>4.2013957973032952</v>
      </c>
      <c r="D35" s="241">
        <f>IFERROR('[2]Historical FS'!D10/SUM('[2]Historical FS'!D53,'[2]Historical FS'!D56),0)</f>
        <v>5.798335710889206</v>
      </c>
      <c r="E35" s="241">
        <f>IFERROR('[2]Historical FS'!E10/SUM('[2]Historical FS'!E53,'[2]Historical FS'!E56),0)</f>
        <v>7.7819703189137988</v>
      </c>
      <c r="F35" s="241">
        <f>IFERROR('[2]Historical FS'!F10/SUM('[2]Historical FS'!F53,'[2]Historical FS'!F56),0)</f>
        <v>6.1674926785312003</v>
      </c>
      <c r="G35" s="241">
        <f>IFERROR('[2]Historical FS'!G10/SUM('[2]Historical FS'!G53,'[2]Historical FS'!G56),0)</f>
        <v>6.8662862159789286</v>
      </c>
      <c r="H35" s="239"/>
      <c r="I35" s="241">
        <f t="shared" si="10"/>
        <v>6.1630961443232852</v>
      </c>
      <c r="J35" s="241">
        <f t="shared" si="11"/>
        <v>6.1674926785312003</v>
      </c>
    </row>
    <row r="36" spans="1:10" ht="16" x14ac:dyDescent="0.2">
      <c r="A36" s="209"/>
      <c r="B36" s="209"/>
    </row>
    <row r="37" spans="1:10" ht="16" x14ac:dyDescent="0.2">
      <c r="A37" s="209" t="s">
        <v>0</v>
      </c>
      <c r="B37" s="237" t="s">
        <v>264</v>
      </c>
      <c r="C37" s="208"/>
      <c r="D37" s="208"/>
      <c r="E37" s="208"/>
      <c r="F37" s="208"/>
      <c r="G37" s="208"/>
      <c r="H37" s="208"/>
      <c r="I37" s="208"/>
      <c r="J37" s="208"/>
    </row>
    <row r="38" spans="1:10" ht="16" outlineLevel="1" x14ac:dyDescent="0.2">
      <c r="A38" s="209"/>
      <c r="B38" s="209" t="s">
        <v>265</v>
      </c>
      <c r="C38" s="243">
        <f>IFERROR(365/C31,0)</f>
        <v>56.237509789993261</v>
      </c>
      <c r="D38" s="243">
        <f t="shared" ref="D38:G40" si="12">IFERROR(365/D31,0)</f>
        <v>54.640694664272026</v>
      </c>
      <c r="E38" s="243">
        <f t="shared" si="12"/>
        <v>59.346470450995113</v>
      </c>
      <c r="F38" s="243">
        <f t="shared" si="12"/>
        <v>59.624078688182422</v>
      </c>
      <c r="G38" s="243">
        <f t="shared" si="12"/>
        <v>64.368662651680793</v>
      </c>
      <c r="I38" s="243">
        <f>AVERAGE(C38:G38)</f>
        <v>58.843483249024722</v>
      </c>
      <c r="J38" s="243">
        <f>MEDIAN(C38:G38)</f>
        <v>59.346470450995113</v>
      </c>
    </row>
    <row r="39" spans="1:10" ht="16" outlineLevel="1" x14ac:dyDescent="0.2">
      <c r="A39" s="209"/>
      <c r="B39" s="209" t="s">
        <v>266</v>
      </c>
      <c r="C39" s="243">
        <f>IFERROR(365/C32,0)</f>
        <v>21.433437152796753</v>
      </c>
      <c r="D39" s="243">
        <f t="shared" si="12"/>
        <v>26.219311841713207</v>
      </c>
      <c r="E39" s="243">
        <f t="shared" si="12"/>
        <v>26.087825363656652</v>
      </c>
      <c r="F39" s="243">
        <f t="shared" si="12"/>
        <v>28.100290906244702</v>
      </c>
      <c r="G39" s="243">
        <f t="shared" si="12"/>
        <v>31.185571624023428</v>
      </c>
      <c r="I39" s="243">
        <f t="shared" ref="I39:I41" si="13">AVERAGE(C39:G39)</f>
        <v>26.605287377686949</v>
      </c>
      <c r="J39" s="243">
        <f t="shared" ref="J39:J41" si="14">MEDIAN(C39:G39)</f>
        <v>26.219311841713207</v>
      </c>
    </row>
    <row r="40" spans="1:10" ht="16" outlineLevel="1" x14ac:dyDescent="0.2">
      <c r="A40" s="209"/>
      <c r="B40" s="209" t="s">
        <v>267</v>
      </c>
      <c r="C40" s="243">
        <f>IFERROR(365/C33,0)</f>
        <v>8.7418833562358813</v>
      </c>
      <c r="D40" s="243">
        <f t="shared" si="12"/>
        <v>11.27659274770989</v>
      </c>
      <c r="E40" s="243">
        <f t="shared" si="12"/>
        <v>8.0756980666171607</v>
      </c>
      <c r="F40" s="243">
        <f t="shared" si="12"/>
        <v>10.791292490321617</v>
      </c>
      <c r="G40" s="243">
        <f t="shared" si="12"/>
        <v>12.642570548414087</v>
      </c>
      <c r="I40" s="243">
        <f t="shared" si="13"/>
        <v>10.305607441859726</v>
      </c>
      <c r="J40" s="243">
        <f t="shared" si="14"/>
        <v>10.791292490321617</v>
      </c>
    </row>
    <row r="41" spans="1:10" ht="16" outlineLevel="1" x14ac:dyDescent="0.2">
      <c r="A41" s="209"/>
      <c r="B41" s="238" t="s">
        <v>268</v>
      </c>
      <c r="C41" s="244">
        <f>IFERROR(SUM(C38,C40)-C39,0)</f>
        <v>43.545955993432386</v>
      </c>
      <c r="D41" s="244">
        <f t="shared" ref="D41:G41" si="15">IFERROR(SUM(D38,D40)-D39,0)</f>
        <v>39.69797557026871</v>
      </c>
      <c r="E41" s="244">
        <f t="shared" si="15"/>
        <v>41.334343153955629</v>
      </c>
      <c r="F41" s="244">
        <f t="shared" si="15"/>
        <v>42.315080272259344</v>
      </c>
      <c r="G41" s="244">
        <f t="shared" si="15"/>
        <v>45.825661576071454</v>
      </c>
      <c r="H41" s="239"/>
      <c r="I41" s="244">
        <f t="shared" si="13"/>
        <v>42.543803313197508</v>
      </c>
      <c r="J41" s="244">
        <f t="shared" si="14"/>
        <v>42.315080272259344</v>
      </c>
    </row>
    <row r="42" spans="1:10" ht="16" x14ac:dyDescent="0.2">
      <c r="A42" s="209"/>
      <c r="B42" s="209"/>
    </row>
    <row r="43" spans="1:10" ht="16" x14ac:dyDescent="0.2">
      <c r="A43" s="209" t="s">
        <v>0</v>
      </c>
      <c r="B43" s="237" t="s">
        <v>269</v>
      </c>
      <c r="C43" s="208"/>
      <c r="D43" s="208"/>
      <c r="E43" s="208"/>
      <c r="F43" s="208"/>
      <c r="G43" s="208"/>
      <c r="H43" s="208"/>
      <c r="I43" s="208"/>
      <c r="J43" s="208"/>
    </row>
    <row r="44" spans="1:10" ht="16" outlineLevel="1" x14ac:dyDescent="0.2">
      <c r="B44" s="209" t="s">
        <v>270</v>
      </c>
      <c r="C44" s="67">
        <f>IFERROR('[2]Historical FS'!C102/'[2]Historical FS'!C10,0)</f>
        <v>0.29387829444656938</v>
      </c>
      <c r="D44" s="67">
        <f>IFERROR('[2]Historical FS'!D102/'[2]Historical FS'!D10,0)</f>
        <v>0.28439903011615097</v>
      </c>
      <c r="E44" s="67">
        <f>IFERROR('[2]Historical FS'!E102/'[2]Historical FS'!E10,0)</f>
        <v>0.30977003915522106</v>
      </c>
      <c r="F44" s="67">
        <f>IFERROR('[2]Historical FS'!F102/'[2]Historical FS'!F10,0)</f>
        <v>0.28840940814276583</v>
      </c>
      <c r="G44" s="67">
        <f>IFERROR('[2]Historical FS'!G102/'[2]Historical FS'!G10,0)</f>
        <v>0.30241282749625992</v>
      </c>
      <c r="I44" s="67">
        <f>AVERAGE(C44:G44)</f>
        <v>0.29577391987139345</v>
      </c>
      <c r="J44" s="67">
        <f>MEDIAN(C44:G44)</f>
        <v>0.29387829444656938</v>
      </c>
    </row>
    <row r="45" spans="1:10" ht="16" outlineLevel="1" x14ac:dyDescent="0.2">
      <c r="B45" s="209" t="s">
        <v>271</v>
      </c>
      <c r="C45" s="67">
        <f>IFERROR('[2]Historical FS'!C102/'[2]Historical FS'!C87,0)</f>
        <v>0.24907992886429878</v>
      </c>
      <c r="D45" s="67">
        <f>IFERROR('[2]Historical FS'!D102/'[2]Historical FS'!D87,0)</f>
        <v>0.2964028694993191</v>
      </c>
      <c r="E45" s="67">
        <f>IFERROR('[2]Historical FS'!E102/'[2]Historical FS'!E87,0)</f>
        <v>0.34627716120253432</v>
      </c>
      <c r="F45" s="67">
        <f>IFERROR('[2]Historical FS'!F102/'[2]Historical FS'!F87,0)</f>
        <v>0.31352334060348913</v>
      </c>
      <c r="G45" s="67">
        <f>IFERROR('[2]Historical FS'!G102/'[2]Historical FS'!G87,0)</f>
        <v>0.32400131514055563</v>
      </c>
      <c r="I45" s="67">
        <f t="shared" ref="I45:I46" si="16">AVERAGE(C45:G45)</f>
        <v>0.30585692306203943</v>
      </c>
      <c r="J45" s="67">
        <f t="shared" ref="J45:J46" si="17">MEDIAN(C45:G45)</f>
        <v>0.31352334060348913</v>
      </c>
    </row>
    <row r="46" spans="1:10" ht="16" outlineLevel="1" x14ac:dyDescent="0.2">
      <c r="B46" s="238" t="s">
        <v>272</v>
      </c>
      <c r="C46" s="240">
        <f>IFERROR('[2]Historical FS'!C102/SUM('[2]Historical FS'!C62:C64,'[2]Historical FS'!C69:C70),0)</f>
        <v>0.65975891002469778</v>
      </c>
      <c r="D46" s="240">
        <f>IFERROR('[2]Historical FS'!D102/SUM('[2]Historical FS'!D62:D64,'[2]Historical FS'!D69:D70),0)</f>
        <v>0.76206032727326001</v>
      </c>
      <c r="E46" s="240">
        <f>IFERROR('[2]Historical FS'!E102/SUM('[2]Historical FS'!E62:E64,'[2]Historical FS'!E69:E70),0)</f>
        <v>0.92203351449275361</v>
      </c>
      <c r="F46" s="240">
        <f>IFERROR('[2]Historical FS'!F102/SUM('[2]Historical FS'!F62:F64,'[2]Historical FS'!F69:F70),0)</f>
        <v>0.8919793431776003</v>
      </c>
      <c r="G46" s="240">
        <f>IFERROR('[2]Historical FS'!G102/SUM('[2]Historical FS'!G62:G64,'[2]Historical FS'!G69:G70),0)</f>
        <v>0.9932386463854056</v>
      </c>
      <c r="H46" s="239"/>
      <c r="I46" s="240">
        <f t="shared" si="16"/>
        <v>0.84581414827074342</v>
      </c>
      <c r="J46" s="240">
        <f t="shared" si="17"/>
        <v>0.8919793431776003</v>
      </c>
    </row>
  </sheetData>
  <mergeCells count="1">
    <mergeCell ref="B2:J2"/>
  </mergeCells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 xr2:uid="{871EED83-F47F-7A4C-BA6C-9741B09D7B6C}">
          <x14:colorSeries rgb="FF0070C0"/>
          <x14:colorNegative rgb="FF000000"/>
          <x14:colorAxis rgb="FF000000"/>
          <x14:colorMarkers rgb="FF000000"/>
          <x14:colorFirst rgb="FF000000"/>
          <x14:colorLast rgb="FF000000"/>
          <x14:colorHigh rgb="FF000000"/>
          <x14:colorLow rgb="FF000000"/>
          <x14:sparklines>
            <x14:sparkline>
              <xm:f>'Ratio Analysis'!C44:G44</xm:f>
              <xm:sqref>H44</xm:sqref>
            </x14:sparkline>
            <x14:sparkline>
              <xm:f>'Ratio Analysis'!C45:G45</xm:f>
              <xm:sqref>H45</xm:sqref>
            </x14:sparkline>
            <x14:sparkline>
              <xm:f>'Ratio Analysis'!C46:G46</xm:f>
              <xm:sqref>H46</xm:sqref>
            </x14:sparkline>
          </x14:sparklines>
        </x14:sparklineGroup>
        <x14:sparklineGroup displayEmptyCellsAs="gap" markers="1" xr2:uid="{0956765E-5D20-9549-B0C4-6FB8311C7E80}">
          <x14:colorSeries rgb="FF0070C0"/>
          <x14:colorNegative rgb="FF000000"/>
          <x14:colorAxis rgb="FF000000"/>
          <x14:colorMarkers rgb="FF000000"/>
          <x14:colorFirst rgb="FF000000"/>
          <x14:colorLast rgb="FF000000"/>
          <x14:colorHigh rgb="FF000000"/>
          <x14:colorLow rgb="FF000000"/>
          <x14:sparklines>
            <x14:sparkline>
              <xm:f>'Ratio Analysis'!C38:G38</xm:f>
              <xm:sqref>H38</xm:sqref>
            </x14:sparkline>
            <x14:sparkline>
              <xm:f>'Ratio Analysis'!C39:G39</xm:f>
              <xm:sqref>H39</xm:sqref>
            </x14:sparkline>
            <x14:sparkline>
              <xm:f>'Ratio Analysis'!C40:G40</xm:f>
              <xm:sqref>H40</xm:sqref>
            </x14:sparkline>
            <x14:sparkline>
              <xm:f>'Ratio Analysis'!C41:G41</xm:f>
              <xm:sqref>H41</xm:sqref>
            </x14:sparkline>
          </x14:sparklines>
        </x14:sparklineGroup>
        <x14:sparklineGroup displayEmptyCellsAs="gap" markers="1" xr2:uid="{5D795E0B-2C8E-3B45-BB19-E934DC45FC6B}">
          <x14:colorSeries rgb="FF0070C0"/>
          <x14:colorNegative rgb="FF000000"/>
          <x14:colorAxis rgb="FF000000"/>
          <x14:colorMarkers rgb="FF000000"/>
          <x14:colorFirst rgb="FF000000"/>
          <x14:colorLast rgb="FF000000"/>
          <x14:colorHigh rgb="FF000000"/>
          <x14:colorLow rgb="FF000000"/>
          <x14:sparklines>
            <x14:sparkline>
              <xm:f>'Ratio Analysis'!C31:G31</xm:f>
              <xm:sqref>H31</xm:sqref>
            </x14:sparkline>
            <x14:sparkline>
              <xm:f>'Ratio Analysis'!C32:G32</xm:f>
              <xm:sqref>H32</xm:sqref>
            </x14:sparkline>
            <x14:sparkline>
              <xm:f>'Ratio Analysis'!C33:G33</xm:f>
              <xm:sqref>H33</xm:sqref>
            </x14:sparkline>
            <x14:sparkline>
              <xm:f>'Ratio Analysis'!C34:G34</xm:f>
              <xm:sqref>H34</xm:sqref>
            </x14:sparkline>
            <x14:sparkline>
              <xm:f>'Ratio Analysis'!C35:G35</xm:f>
              <xm:sqref>H35</xm:sqref>
            </x14:sparkline>
          </x14:sparklines>
        </x14:sparklineGroup>
        <x14:sparklineGroup displayEmptyCellsAs="gap" markers="1" xr2:uid="{0C9C5EC0-07CA-974A-86DD-83993834D4CB}">
          <x14:colorSeries rgb="FF0070C0"/>
          <x14:colorNegative rgb="FF000000"/>
          <x14:colorAxis rgb="FF000000"/>
          <x14:colorMarkers rgb="FF000000"/>
          <x14:colorFirst rgb="FF000000"/>
          <x14:colorLast rgb="FF000000"/>
          <x14:colorHigh rgb="FF000000"/>
          <x14:colorLow rgb="FF000000"/>
          <x14:sparklines>
            <x14:sparkline>
              <xm:f>'Ratio Analysis'!C24:G24</xm:f>
              <xm:sqref>H24</xm:sqref>
            </x14:sparkline>
            <x14:sparkline>
              <xm:f>'Ratio Analysis'!C25:G25</xm:f>
              <xm:sqref>H25</xm:sqref>
            </x14:sparkline>
            <x14:sparkline>
              <xm:f>'Ratio Analysis'!C26:G26</xm:f>
              <xm:sqref>H26</xm:sqref>
            </x14:sparkline>
            <x14:sparkline>
              <xm:f>'Ratio Analysis'!C27:G27</xm:f>
              <xm:sqref>H27</xm:sqref>
            </x14:sparkline>
            <x14:sparkline>
              <xm:f>'Ratio Analysis'!C28:G28</xm:f>
              <xm:sqref>H28</xm:sqref>
            </x14:sparkline>
          </x14:sparklines>
        </x14:sparklineGroup>
        <x14:sparklineGroup displayEmptyCellsAs="gap" markers="1" xr2:uid="{D60E3FBE-890A-CE45-9837-B6D44DE94BE2}">
          <x14:colorSeries rgb="FF0070C0"/>
          <x14:colorNegative rgb="FF000000"/>
          <x14:colorAxis rgb="FF000000"/>
          <x14:colorMarkers rgb="FF000000"/>
          <x14:colorFirst rgb="FF000000"/>
          <x14:colorLast rgb="FF000000"/>
          <x14:colorHigh rgb="FF000000"/>
          <x14:colorLow rgb="FF000000"/>
          <x14:sparklines>
            <x14:sparkline>
              <xm:f>'Ratio Analysis'!C19:G19</xm:f>
              <xm:sqref>H19</xm:sqref>
            </x14:sparkline>
            <x14:sparkline>
              <xm:f>'Ratio Analysis'!C20:G20</xm:f>
              <xm:sqref>H20</xm:sqref>
            </x14:sparkline>
            <x14:sparkline>
              <xm:f>'Ratio Analysis'!C21:G21</xm:f>
              <xm:sqref>H21</xm:sqref>
            </x14:sparkline>
          </x14:sparklines>
        </x14:sparklineGroup>
        <x14:sparklineGroup displayEmptyCellsAs="gap" markers="1" xr2:uid="{251C09A5-17F6-2549-87B3-25DB2CF1EC2B}">
          <x14:colorSeries rgb="FF0070C0"/>
          <x14:colorNegative rgb="FF000000"/>
          <x14:colorAxis rgb="FF000000"/>
          <x14:colorMarkers rgb="FF000000"/>
          <x14:colorFirst rgb="FF000000"/>
          <x14:colorLast rgb="FF000000"/>
          <x14:colorHigh rgb="FF000000"/>
          <x14:colorLow rgb="FF000000"/>
          <x14:sparklines>
            <x14:sparkline>
              <xm:f>'Ratio Analysis'!C12:G12</xm:f>
              <xm:sqref>H12</xm:sqref>
            </x14:sparkline>
            <x14:sparkline>
              <xm:f>'Ratio Analysis'!C13:G13</xm:f>
              <xm:sqref>H13</xm:sqref>
            </x14:sparkline>
            <x14:sparkline>
              <xm:f>'Ratio Analysis'!C14:G14</xm:f>
              <xm:sqref>H14</xm:sqref>
            </x14:sparkline>
            <x14:sparkline>
              <xm:f>'Ratio Analysis'!C15:G15</xm:f>
              <xm:sqref>H15</xm:sqref>
            </x14:sparkline>
            <x14:sparkline>
              <xm:f>'Ratio Analysis'!C16:G16</xm:f>
              <xm:sqref>H16</xm:sqref>
            </x14:sparkline>
          </x14:sparklines>
        </x14:sparklineGroup>
        <x14:sparklineGroup displayEmptyCellsAs="gap" markers="1" xr2:uid="{273CA076-F084-DD48-9333-057A2D56B64D}">
          <x14:colorSeries rgb="FF0070C0"/>
          <x14:colorNegative rgb="FF000000"/>
          <x14:colorAxis rgb="FF000000"/>
          <x14:colorMarkers rgb="FF000000"/>
          <x14:colorFirst rgb="FF000000"/>
          <x14:colorLast rgb="FF000000"/>
          <x14:colorHigh rgb="FF000000"/>
          <x14:colorLow rgb="FF000000"/>
          <x14:sparklines>
            <x14:sparkline>
              <xm:f>'Ratio Analysis'!D5:G5</xm:f>
              <xm:sqref>H5</xm:sqref>
            </x14:sparkline>
            <x14:sparkline>
              <xm:f>'Ratio Analysis'!D6:G6</xm:f>
              <xm:sqref>H6</xm:sqref>
            </x14:sparkline>
            <x14:sparkline>
              <xm:f>'Ratio Analysis'!D7:G7</xm:f>
              <xm:sqref>H7</xm:sqref>
            </x14:sparkline>
            <x14:sparkline>
              <xm:f>'Ratio Analysis'!D8:G8</xm:f>
              <xm:sqref>H8</xm:sqref>
            </x14:sparkline>
            <x14:sparkline>
              <xm:f>'Ratio Analysis'!D9:G9</xm:f>
              <xm:sqref>H9</xm:sqref>
            </x14:sparkline>
          </x14:sparklines>
        </x14:sparklineGroup>
      </x14:sparklineGroup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2452E-B958-3E40-8020-2EE7244B1D5D}">
  <dimension ref="A2:K46"/>
  <sheetViews>
    <sheetView showGridLines="0" zoomScale="89" workbookViewId="0">
      <selection activeCell="H35" sqref="H35"/>
    </sheetView>
  </sheetViews>
  <sheetFormatPr baseColWidth="10" defaultRowHeight="15" outlineLevelRow="2" x14ac:dyDescent="0.2"/>
  <cols>
    <col min="1" max="1" width="2" customWidth="1"/>
    <col min="2" max="2" width="41" bestFit="1" customWidth="1"/>
    <col min="3" max="3" width="11.6640625" bestFit="1" customWidth="1"/>
    <col min="5" max="5" width="11" bestFit="1" customWidth="1"/>
    <col min="6" max="6" width="11.6640625" bestFit="1" customWidth="1"/>
  </cols>
  <sheetData>
    <row r="2" spans="1:11" x14ac:dyDescent="0.2">
      <c r="B2" s="370" t="str">
        <f>"WACC - "&amp;'[2]Data Sheet'!B1</f>
        <v xml:space="preserve">WACC - Apple Inc. </v>
      </c>
      <c r="C2" s="370"/>
      <c r="D2" s="370"/>
      <c r="E2" s="370"/>
      <c r="F2" s="370"/>
      <c r="G2" s="370"/>
      <c r="H2" s="370"/>
      <c r="I2" s="370"/>
      <c r="J2" s="370"/>
      <c r="K2" s="370"/>
    </row>
    <row r="3" spans="1:11" x14ac:dyDescent="0.2">
      <c r="A3" t="s">
        <v>0</v>
      </c>
      <c r="B3" s="207" t="s">
        <v>273</v>
      </c>
      <c r="C3" s="208"/>
      <c r="D3" s="208"/>
      <c r="E3" s="208"/>
      <c r="F3" s="208"/>
      <c r="G3" s="208"/>
      <c r="H3" s="208"/>
      <c r="I3" s="208"/>
      <c r="J3" s="208"/>
      <c r="K3" s="208"/>
    </row>
    <row r="4" spans="1:11" outlineLevel="1" x14ac:dyDescent="0.2"/>
    <row r="5" spans="1:11" outlineLevel="1" x14ac:dyDescent="0.2">
      <c r="B5" s="245" t="s">
        <v>274</v>
      </c>
    </row>
    <row r="6" spans="1:11" outlineLevel="1" x14ac:dyDescent="0.2"/>
    <row r="7" spans="1:11" outlineLevel="1" x14ac:dyDescent="0.2">
      <c r="A7" t="s">
        <v>0</v>
      </c>
      <c r="B7" s="246" t="s">
        <v>275</v>
      </c>
      <c r="C7" s="247"/>
      <c r="D7" s="247"/>
      <c r="E7" s="247"/>
      <c r="F7" s="247"/>
      <c r="G7" s="247"/>
      <c r="H7" s="247"/>
      <c r="I7" s="247"/>
      <c r="J7" s="247"/>
      <c r="K7" s="247"/>
    </row>
    <row r="8" spans="1:11" outlineLevel="2" x14ac:dyDescent="0.2">
      <c r="H8" t="s">
        <v>276</v>
      </c>
      <c r="I8" t="s">
        <v>276</v>
      </c>
      <c r="J8" t="s">
        <v>277</v>
      </c>
      <c r="K8" t="s">
        <v>278</v>
      </c>
    </row>
    <row r="9" spans="1:11" ht="17" outlineLevel="2" x14ac:dyDescent="0.2">
      <c r="B9" s="27" t="s">
        <v>279</v>
      </c>
      <c r="C9" s="27"/>
      <c r="D9" s="27"/>
      <c r="E9" s="27" t="s">
        <v>30</v>
      </c>
      <c r="F9" s="27" t="s">
        <v>280</v>
      </c>
      <c r="G9" s="27" t="s">
        <v>281</v>
      </c>
      <c r="H9" s="27" t="s">
        <v>282</v>
      </c>
      <c r="I9" s="27" t="s">
        <v>283</v>
      </c>
      <c r="J9" s="27" t="s">
        <v>284</v>
      </c>
      <c r="K9" s="27" t="s">
        <v>285</v>
      </c>
    </row>
    <row r="10" spans="1:11" outlineLevel="2" x14ac:dyDescent="0.2"/>
    <row r="11" spans="1:11" ht="16" outlineLevel="2" x14ac:dyDescent="0.2">
      <c r="B11" s="209" t="str">
        <f>'[2]Data Sheet'!B1</f>
        <v xml:space="preserve">Apple Inc. </v>
      </c>
      <c r="E11" s="226">
        <f>'[2]Peer Comps'!F29</f>
        <v>-44569</v>
      </c>
      <c r="F11" s="226">
        <f>'[2]Peer Comps'!E29</f>
        <v>3591327</v>
      </c>
      <c r="G11" s="248">
        <f>24.09%</f>
        <v>0.2409</v>
      </c>
      <c r="H11" s="67">
        <f>E11/F11</f>
        <v>-1.2410175960028146E-2</v>
      </c>
      <c r="I11" s="67">
        <f>E11/(E11+F11)</f>
        <v>-1.2566123767113515E-2</v>
      </c>
    </row>
    <row r="12" spans="1:11" s="37" customFormat="1" ht="15" customHeight="1" outlineLevel="2" x14ac:dyDescent="0.2">
      <c r="B12" s="249" t="str">
        <f>'[2]Peer Comps'!B17</f>
        <v>Alphabet Inc. (NasdaqGS:GOOGL)</v>
      </c>
      <c r="E12" s="250">
        <f>'[2]Peer Comps'!F17</f>
        <v>-67520</v>
      </c>
      <c r="F12" s="250">
        <f>'[2]Peer Comps'!E17</f>
        <v>2129742.7000000002</v>
      </c>
      <c r="G12" s="248">
        <v>0.3</v>
      </c>
      <c r="H12" s="177">
        <f>E12/F12</f>
        <v>-3.1703360222810013E-2</v>
      </c>
      <c r="I12" s="177">
        <f>E12/(E12+F12)</f>
        <v>-3.2741371724789955E-2</v>
      </c>
      <c r="J12" s="37">
        <f>'[2]Peer Comps'!N44</f>
        <v>1.03</v>
      </c>
      <c r="K12" s="251">
        <f>J12/(1+(1-G12)*H12)</f>
        <v>1.0533769113700899</v>
      </c>
    </row>
    <row r="13" spans="1:11" s="37" customFormat="1" ht="15" customHeight="1" outlineLevel="2" x14ac:dyDescent="0.2">
      <c r="B13" s="249" t="str">
        <f>'[2]Peer Comps'!B18</f>
        <v>NVIDIA Corporation (NasdaqGS:NVDA)</v>
      </c>
      <c r="E13" s="250">
        <f>'[2]Peer Comps'!F18</f>
        <v>-32940</v>
      </c>
      <c r="F13" s="250">
        <f>'[2]Peer Comps'!E18</f>
        <v>2749636</v>
      </c>
      <c r="G13" s="248">
        <v>0.3</v>
      </c>
      <c r="H13" s="177">
        <f t="shared" ref="H13:H20" si="0">E13/F13</f>
        <v>-1.1979767503771409E-2</v>
      </c>
      <c r="I13" s="177">
        <f t="shared" ref="I13:I20" si="1">E13/(E13+F13)</f>
        <v>-1.2125022453745285E-2</v>
      </c>
      <c r="J13" s="37">
        <f>'[2]Peer Comps'!N45</f>
        <v>1.76</v>
      </c>
      <c r="K13" s="251">
        <f t="shared" ref="K13:K20" si="2">J13/(1+(1-G13)*H13)</f>
        <v>1.7748838874222561</v>
      </c>
    </row>
    <row r="14" spans="1:11" s="37" customFormat="1" ht="15" customHeight="1" outlineLevel="2" x14ac:dyDescent="0.2">
      <c r="B14" s="249" t="str">
        <f>'[2]Peer Comps'!B19</f>
        <v>Dell Technologies Inc. (NYSE:DELL)</v>
      </c>
      <c r="E14" s="250">
        <f>'[2]Peer Comps'!F19</f>
        <v>20934</v>
      </c>
      <c r="F14" s="250">
        <f>'[2]Peer Comps'!E19</f>
        <v>63812.1</v>
      </c>
      <c r="G14" s="248">
        <v>0.3</v>
      </c>
      <c r="H14" s="177">
        <f t="shared" si="0"/>
        <v>0.32805690456825587</v>
      </c>
      <c r="I14" s="177">
        <f t="shared" si="1"/>
        <v>0.24702021685953687</v>
      </c>
      <c r="J14" s="37">
        <f>'[2]Peer Comps'!N46</f>
        <v>0.9</v>
      </c>
      <c r="K14" s="251">
        <f t="shared" si="2"/>
        <v>0.73192163729722082</v>
      </c>
    </row>
    <row r="15" spans="1:11" s="37" customFormat="1" ht="15" customHeight="1" outlineLevel="2" x14ac:dyDescent="0.2">
      <c r="B15" s="249" t="str">
        <f>'[2]Peer Comps'!B20</f>
        <v>QUALCOMM Incorporated (NasdaqGS:QCOM)</v>
      </c>
      <c r="E15" s="250">
        <f>'[2]Peer Comps'!F20</f>
        <v>272</v>
      </c>
      <c r="F15" s="250">
        <f>'[2]Peer Comps'!E20</f>
        <v>178211.20000000001</v>
      </c>
      <c r="G15" s="248">
        <v>0.3</v>
      </c>
      <c r="H15" s="177">
        <f t="shared" si="0"/>
        <v>1.526278931963872E-3</v>
      </c>
      <c r="I15" s="177">
        <f t="shared" si="1"/>
        <v>1.523952954675846E-3</v>
      </c>
      <c r="J15" s="37">
        <f>'[2]Peer Comps'!N47</f>
        <v>1.29</v>
      </c>
      <c r="K15" s="251">
        <f t="shared" si="2"/>
        <v>1.2886232410471656</v>
      </c>
    </row>
    <row r="16" spans="1:11" s="37" customFormat="1" ht="15" customHeight="1" outlineLevel="2" x14ac:dyDescent="0.2">
      <c r="B16" s="249" t="str">
        <f>'[2]Peer Comps'!B21</f>
        <v>HP Inc. (NYSE:HPQ)</v>
      </c>
      <c r="E16" s="250">
        <f>'[2]Peer Comps'!F21</f>
        <v>8009</v>
      </c>
      <c r="F16" s="250">
        <f>'[2]Peer Comps'!E21</f>
        <v>28790.2</v>
      </c>
      <c r="G16" s="248">
        <v>0.3</v>
      </c>
      <c r="H16" s="177">
        <f t="shared" si="0"/>
        <v>0.27818493793026794</v>
      </c>
      <c r="I16" s="177">
        <f t="shared" si="1"/>
        <v>0.2176406008826279</v>
      </c>
      <c r="J16" s="37">
        <f>'[2]Peer Comps'!N48</f>
        <v>1.1100000000000001</v>
      </c>
      <c r="K16" s="251">
        <f t="shared" si="2"/>
        <v>0.92908063320395984</v>
      </c>
    </row>
    <row r="17" spans="2:11" s="37" customFormat="1" ht="15" customHeight="1" outlineLevel="2" x14ac:dyDescent="0.2">
      <c r="B17" s="249" t="str">
        <f>'[2]Peer Comps'!B22</f>
        <v>NetApp, Inc. (NasdaqGS:NTAP)</v>
      </c>
      <c r="E17" s="250">
        <f>'[2]Peer Comps'!F22</f>
        <v>-18</v>
      </c>
      <c r="F17" s="250">
        <f>'[2]Peer Comps'!E22</f>
        <v>19073.900000000001</v>
      </c>
      <c r="G17" s="248">
        <v>0.3</v>
      </c>
      <c r="H17" s="177">
        <f t="shared" si="0"/>
        <v>-9.4369793277725047E-4</v>
      </c>
      <c r="I17" s="177">
        <f t="shared" si="1"/>
        <v>-9.4458933978452866E-4</v>
      </c>
      <c r="J17" s="37">
        <f>'[2]Peer Comps'!N49</f>
        <v>1.23</v>
      </c>
      <c r="K17" s="251">
        <f t="shared" si="2"/>
        <v>1.2308130610189232</v>
      </c>
    </row>
    <row r="18" spans="2:11" s="37" customFormat="1" ht="15" customHeight="1" outlineLevel="2" x14ac:dyDescent="0.2">
      <c r="B18" s="249" t="str">
        <f>'[2]Peer Comps'!B23</f>
        <v>Western Digital Corporation (NasdaqGS:WDC)</v>
      </c>
      <c r="E18" s="250">
        <f>'[2]Peer Comps'!F23</f>
        <v>5418</v>
      </c>
      <c r="F18" s="250">
        <f>'[2]Peer Comps'!E23</f>
        <v>14504.3</v>
      </c>
      <c r="G18" s="248">
        <v>0.3</v>
      </c>
      <c r="H18" s="177">
        <f t="shared" si="0"/>
        <v>0.3735443971787677</v>
      </c>
      <c r="I18" s="177">
        <f t="shared" si="1"/>
        <v>0.27195655120141754</v>
      </c>
      <c r="J18" s="37">
        <f>'[2]Peer Comps'!N50</f>
        <v>1.46</v>
      </c>
      <c r="K18" s="251">
        <f t="shared" si="2"/>
        <v>1.1573697183675924</v>
      </c>
    </row>
    <row r="19" spans="2:11" s="37" customFormat="1" ht="15" customHeight="1" outlineLevel="2" x14ac:dyDescent="0.2">
      <c r="B19" s="249" t="str">
        <f>'[2]Peer Comps'!B24</f>
        <v>Hewlett Packard Enterprise Company (NYSE:HPE)</v>
      </c>
      <c r="E19" s="250">
        <f>'[2]Peer Comps'!F24</f>
        <v>5268</v>
      </c>
      <c r="F19" s="250">
        <f>'[2]Peer Comps'!E24</f>
        <v>20767.7</v>
      </c>
      <c r="G19" s="248">
        <v>0.3</v>
      </c>
      <c r="H19" s="177">
        <f t="shared" si="0"/>
        <v>0.25366314035738191</v>
      </c>
      <c r="I19" s="177">
        <f t="shared" si="1"/>
        <v>0.20233755958165134</v>
      </c>
      <c r="J19" s="37">
        <f>'[2]Peer Comps'!N51</f>
        <v>1.23</v>
      </c>
      <c r="K19" s="251">
        <f t="shared" si="2"/>
        <v>1.0445290386950887</v>
      </c>
    </row>
    <row r="20" spans="2:11" s="37" customFormat="1" ht="15" customHeight="1" outlineLevel="2" x14ac:dyDescent="0.2">
      <c r="B20" s="249" t="str">
        <f>'[2]Peer Comps'!B25</f>
        <v>Samsung Electronics Co., Ltd. (KOSE:A005930)</v>
      </c>
      <c r="E20" s="250">
        <f>'[2]Peer Comps'!F25</f>
        <v>-64467.8</v>
      </c>
      <c r="F20" s="250">
        <f>'[2]Peer Comps'!E25</f>
        <v>245246.5</v>
      </c>
      <c r="G20" s="248">
        <v>0.3</v>
      </c>
      <c r="H20" s="177">
        <f t="shared" si="0"/>
        <v>-0.26286939874779047</v>
      </c>
      <c r="I20" s="177">
        <f t="shared" si="1"/>
        <v>-0.3566117025954938</v>
      </c>
      <c r="J20" s="37">
        <f>'[2]Peer Comps'!N52</f>
        <v>0.74</v>
      </c>
      <c r="K20" s="251">
        <f t="shared" si="2"/>
        <v>0.90687227961917072</v>
      </c>
    </row>
    <row r="21" spans="2:11" s="37" customFormat="1" ht="15" customHeight="1" outlineLevel="2" x14ac:dyDescent="0.2">
      <c r="B21" s="252"/>
      <c r="F21" s="253" t="s">
        <v>286</v>
      </c>
      <c r="G21" s="254">
        <f>AVERAGE(G12:G20)</f>
        <v>0.3</v>
      </c>
      <c r="H21" s="255">
        <f>AVERAGE(H12:H20)</f>
        <v>0.1030532705066098</v>
      </c>
      <c r="I21" s="255">
        <f t="shared" ref="I21:K21" si="3">AVERAGE(I12:I20)</f>
        <v>5.9784021707343996E-2</v>
      </c>
      <c r="J21" s="256">
        <f t="shared" si="3"/>
        <v>1.1944444444444446</v>
      </c>
      <c r="K21" s="256">
        <f t="shared" si="3"/>
        <v>1.1241633786712741</v>
      </c>
    </row>
    <row r="22" spans="2:11" s="37" customFormat="1" ht="15" customHeight="1" outlineLevel="2" x14ac:dyDescent="0.2">
      <c r="B22" s="252"/>
      <c r="F22" s="257" t="s">
        <v>235</v>
      </c>
      <c r="G22" s="258">
        <f>MEDIAN(G12:G20)</f>
        <v>0.3</v>
      </c>
      <c r="H22" s="259">
        <f t="shared" ref="H22:K22" si="4">MEDIAN(H12:H20)</f>
        <v>1.526278931963872E-3</v>
      </c>
      <c r="I22" s="259">
        <f t="shared" si="4"/>
        <v>1.523952954675846E-3</v>
      </c>
      <c r="J22" s="260">
        <f t="shared" si="4"/>
        <v>1.23</v>
      </c>
      <c r="K22" s="260">
        <f t="shared" si="4"/>
        <v>1.0533769113700899</v>
      </c>
    </row>
    <row r="23" spans="2:11" s="37" customFormat="1" ht="15" customHeight="1" outlineLevel="1" x14ac:dyDescent="0.2">
      <c r="B23" s="252"/>
    </row>
    <row r="24" spans="2:11" outlineLevel="1" x14ac:dyDescent="0.2">
      <c r="B24" s="246" t="s">
        <v>287</v>
      </c>
      <c r="C24" s="247"/>
      <c r="D24" s="247"/>
      <c r="E24" s="247"/>
      <c r="G24" s="246" t="s">
        <v>288</v>
      </c>
      <c r="H24" s="247"/>
      <c r="I24" s="247"/>
      <c r="J24" s="247"/>
      <c r="K24" s="247"/>
    </row>
    <row r="25" spans="2:11" outlineLevel="1" x14ac:dyDescent="0.2"/>
    <row r="26" spans="2:11" outlineLevel="1" x14ac:dyDescent="0.2">
      <c r="B26" t="s">
        <v>289</v>
      </c>
      <c r="E26" s="261">
        <f>IFERROR('[2]Data Sheet'!H22/'[2]Data Sheet'!C286,0)</f>
        <v>0</v>
      </c>
      <c r="G26" t="s">
        <v>290</v>
      </c>
      <c r="K26" s="248">
        <v>4.2200000000000001E-2</v>
      </c>
    </row>
    <row r="27" spans="2:11" outlineLevel="1" x14ac:dyDescent="0.2">
      <c r="B27" s="239" t="s">
        <v>291</v>
      </c>
      <c r="C27" s="239"/>
      <c r="D27" s="239"/>
      <c r="E27" s="240">
        <f>G11</f>
        <v>0.2409</v>
      </c>
      <c r="G27" t="s">
        <v>292</v>
      </c>
      <c r="K27" s="67">
        <f>[2]Rm!F8-WACC!K26</f>
        <v>3.9496923076923068E-2</v>
      </c>
    </row>
    <row r="28" spans="2:11" ht="17" outlineLevel="1" x14ac:dyDescent="0.2">
      <c r="B28" s="262" t="s">
        <v>293</v>
      </c>
      <c r="C28" s="262"/>
      <c r="D28" s="262"/>
      <c r="E28" s="263">
        <f>E26*(1-E27)</f>
        <v>0</v>
      </c>
      <c r="G28" s="239" t="s">
        <v>294</v>
      </c>
      <c r="H28" s="239"/>
      <c r="I28" s="239"/>
      <c r="J28" s="239"/>
      <c r="K28" s="264">
        <f>K37</f>
        <v>1.1042209787857102</v>
      </c>
    </row>
    <row r="29" spans="2:11" outlineLevel="1" x14ac:dyDescent="0.2">
      <c r="G29" s="262" t="s">
        <v>288</v>
      </c>
      <c r="H29" s="262"/>
      <c r="I29" s="262"/>
      <c r="J29" s="262"/>
      <c r="K29" s="263">
        <f>IFERROR(K26+(K27*K28),0)</f>
        <v>8.581333105902389E-2</v>
      </c>
    </row>
    <row r="30" spans="2:11" outlineLevel="1" x14ac:dyDescent="0.2"/>
    <row r="31" spans="2:11" outlineLevel="1" x14ac:dyDescent="0.2"/>
    <row r="32" spans="2:11" outlineLevel="1" x14ac:dyDescent="0.2">
      <c r="B32" s="246" t="s">
        <v>66</v>
      </c>
      <c r="C32" s="247"/>
      <c r="D32" s="247"/>
      <c r="E32" s="247"/>
      <c r="G32" s="246" t="s">
        <v>295</v>
      </c>
      <c r="H32" s="247"/>
      <c r="I32" s="247"/>
      <c r="J32" s="247"/>
      <c r="K32" s="247"/>
    </row>
    <row r="33" spans="2:11" outlineLevel="1" x14ac:dyDescent="0.2"/>
    <row r="34" spans="2:11" outlineLevel="1" x14ac:dyDescent="0.2">
      <c r="D34" s="178" t="s">
        <v>296</v>
      </c>
      <c r="E34" s="178" t="s">
        <v>297</v>
      </c>
      <c r="G34" t="s">
        <v>298</v>
      </c>
      <c r="K34" s="265">
        <f>K22</f>
        <v>1.0533769113700899</v>
      </c>
    </row>
    <row r="35" spans="2:11" outlineLevel="1" x14ac:dyDescent="0.2">
      <c r="B35" t="s">
        <v>30</v>
      </c>
      <c r="C35" s="226">
        <f>E11</f>
        <v>-44569</v>
      </c>
      <c r="D35" s="67">
        <f>C35/C37</f>
        <v>-1.2566123767113515E-2</v>
      </c>
      <c r="E35" s="67">
        <f>I21</f>
        <v>5.9784021707343996E-2</v>
      </c>
      <c r="G35" t="s">
        <v>299</v>
      </c>
      <c r="K35" s="67">
        <f>E39</f>
        <v>6.358541344501098E-2</v>
      </c>
    </row>
    <row r="36" spans="2:11" outlineLevel="1" x14ac:dyDescent="0.2">
      <c r="B36" s="239" t="s">
        <v>300</v>
      </c>
      <c r="C36" s="266">
        <f>F11</f>
        <v>3591327</v>
      </c>
      <c r="D36" s="240">
        <f>C36/C37</f>
        <v>1.0125661237671135</v>
      </c>
      <c r="E36" s="240">
        <f>E37-E35</f>
        <v>0.94021597829265602</v>
      </c>
      <c r="G36" s="239" t="s">
        <v>101</v>
      </c>
      <c r="H36" s="239"/>
      <c r="I36" s="239"/>
      <c r="J36" s="239"/>
      <c r="K36" s="240">
        <f>E27</f>
        <v>0.2409</v>
      </c>
    </row>
    <row r="37" spans="2:11" outlineLevel="1" x14ac:dyDescent="0.2">
      <c r="B37" t="s">
        <v>301</v>
      </c>
      <c r="C37" s="226">
        <f>SUM(C35:C36)</f>
        <v>3546758</v>
      </c>
      <c r="D37" s="67">
        <f>SUM(D35:D36)</f>
        <v>1</v>
      </c>
      <c r="E37" s="67">
        <f>D37</f>
        <v>1</v>
      </c>
      <c r="G37" s="262" t="s">
        <v>295</v>
      </c>
      <c r="H37" s="262"/>
      <c r="I37" s="262"/>
      <c r="J37" s="262"/>
      <c r="K37" s="267">
        <f>K34*(1+(1-K36)*K35)</f>
        <v>1.1042209787857102</v>
      </c>
    </row>
    <row r="38" spans="2:11" outlineLevel="1" x14ac:dyDescent="0.2"/>
    <row r="39" spans="2:11" outlineLevel="1" x14ac:dyDescent="0.2">
      <c r="B39" s="262" t="s">
        <v>302</v>
      </c>
      <c r="C39" s="262"/>
      <c r="D39" s="263">
        <f>D35/D36</f>
        <v>-1.2410175960028145E-2</v>
      </c>
      <c r="E39" s="263">
        <f>E35/E36</f>
        <v>6.358541344501098E-2</v>
      </c>
      <c r="G39" s="246" t="s">
        <v>273</v>
      </c>
      <c r="H39" s="246"/>
      <c r="I39" s="247"/>
      <c r="J39" s="247"/>
      <c r="K39" s="247"/>
    </row>
    <row r="40" spans="2:11" outlineLevel="1" x14ac:dyDescent="0.2"/>
    <row r="41" spans="2:11" outlineLevel="1" x14ac:dyDescent="0.2">
      <c r="B41" s="268" t="s">
        <v>303</v>
      </c>
      <c r="J41" s="269" t="s">
        <v>304</v>
      </c>
      <c r="K41" s="269" t="s">
        <v>305</v>
      </c>
    </row>
    <row r="42" spans="2:11" outlineLevel="1" x14ac:dyDescent="0.2">
      <c r="B42" s="268" t="s">
        <v>306</v>
      </c>
      <c r="G42" t="s">
        <v>59</v>
      </c>
      <c r="J42" s="67">
        <f>E28</f>
        <v>0</v>
      </c>
      <c r="K42" s="67">
        <f>E35</f>
        <v>5.9784021707343996E-2</v>
      </c>
    </row>
    <row r="43" spans="2:11" outlineLevel="1" x14ac:dyDescent="0.2">
      <c r="B43" s="268" t="s">
        <v>307</v>
      </c>
      <c r="G43" s="27" t="s">
        <v>282</v>
      </c>
      <c r="H43" s="27"/>
      <c r="I43" s="27"/>
      <c r="J43" s="270">
        <f>K29</f>
        <v>8.581333105902389E-2</v>
      </c>
      <c r="K43" s="270">
        <f>E36</f>
        <v>0.94021597829265602</v>
      </c>
    </row>
    <row r="44" spans="2:11" outlineLevel="1" x14ac:dyDescent="0.2">
      <c r="B44" s="268" t="s">
        <v>308</v>
      </c>
      <c r="G44" s="262" t="s">
        <v>309</v>
      </c>
      <c r="H44" s="262"/>
      <c r="I44" s="262"/>
      <c r="J44" s="262"/>
      <c r="K44" s="263">
        <f>SUMPRODUCT(J42:J43,K42:K43)</f>
        <v>8.0683065012211716E-2</v>
      </c>
    </row>
    <row r="45" spans="2:11" outlineLevel="1" x14ac:dyDescent="0.2">
      <c r="B45" s="268" t="s">
        <v>310</v>
      </c>
    </row>
    <row r="46" spans="2:11" outlineLevel="1" x14ac:dyDescent="0.2"/>
  </sheetData>
  <mergeCells count="1">
    <mergeCell ref="B2:K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8C7D0-903C-5D4D-B6D6-6A447A47B475}">
  <dimension ref="A2:K66"/>
  <sheetViews>
    <sheetView showGridLines="0" topLeftCell="A37" workbookViewId="0">
      <selection activeCell="H35" sqref="H35"/>
    </sheetView>
  </sheetViews>
  <sheetFormatPr baseColWidth="10" defaultRowHeight="15" outlineLevelRow="1" x14ac:dyDescent="0.2"/>
  <cols>
    <col min="1" max="1" width="2" customWidth="1"/>
    <col min="8" max="8" width="10.6640625" customWidth="1"/>
    <col min="10" max="10" width="12.83203125" bestFit="1" customWidth="1"/>
  </cols>
  <sheetData>
    <row r="2" spans="1:11" x14ac:dyDescent="0.2">
      <c r="B2" s="370" t="s">
        <v>311</v>
      </c>
      <c r="C2" s="370"/>
      <c r="D2" s="370"/>
      <c r="E2" s="370"/>
      <c r="F2" s="370"/>
      <c r="G2" s="370"/>
      <c r="H2" s="370"/>
      <c r="I2" s="370"/>
      <c r="J2" s="370"/>
      <c r="K2" s="370"/>
    </row>
    <row r="3" spans="1:11" x14ac:dyDescent="0.2">
      <c r="B3" s="271"/>
      <c r="C3" s="271"/>
      <c r="D3" s="271"/>
      <c r="E3" s="271"/>
      <c r="F3" s="271"/>
      <c r="G3" s="271"/>
      <c r="H3" s="271"/>
      <c r="I3" s="271"/>
      <c r="J3" s="271"/>
      <c r="K3" s="271"/>
    </row>
    <row r="4" spans="1:11" x14ac:dyDescent="0.2">
      <c r="A4" t="s">
        <v>0</v>
      </c>
      <c r="B4" s="1" t="s">
        <v>312</v>
      </c>
      <c r="C4" s="36"/>
      <c r="D4" s="36"/>
      <c r="E4" s="36"/>
      <c r="F4" s="36"/>
      <c r="G4" s="205">
        <f>'[2]Historical FS'!$C$7</f>
        <v>44075</v>
      </c>
      <c r="H4" s="205">
        <f>'[2]Historical FS'!$D$7</f>
        <v>44440</v>
      </c>
      <c r="I4" s="205">
        <f>'[2]Historical FS'!$E$7</f>
        <v>44805</v>
      </c>
      <c r="J4" s="205">
        <f>'[2]Historical FS'!$F$7</f>
        <v>45170</v>
      </c>
      <c r="K4" s="205">
        <f>'[2]Historical FS'!$G$7</f>
        <v>45536</v>
      </c>
    </row>
    <row r="5" spans="1:11" ht="6" customHeight="1" outlineLevel="1" x14ac:dyDescent="0.2"/>
    <row r="6" spans="1:11" outlineLevel="1" x14ac:dyDescent="0.2">
      <c r="B6" s="16" t="s">
        <v>313</v>
      </c>
    </row>
    <row r="7" spans="1:11" outlineLevel="1" x14ac:dyDescent="0.2">
      <c r="B7" s="4" t="str">
        <f>'[2]Raw FS'!B32</f>
        <v>Cash And Equivalents</v>
      </c>
      <c r="C7" s="4"/>
      <c r="D7" s="4"/>
      <c r="E7" s="4"/>
      <c r="F7" s="4"/>
      <c r="G7" s="224">
        <f>'[2]Raw FS'!C32</f>
        <v>38016</v>
      </c>
      <c r="H7" s="224">
        <f>'[2]Raw FS'!D32</f>
        <v>34940</v>
      </c>
      <c r="I7" s="224">
        <f>'[2]Raw FS'!E32</f>
        <v>23646</v>
      </c>
      <c r="J7" s="224">
        <f>'[2]Raw FS'!F32</f>
        <v>29965</v>
      </c>
      <c r="K7" s="224">
        <f>'[2]Raw FS'!G32</f>
        <v>29943</v>
      </c>
    </row>
    <row r="8" spans="1:11" outlineLevel="1" x14ac:dyDescent="0.2">
      <c r="B8" s="4" t="str">
        <f>'[2]Raw FS'!B35</f>
        <v>Accounts Receivable</v>
      </c>
      <c r="C8" s="4"/>
      <c r="D8" s="4"/>
      <c r="E8" s="4"/>
      <c r="F8" s="4"/>
      <c r="G8" s="224">
        <f>'[2]Raw FS'!C35</f>
        <v>16120</v>
      </c>
      <c r="H8" s="224">
        <f>'[2]Raw FS'!D35</f>
        <v>26278</v>
      </c>
      <c r="I8" s="224">
        <f>'[2]Raw FS'!E35</f>
        <v>28184</v>
      </c>
      <c r="J8" s="224">
        <f>'[2]Raw FS'!F35</f>
        <v>29508</v>
      </c>
      <c r="K8" s="224">
        <f>'[2]Raw FS'!G35</f>
        <v>33410</v>
      </c>
    </row>
    <row r="9" spans="1:11" outlineLevel="1" x14ac:dyDescent="0.2">
      <c r="B9" s="4" t="str">
        <f>'[2]Raw FS'!B36</f>
        <v>Other Receivables</v>
      </c>
      <c r="C9" s="4"/>
      <c r="D9" s="4"/>
      <c r="E9" s="4"/>
      <c r="F9" s="4"/>
      <c r="G9" s="224">
        <f>'[2]Raw FS'!C36</f>
        <v>21325</v>
      </c>
      <c r="H9" s="224">
        <f>'[2]Raw FS'!D36</f>
        <v>25228</v>
      </c>
      <c r="I9" s="224">
        <f>'[2]Raw FS'!E36</f>
        <v>32748</v>
      </c>
      <c r="J9" s="224">
        <f>'[2]Raw FS'!F36</f>
        <v>31477</v>
      </c>
      <c r="K9" s="224">
        <f>'[2]Raw FS'!G36</f>
        <v>32833</v>
      </c>
    </row>
    <row r="10" spans="1:11" outlineLevel="1" x14ac:dyDescent="0.2">
      <c r="B10" s="4" t="str">
        <f>'[2]Raw FS'!B33</f>
        <v>Inventory</v>
      </c>
      <c r="C10" s="4"/>
      <c r="D10" s="4"/>
      <c r="E10" s="4"/>
      <c r="F10" s="4"/>
      <c r="G10" s="224">
        <f>'[2]Raw FS'!C33</f>
        <v>4061</v>
      </c>
      <c r="H10" s="224">
        <f>'[2]Raw FS'!D33</f>
        <v>6580</v>
      </c>
      <c r="I10" s="224">
        <f>'[2]Raw FS'!E33</f>
        <v>4946</v>
      </c>
      <c r="J10" s="224">
        <f>'[2]Raw FS'!F33</f>
        <v>6331</v>
      </c>
      <c r="K10" s="224">
        <f>'[2]Raw FS'!G33</f>
        <v>7286</v>
      </c>
    </row>
    <row r="11" spans="1:11" outlineLevel="1" x14ac:dyDescent="0.2">
      <c r="B11" t="str">
        <f>'[2]Raw FS'!B34</f>
        <v>Other Current Assets</v>
      </c>
      <c r="G11" s="226">
        <f>'[2]Raw FS'!C34</f>
        <v>11264</v>
      </c>
      <c r="H11" s="226">
        <f>'[2]Raw FS'!D34</f>
        <v>14111</v>
      </c>
      <c r="I11" s="226">
        <f>'[2]Raw FS'!E34</f>
        <v>21223</v>
      </c>
      <c r="J11" s="226">
        <f>'[2]Raw FS'!F34</f>
        <v>14695</v>
      </c>
      <c r="K11" s="226">
        <f>'[2]Raw FS'!G34</f>
        <v>14287</v>
      </c>
    </row>
    <row r="12" spans="1:11" outlineLevel="1" x14ac:dyDescent="0.2">
      <c r="B12" s="130" t="s">
        <v>224</v>
      </c>
      <c r="C12" s="130"/>
      <c r="D12" s="130"/>
      <c r="E12" s="130"/>
      <c r="F12" s="130"/>
      <c r="G12" s="272">
        <f>SUM(G7:G11)</f>
        <v>90786</v>
      </c>
      <c r="H12" s="272">
        <f t="shared" ref="H12:K12" si="0">SUM(H7:H11)</f>
        <v>107137</v>
      </c>
      <c r="I12" s="272">
        <f t="shared" si="0"/>
        <v>110747</v>
      </c>
      <c r="J12" s="272">
        <f t="shared" si="0"/>
        <v>111976</v>
      </c>
      <c r="K12" s="272">
        <f t="shared" si="0"/>
        <v>117759</v>
      </c>
    </row>
    <row r="13" spans="1:11" outlineLevel="1" x14ac:dyDescent="0.2">
      <c r="G13" s="226"/>
      <c r="H13" s="226"/>
      <c r="I13" s="226"/>
      <c r="J13" s="226"/>
      <c r="K13" s="226"/>
    </row>
    <row r="14" spans="1:11" outlineLevel="1" x14ac:dyDescent="0.2">
      <c r="B14" s="16" t="s">
        <v>314</v>
      </c>
      <c r="G14" s="226"/>
      <c r="H14" s="226"/>
      <c r="I14" s="226"/>
      <c r="J14" s="226"/>
      <c r="K14" s="226"/>
    </row>
    <row r="15" spans="1:11" outlineLevel="1" x14ac:dyDescent="0.2">
      <c r="B15" s="4" t="str">
        <f>'[2]Raw FS'!B10</f>
        <v>Accounts Payable</v>
      </c>
      <c r="C15" s="4"/>
      <c r="D15" s="4"/>
      <c r="E15" s="4"/>
      <c r="F15" s="4"/>
      <c r="G15" s="224">
        <f>'[2]Raw FS'!C10</f>
        <v>42296</v>
      </c>
      <c r="H15" s="224">
        <f>'[2]Raw FS'!D10</f>
        <v>54763</v>
      </c>
      <c r="I15" s="224">
        <f>'[2]Raw FS'!E10</f>
        <v>64115</v>
      </c>
      <c r="J15" s="224">
        <f>'[2]Raw FS'!F10</f>
        <v>62611</v>
      </c>
      <c r="K15" s="224">
        <f>'[2]Raw FS'!G10</f>
        <v>68960</v>
      </c>
    </row>
    <row r="16" spans="1:11" outlineLevel="1" x14ac:dyDescent="0.2">
      <c r="B16" s="4" t="str">
        <f>'[2]Raw FS'!B11</f>
        <v>Short-term Borrowings</v>
      </c>
      <c r="C16" s="4"/>
      <c r="D16" s="4"/>
      <c r="E16" s="4"/>
      <c r="F16" s="4"/>
      <c r="G16" s="224">
        <f>'[2]Raw FS'!C11</f>
        <v>4996</v>
      </c>
      <c r="H16" s="224">
        <f>'[2]Raw FS'!D11</f>
        <v>6000</v>
      </c>
      <c r="I16" s="224">
        <f>'[2]Raw FS'!E11</f>
        <v>9982</v>
      </c>
      <c r="J16" s="224">
        <f>'[2]Raw FS'!F11</f>
        <v>5985</v>
      </c>
      <c r="K16" s="224">
        <f>'[2]Raw FS'!G11</f>
        <v>9967</v>
      </c>
    </row>
    <row r="17" spans="1:11" outlineLevel="1" x14ac:dyDescent="0.2">
      <c r="B17" s="4" t="str">
        <f>'[2]Raw FS'!B12</f>
        <v>Curr. Port. of LT Debt</v>
      </c>
      <c r="C17" s="4"/>
      <c r="D17" s="4"/>
      <c r="E17" s="4"/>
      <c r="F17" s="4"/>
      <c r="G17" s="224">
        <f>'[2]Raw FS'!C12</f>
        <v>8773</v>
      </c>
      <c r="H17" s="224">
        <f>'[2]Raw FS'!D12</f>
        <v>9613</v>
      </c>
      <c r="I17" s="224">
        <f>'[2]Raw FS'!E12</f>
        <v>11128</v>
      </c>
      <c r="J17" s="224">
        <f>'[2]Raw FS'!F12</f>
        <v>9822</v>
      </c>
      <c r="K17" s="224">
        <f>'[2]Raw FS'!G12</f>
        <v>10912</v>
      </c>
    </row>
    <row r="18" spans="1:11" outlineLevel="1" x14ac:dyDescent="0.2">
      <c r="B18" s="4" t="str">
        <f>'[2]Raw FS'!B13</f>
        <v>Curr. Port. of Leases</v>
      </c>
      <c r="C18" s="4"/>
      <c r="D18" s="4"/>
      <c r="E18" s="4"/>
      <c r="F18" s="4"/>
      <c r="G18" s="224">
        <f>'[2]Raw FS'!C13</f>
        <v>1460</v>
      </c>
      <c r="H18" s="224">
        <f>'[2]Raw FS'!D13</f>
        <v>1528</v>
      </c>
      <c r="I18" s="224">
        <f>'[2]Raw FS'!E13</f>
        <v>1663</v>
      </c>
      <c r="J18" s="224">
        <f>'[2]Raw FS'!F13</f>
        <v>1575</v>
      </c>
      <c r="K18" s="224">
        <f>'[2]Raw FS'!G13</f>
        <v>1632</v>
      </c>
    </row>
    <row r="19" spans="1:11" outlineLevel="1" x14ac:dyDescent="0.2">
      <c r="B19" s="4" t="str">
        <f>'[2]Raw FS'!B14</f>
        <v>Curr. Income Taxes Payable</v>
      </c>
      <c r="C19" s="4"/>
      <c r="D19" s="4"/>
      <c r="E19" s="4"/>
      <c r="F19" s="4"/>
      <c r="G19" s="224" t="str">
        <f>'[2]Raw FS'!C14</f>
        <v>-</v>
      </c>
      <c r="H19" s="224" t="str">
        <f>'[2]Raw FS'!D14</f>
        <v>-</v>
      </c>
      <c r="I19" s="224" t="str">
        <f>'[2]Raw FS'!E14</f>
        <v>-</v>
      </c>
      <c r="J19" s="224">
        <f>'[2]Raw FS'!F14</f>
        <v>8819</v>
      </c>
      <c r="K19" s="224">
        <f>'[2]Raw FS'!G14</f>
        <v>26601</v>
      </c>
    </row>
    <row r="20" spans="1:11" outlineLevel="1" x14ac:dyDescent="0.2">
      <c r="B20" s="4" t="str">
        <f>'[2]Raw FS'!B15</f>
        <v>Unearned Revenue, Current</v>
      </c>
      <c r="C20" s="4"/>
      <c r="D20" s="4"/>
      <c r="E20" s="4"/>
      <c r="F20" s="4"/>
      <c r="G20" s="224">
        <f>'[2]Raw FS'!C15</f>
        <v>6643</v>
      </c>
      <c r="H20" s="224">
        <f>'[2]Raw FS'!D15</f>
        <v>7612</v>
      </c>
      <c r="I20" s="224">
        <f>'[2]Raw FS'!E15</f>
        <v>7912</v>
      </c>
      <c r="J20" s="224">
        <f>'[2]Raw FS'!F15</f>
        <v>8061</v>
      </c>
      <c r="K20" s="224">
        <f>'[2]Raw FS'!G15</f>
        <v>8249</v>
      </c>
    </row>
    <row r="21" spans="1:11" outlineLevel="1" x14ac:dyDescent="0.2">
      <c r="B21" t="str">
        <f>'[2]Raw FS'!B16</f>
        <v>Other Current Liabilities</v>
      </c>
      <c r="G21" s="226">
        <f>'[2]Raw FS'!C16</f>
        <v>41224</v>
      </c>
      <c r="H21" s="226">
        <f>'[2]Raw FS'!D16</f>
        <v>45965</v>
      </c>
      <c r="I21" s="226">
        <f>'[2]Raw FS'!E16</f>
        <v>59182</v>
      </c>
      <c r="J21" s="226">
        <f>'[2]Raw FS'!F16</f>
        <v>48435</v>
      </c>
      <c r="K21" s="226">
        <f>'[2]Raw FS'!G16</f>
        <v>50071</v>
      </c>
    </row>
    <row r="22" spans="1:11" outlineLevel="1" x14ac:dyDescent="0.2">
      <c r="B22" s="130" t="s">
        <v>315</v>
      </c>
      <c r="C22" s="130"/>
      <c r="D22" s="130"/>
      <c r="E22" s="130"/>
      <c r="F22" s="130"/>
      <c r="G22" s="272">
        <f>SUM(G15:G21)</f>
        <v>105392</v>
      </c>
      <c r="H22" s="272">
        <f t="shared" ref="H22:K22" si="1">SUM(H15:H21)</f>
        <v>125481</v>
      </c>
      <c r="I22" s="272">
        <f t="shared" si="1"/>
        <v>153982</v>
      </c>
      <c r="J22" s="272">
        <f t="shared" si="1"/>
        <v>145308</v>
      </c>
      <c r="K22" s="272">
        <f t="shared" si="1"/>
        <v>176392</v>
      </c>
    </row>
    <row r="23" spans="1:11" ht="6" customHeight="1" outlineLevel="1" x14ac:dyDescent="0.2">
      <c r="G23" s="226"/>
      <c r="H23" s="226"/>
      <c r="I23" s="226"/>
      <c r="J23" s="226"/>
      <c r="K23" s="226"/>
    </row>
    <row r="24" spans="1:11" ht="16" outlineLevel="1" thickBot="1" x14ac:dyDescent="0.25">
      <c r="A24" t="s">
        <v>0</v>
      </c>
      <c r="B24" s="235" t="s">
        <v>316</v>
      </c>
      <c r="C24" s="273"/>
      <c r="D24" s="273"/>
      <c r="E24" s="273"/>
      <c r="F24" s="273"/>
      <c r="G24" s="236">
        <f>G12-G22</f>
        <v>-14606</v>
      </c>
      <c r="H24" s="236">
        <f t="shared" ref="H24:K24" si="2">H12-H22</f>
        <v>-18344</v>
      </c>
      <c r="I24" s="236">
        <f t="shared" si="2"/>
        <v>-43235</v>
      </c>
      <c r="J24" s="236">
        <f t="shared" si="2"/>
        <v>-33332</v>
      </c>
      <c r="K24" s="236">
        <f t="shared" si="2"/>
        <v>-58633</v>
      </c>
    </row>
    <row r="25" spans="1:11" ht="16" outlineLevel="1" thickTop="1" x14ac:dyDescent="0.2">
      <c r="G25" s="226"/>
      <c r="H25" s="226"/>
      <c r="I25" s="226"/>
      <c r="J25" s="226"/>
      <c r="K25" s="226"/>
    </row>
    <row r="26" spans="1:11" outlineLevel="1" x14ac:dyDescent="0.2">
      <c r="B26" s="16" t="s">
        <v>317</v>
      </c>
      <c r="G26" s="226"/>
      <c r="H26" s="226"/>
      <c r="I26" s="226"/>
      <c r="J26" s="226"/>
      <c r="K26" s="226"/>
    </row>
    <row r="27" spans="1:11" outlineLevel="1" x14ac:dyDescent="0.2">
      <c r="B27" s="4" t="str">
        <f>'[2]Raw FS'!B24</f>
        <v>Gross Property, Plant &amp; Equipment</v>
      </c>
      <c r="C27" s="4"/>
      <c r="D27" s="4"/>
      <c r="E27" s="4"/>
      <c r="F27" s="4"/>
      <c r="G27" s="224">
        <f>'[2]Raw FS'!C24</f>
        <v>112096</v>
      </c>
      <c r="H27" s="224">
        <f>'[2]Raw FS'!D24</f>
        <v>119810</v>
      </c>
      <c r="I27" s="224">
        <f>'[2]Raw FS'!E24</f>
        <v>124874</v>
      </c>
      <c r="J27" s="224">
        <f>'[2]Raw FS'!F24</f>
        <v>114599</v>
      </c>
      <c r="K27" s="224">
        <f>'[2]Raw FS'!G24</f>
        <v>119128</v>
      </c>
    </row>
    <row r="28" spans="1:11" ht="6" customHeight="1" outlineLevel="1" x14ac:dyDescent="0.2">
      <c r="B28" s="169"/>
      <c r="C28" s="169"/>
      <c r="D28" s="169"/>
      <c r="E28" s="169"/>
      <c r="F28" s="169"/>
      <c r="G28" s="274"/>
      <c r="H28" s="274"/>
      <c r="I28" s="274"/>
      <c r="J28" s="274"/>
      <c r="K28" s="274"/>
    </row>
    <row r="29" spans="1:11" outlineLevel="1" x14ac:dyDescent="0.2">
      <c r="B29" s="269" t="str">
        <f>'[2]Raw FS'!B25</f>
        <v>Gross Block</v>
      </c>
      <c r="C29" s="239"/>
      <c r="D29" s="239"/>
      <c r="E29" s="239"/>
      <c r="F29" s="239"/>
      <c r="G29" s="275">
        <f>'[2]Raw FS'!C25</f>
        <v>112096</v>
      </c>
      <c r="H29" s="275">
        <f>'[2]Raw FS'!D25</f>
        <v>119810</v>
      </c>
      <c r="I29" s="275">
        <f>'[2]Raw FS'!E25</f>
        <v>124874</v>
      </c>
      <c r="J29" s="275">
        <f>'[2]Raw FS'!F25</f>
        <v>114599</v>
      </c>
      <c r="K29" s="275">
        <f>'[2]Raw FS'!G25</f>
        <v>119128</v>
      </c>
    </row>
    <row r="30" spans="1:11" outlineLevel="1" x14ac:dyDescent="0.2">
      <c r="B30" s="4" t="str">
        <f>'[2]Raw FS'!B26</f>
        <v>Accumulated Depreciation</v>
      </c>
      <c r="C30" s="4"/>
      <c r="D30" s="4"/>
      <c r="E30" s="4"/>
      <c r="F30" s="4"/>
      <c r="G30" s="224">
        <f>'[2]Raw FS'!C26</f>
        <v>-66760</v>
      </c>
      <c r="H30" s="224">
        <f>'[2]Raw FS'!D26</f>
        <v>-70283</v>
      </c>
      <c r="I30" s="224">
        <f>'[2]Raw FS'!E26</f>
        <v>-72340</v>
      </c>
      <c r="J30" s="224">
        <f>'[2]Raw FS'!F26</f>
        <v>-70884</v>
      </c>
      <c r="K30" s="224">
        <f>'[2]Raw FS'!G26</f>
        <v>-73448</v>
      </c>
    </row>
    <row r="31" spans="1:11" ht="6" customHeight="1" outlineLevel="1" x14ac:dyDescent="0.2">
      <c r="B31" s="169"/>
      <c r="C31" s="169"/>
      <c r="D31" s="169"/>
      <c r="E31" s="169"/>
      <c r="F31" s="169"/>
      <c r="G31" s="274"/>
      <c r="H31" s="274"/>
      <c r="I31" s="274"/>
      <c r="J31" s="274"/>
      <c r="K31" s="274"/>
    </row>
    <row r="32" spans="1:11" outlineLevel="1" x14ac:dyDescent="0.2">
      <c r="B32" s="269" t="s">
        <v>318</v>
      </c>
      <c r="C32" s="239"/>
      <c r="D32" s="239"/>
      <c r="E32" s="239"/>
      <c r="F32" s="239"/>
      <c r="G32" s="275">
        <f>SUM(G29:G30)</f>
        <v>45336</v>
      </c>
      <c r="H32" s="275">
        <f t="shared" ref="H32:K32" si="3">SUM(H29:H30)</f>
        <v>49527</v>
      </c>
      <c r="I32" s="275">
        <f t="shared" si="3"/>
        <v>52534</v>
      </c>
      <c r="J32" s="275">
        <f t="shared" si="3"/>
        <v>43715</v>
      </c>
      <c r="K32" s="275">
        <f t="shared" si="3"/>
        <v>45680</v>
      </c>
    </row>
    <row r="33" spans="1:11" outlineLevel="1" x14ac:dyDescent="0.2">
      <c r="B33" s="4" t="str">
        <f>'[2]Raw FS'!B37</f>
        <v>Deferred Tax Assets, LT</v>
      </c>
      <c r="C33" s="4"/>
      <c r="D33" s="4"/>
      <c r="E33" s="4"/>
      <c r="F33" s="4"/>
      <c r="G33" s="224" t="str">
        <f>'[2]Raw FS'!C37</f>
        <v>-</v>
      </c>
      <c r="H33" s="224" t="str">
        <f>'[2]Raw FS'!D37</f>
        <v>-</v>
      </c>
      <c r="I33" s="224" t="str">
        <f>'[2]Raw FS'!E37</f>
        <v>-</v>
      </c>
      <c r="J33" s="224">
        <f>'[2]Raw FS'!F37</f>
        <v>17852</v>
      </c>
      <c r="K33" s="224">
        <f>'[2]Raw FS'!G37</f>
        <v>19499</v>
      </c>
    </row>
    <row r="34" spans="1:11" outlineLevel="1" x14ac:dyDescent="0.2">
      <c r="B34" t="str">
        <f>'[2]Raw FS'!B38</f>
        <v>Other Long-Term Assets</v>
      </c>
      <c r="G34" s="226">
        <f>'[2]Raw FS'!C38</f>
        <v>33952</v>
      </c>
      <c r="H34" s="226">
        <f>'[2]Raw FS'!D38</f>
        <v>38762</v>
      </c>
      <c r="I34" s="226">
        <f>'[2]Raw FS'!E38</f>
        <v>44011</v>
      </c>
      <c r="J34" s="226">
        <f>'[2]Raw FS'!F38</f>
        <v>46906</v>
      </c>
      <c r="K34" s="226">
        <f>'[2]Raw FS'!G38</f>
        <v>55335</v>
      </c>
    </row>
    <row r="35" spans="1:11" ht="16" outlineLevel="1" thickBot="1" x14ac:dyDescent="0.25">
      <c r="A35" t="s">
        <v>0</v>
      </c>
      <c r="B35" s="14" t="s">
        <v>319</v>
      </c>
      <c r="C35" s="14"/>
      <c r="D35" s="14"/>
      <c r="E35" s="14"/>
      <c r="F35" s="14"/>
      <c r="G35" s="276">
        <f>SUM(G32:G34)</f>
        <v>79288</v>
      </c>
      <c r="H35" s="276">
        <f t="shared" ref="H35:K35" si="4">SUM(H32:H34)</f>
        <v>88289</v>
      </c>
      <c r="I35" s="276">
        <f t="shared" si="4"/>
        <v>96545</v>
      </c>
      <c r="J35" s="276">
        <f t="shared" si="4"/>
        <v>108473</v>
      </c>
      <c r="K35" s="276">
        <f t="shared" si="4"/>
        <v>120514</v>
      </c>
    </row>
    <row r="36" spans="1:11" outlineLevel="1" x14ac:dyDescent="0.2">
      <c r="G36" s="226"/>
      <c r="H36" s="226"/>
      <c r="I36" s="226"/>
      <c r="J36" s="226"/>
      <c r="K36" s="226"/>
    </row>
    <row r="37" spans="1:11" outlineLevel="1" x14ac:dyDescent="0.2">
      <c r="A37" t="s">
        <v>0</v>
      </c>
      <c r="B37" s="201" t="s">
        <v>320</v>
      </c>
      <c r="C37" s="201"/>
      <c r="D37" s="201"/>
      <c r="E37" s="201"/>
      <c r="F37" s="201"/>
      <c r="G37" s="227">
        <f>SUM(G24,G35)</f>
        <v>64682</v>
      </c>
      <c r="H37" s="227">
        <f t="shared" ref="H37:K37" si="5">SUM(H24,H35)</f>
        <v>69945</v>
      </c>
      <c r="I37" s="227">
        <f t="shared" si="5"/>
        <v>53310</v>
      </c>
      <c r="J37" s="227">
        <f t="shared" si="5"/>
        <v>75141</v>
      </c>
      <c r="K37" s="227">
        <f t="shared" si="5"/>
        <v>61881</v>
      </c>
    </row>
    <row r="38" spans="1:11" outlineLevel="1" x14ac:dyDescent="0.2">
      <c r="B38" s="4" t="s">
        <v>9</v>
      </c>
      <c r="C38" s="4"/>
      <c r="D38" s="4"/>
      <c r="E38" s="4"/>
      <c r="F38" s="4"/>
      <c r="G38" s="224">
        <f>'[2]Data Sheet'!C68</f>
        <v>66288</v>
      </c>
      <c r="H38" s="224">
        <f>'[2]Data Sheet'!D68</f>
        <v>108949</v>
      </c>
      <c r="I38" s="224">
        <f>'[2]Data Sheet'!E68</f>
        <v>119437</v>
      </c>
      <c r="J38" s="224">
        <f>'[2]Data Sheet'!F68</f>
        <v>114301</v>
      </c>
      <c r="K38" s="224">
        <f>'[2]Data Sheet'!G68</f>
        <v>123216</v>
      </c>
    </row>
    <row r="39" spans="1:11" ht="7" customHeight="1" outlineLevel="1" x14ac:dyDescent="0.2"/>
    <row r="40" spans="1:11" ht="16" outlineLevel="1" thickBot="1" x14ac:dyDescent="0.25">
      <c r="A40" t="s">
        <v>0</v>
      </c>
      <c r="B40" s="14" t="s">
        <v>321</v>
      </c>
      <c r="C40" s="14"/>
      <c r="D40" s="14"/>
      <c r="E40" s="14"/>
      <c r="F40" s="14"/>
      <c r="G40" s="277">
        <f>G38/G37</f>
        <v>1.0248291642187934</v>
      </c>
      <c r="H40" s="277">
        <f t="shared" ref="H40:K40" si="6">H38/H37</f>
        <v>1.5576381442562013</v>
      </c>
      <c r="I40" s="277">
        <f t="shared" si="6"/>
        <v>2.2404239354717688</v>
      </c>
      <c r="J40" s="277">
        <f t="shared" si="6"/>
        <v>1.5211535646318255</v>
      </c>
      <c r="K40" s="277">
        <f t="shared" si="6"/>
        <v>1.991176613176904</v>
      </c>
    </row>
    <row r="42" spans="1:11" x14ac:dyDescent="0.2">
      <c r="A42" t="s">
        <v>322</v>
      </c>
      <c r="B42" s="1" t="s">
        <v>323</v>
      </c>
      <c r="C42" s="36"/>
      <c r="D42" s="36"/>
      <c r="E42" s="36"/>
      <c r="F42" s="36"/>
      <c r="G42" s="205">
        <f>'[2]Historical FS'!$C$7</f>
        <v>44075</v>
      </c>
      <c r="H42" s="205">
        <f>'[2]Historical FS'!$D$7</f>
        <v>44440</v>
      </c>
      <c r="I42" s="205">
        <f>'[2]Historical FS'!$E$7</f>
        <v>44805</v>
      </c>
      <c r="J42" s="205">
        <f>'[2]Historical FS'!$F$7</f>
        <v>45170</v>
      </c>
      <c r="K42" s="205">
        <f>'[2]Historical FS'!$G$7</f>
        <v>45536</v>
      </c>
    </row>
    <row r="43" spans="1:11" ht="6" customHeight="1" outlineLevel="1" x14ac:dyDescent="0.2"/>
    <row r="44" spans="1:11" outlineLevel="1" x14ac:dyDescent="0.2">
      <c r="B44" s="4" t="s">
        <v>324</v>
      </c>
      <c r="C44" s="4"/>
      <c r="D44" s="4"/>
      <c r="E44" s="4"/>
      <c r="F44" s="4"/>
      <c r="G44" s="224">
        <f>-SUM('[2]Raw FS'!C56:C57)</f>
        <v>8833</v>
      </c>
      <c r="H44" s="224">
        <f>-SUM('[2]Raw FS'!D56:D57)</f>
        <v>11085</v>
      </c>
      <c r="I44" s="224">
        <f>-SUM('[2]Raw FS'!E56:E57)</f>
        <v>10708</v>
      </c>
      <c r="J44" s="224">
        <f>-SUM('[2]Raw FS'!F56:F57)</f>
        <v>10959</v>
      </c>
      <c r="K44" s="224">
        <f>-SUM('[2]Raw FS'!G56:G57)</f>
        <v>9447</v>
      </c>
    </row>
    <row r="45" spans="1:11" outlineLevel="1" x14ac:dyDescent="0.2">
      <c r="B45" s="4" t="s">
        <v>325</v>
      </c>
      <c r="C45" s="4"/>
      <c r="D45" s="4"/>
      <c r="E45" s="4"/>
      <c r="F45" s="4"/>
      <c r="G45" s="224"/>
      <c r="H45" s="224">
        <f>H24-G24</f>
        <v>-3738</v>
      </c>
      <c r="I45" s="224">
        <f t="shared" ref="I45:K45" si="7">I24-H24</f>
        <v>-24891</v>
      </c>
      <c r="J45" s="224">
        <f t="shared" si="7"/>
        <v>9903</v>
      </c>
      <c r="K45" s="224">
        <f t="shared" si="7"/>
        <v>-25301</v>
      </c>
    </row>
    <row r="46" spans="1:11" outlineLevel="1" x14ac:dyDescent="0.2">
      <c r="B46" s="4"/>
      <c r="C46" s="4"/>
      <c r="D46" s="4"/>
      <c r="E46" s="4"/>
      <c r="F46" s="4"/>
      <c r="G46" s="224"/>
      <c r="H46" s="224"/>
      <c r="I46" s="224"/>
      <c r="J46" s="224"/>
      <c r="K46" s="224"/>
    </row>
    <row r="47" spans="1:11" outlineLevel="1" x14ac:dyDescent="0.2">
      <c r="B47" s="4" t="s">
        <v>9</v>
      </c>
      <c r="C47" s="4"/>
      <c r="D47" s="4"/>
      <c r="E47" s="4"/>
      <c r="F47" s="4"/>
      <c r="G47" s="224">
        <f>G38</f>
        <v>66288</v>
      </c>
      <c r="H47" s="224">
        <f t="shared" ref="H47:K47" si="8">H38</f>
        <v>108949</v>
      </c>
      <c r="I47" s="224">
        <f t="shared" si="8"/>
        <v>119437</v>
      </c>
      <c r="J47" s="224">
        <f t="shared" si="8"/>
        <v>114301</v>
      </c>
      <c r="K47" s="224">
        <f t="shared" si="8"/>
        <v>123216</v>
      </c>
    </row>
    <row r="48" spans="1:11" outlineLevel="1" x14ac:dyDescent="0.2">
      <c r="B48" s="4" t="s">
        <v>326</v>
      </c>
      <c r="C48" s="4"/>
      <c r="D48" s="4"/>
      <c r="E48" s="4"/>
      <c r="F48" s="4"/>
      <c r="G48" s="278">
        <v>0.3</v>
      </c>
      <c r="H48" s="279">
        <f>G48</f>
        <v>0.3</v>
      </c>
      <c r="I48" s="279">
        <f t="shared" ref="I48:K48" si="9">H48</f>
        <v>0.3</v>
      </c>
      <c r="J48" s="279">
        <f t="shared" si="9"/>
        <v>0.3</v>
      </c>
      <c r="K48" s="279">
        <f t="shared" si="9"/>
        <v>0.3</v>
      </c>
    </row>
    <row r="49" spans="1:11" outlineLevel="1" x14ac:dyDescent="0.2">
      <c r="B49" s="4" t="s">
        <v>327</v>
      </c>
      <c r="C49" s="4"/>
      <c r="D49" s="4"/>
      <c r="E49" s="4"/>
      <c r="F49" s="4"/>
      <c r="G49" s="224">
        <f>G47*(1-G48)</f>
        <v>46401.599999999999</v>
      </c>
      <c r="H49" s="224">
        <f t="shared" ref="H49:K49" si="10">H47*(1-H48)</f>
        <v>76264.299999999988</v>
      </c>
      <c r="I49" s="224">
        <f t="shared" si="10"/>
        <v>83605.899999999994</v>
      </c>
      <c r="J49" s="224">
        <f t="shared" si="10"/>
        <v>80010.7</v>
      </c>
      <c r="K49" s="224">
        <f t="shared" si="10"/>
        <v>86251.199999999997</v>
      </c>
    </row>
    <row r="50" spans="1:11" outlineLevel="1" x14ac:dyDescent="0.2">
      <c r="B50" s="4"/>
      <c r="C50" s="4"/>
      <c r="D50" s="4"/>
      <c r="E50" s="4"/>
      <c r="F50" s="4"/>
      <c r="G50" s="224"/>
      <c r="H50" s="224"/>
      <c r="I50" s="224"/>
      <c r="J50" s="224"/>
      <c r="K50" s="224"/>
    </row>
    <row r="51" spans="1:11" outlineLevel="1" x14ac:dyDescent="0.2">
      <c r="B51" s="4" t="s">
        <v>328</v>
      </c>
      <c r="C51" s="4"/>
      <c r="D51" s="4"/>
      <c r="E51" s="4"/>
      <c r="F51" s="4"/>
      <c r="G51" s="224"/>
      <c r="H51" s="224">
        <f>SUM(H44:H45)</f>
        <v>7347</v>
      </c>
      <c r="I51" s="224">
        <f t="shared" ref="I51:K51" si="11">SUM(I44:I45)</f>
        <v>-14183</v>
      </c>
      <c r="J51" s="224">
        <f t="shared" si="11"/>
        <v>20862</v>
      </c>
      <c r="K51" s="224">
        <f t="shared" si="11"/>
        <v>-15854</v>
      </c>
    </row>
    <row r="52" spans="1:11" ht="6" customHeight="1" outlineLevel="1" x14ac:dyDescent="0.2"/>
    <row r="53" spans="1:11" ht="16" outlineLevel="1" thickBot="1" x14ac:dyDescent="0.25">
      <c r="B53" s="277" t="s">
        <v>329</v>
      </c>
      <c r="C53" s="277"/>
      <c r="D53" s="277"/>
      <c r="E53" s="277"/>
      <c r="F53" s="277"/>
      <c r="G53" s="277"/>
      <c r="H53" s="277">
        <f>H51/H49</f>
        <v>9.6336031406569017E-2</v>
      </c>
      <c r="I53" s="277">
        <f t="shared" ref="I53:K53" si="12">I51/I49</f>
        <v>-0.16964113776659304</v>
      </c>
      <c r="J53" s="277">
        <f t="shared" si="12"/>
        <v>0.26074012600814644</v>
      </c>
      <c r="K53" s="277">
        <f t="shared" si="12"/>
        <v>-0.18381193537017457</v>
      </c>
    </row>
    <row r="54" spans="1:11" outlineLevel="1" x14ac:dyDescent="0.2"/>
    <row r="55" spans="1:11" outlineLevel="1" x14ac:dyDescent="0.2">
      <c r="J55" s="280" t="s">
        <v>330</v>
      </c>
      <c r="K55" s="281">
        <f>AVERAGE(H53:K53)</f>
        <v>9.0577106948696445E-4</v>
      </c>
    </row>
    <row r="56" spans="1:11" outlineLevel="1" x14ac:dyDescent="0.2">
      <c r="J56" s="280" t="s">
        <v>331</v>
      </c>
      <c r="K56" s="281">
        <f>MEDIAN(H53:K53)</f>
        <v>-3.665255318001201E-2</v>
      </c>
    </row>
    <row r="58" spans="1:11" x14ac:dyDescent="0.2">
      <c r="A58" t="s">
        <v>0</v>
      </c>
      <c r="B58" s="1" t="s">
        <v>332</v>
      </c>
      <c r="C58" s="36"/>
      <c r="D58" s="36"/>
      <c r="E58" s="36"/>
      <c r="F58" s="36"/>
      <c r="G58" s="205">
        <f>'[2]Historical FS'!$C$7</f>
        <v>44075</v>
      </c>
      <c r="H58" s="205">
        <f>'[2]Historical FS'!$D$7</f>
        <v>44440</v>
      </c>
      <c r="I58" s="205">
        <f>'[2]Historical FS'!$E$7</f>
        <v>44805</v>
      </c>
      <c r="J58" s="205">
        <f>'[2]Historical FS'!$F$7</f>
        <v>45170</v>
      </c>
      <c r="K58" s="205">
        <f>'[2]Historical FS'!$G$7</f>
        <v>45536</v>
      </c>
    </row>
    <row r="59" spans="1:11" ht="6" customHeight="1" outlineLevel="1" x14ac:dyDescent="0.2"/>
    <row r="60" spans="1:11" outlineLevel="1" x14ac:dyDescent="0.2">
      <c r="B60" s="4" t="s">
        <v>329</v>
      </c>
      <c r="C60" s="4"/>
      <c r="D60" s="4"/>
      <c r="E60" s="4"/>
      <c r="F60" s="4"/>
      <c r="G60" s="7"/>
      <c r="H60" s="7">
        <f t="shared" ref="H60:K60" si="13">H53</f>
        <v>9.6336031406569017E-2</v>
      </c>
      <c r="I60" s="7">
        <f t="shared" si="13"/>
        <v>-0.16964113776659304</v>
      </c>
      <c r="J60" s="7">
        <f t="shared" si="13"/>
        <v>0.26074012600814644</v>
      </c>
      <c r="K60" s="7">
        <f t="shared" si="13"/>
        <v>-0.18381193537017457</v>
      </c>
    </row>
    <row r="61" spans="1:11" outlineLevel="1" x14ac:dyDescent="0.2">
      <c r="B61" s="4" t="s">
        <v>321</v>
      </c>
      <c r="C61" s="4"/>
      <c r="D61" s="4"/>
      <c r="E61" s="4"/>
      <c r="F61" s="4"/>
      <c r="G61" s="4"/>
      <c r="H61" s="7">
        <f>H40</f>
        <v>1.5576381442562013</v>
      </c>
      <c r="I61" s="7">
        <f t="shared" ref="I61:K61" si="14">I40</f>
        <v>2.2404239354717688</v>
      </c>
      <c r="J61" s="7">
        <f t="shared" si="14"/>
        <v>1.5211535646318255</v>
      </c>
      <c r="K61" s="7">
        <f t="shared" si="14"/>
        <v>1.991176613176904</v>
      </c>
    </row>
    <row r="62" spans="1:11" ht="6" customHeight="1" outlineLevel="1" x14ac:dyDescent="0.2"/>
    <row r="63" spans="1:11" ht="16" outlineLevel="1" thickBot="1" x14ac:dyDescent="0.25">
      <c r="B63" s="14" t="s">
        <v>333</v>
      </c>
      <c r="C63" s="14"/>
      <c r="D63" s="14"/>
      <c r="E63" s="14"/>
      <c r="F63" s="14"/>
      <c r="G63" s="14"/>
      <c r="H63" s="282">
        <f>H61*H60</f>
        <v>0.1500566771851353</v>
      </c>
      <c r="I63" s="282">
        <f t="shared" ref="I63:K63" si="15">I61*I60</f>
        <v>-0.38006806549293887</v>
      </c>
      <c r="J63" s="282">
        <f t="shared" si="15"/>
        <v>0.39662577211984329</v>
      </c>
      <c r="K63" s="282">
        <f t="shared" si="15"/>
        <v>-0.36600202693187617</v>
      </c>
    </row>
    <row r="64" spans="1:11" outlineLevel="1" x14ac:dyDescent="0.2"/>
    <row r="65" spans="10:11" outlineLevel="1" x14ac:dyDescent="0.2">
      <c r="J65" s="280" t="s">
        <v>330</v>
      </c>
      <c r="K65" s="281">
        <f>AVERAGE(H63:K63)</f>
        <v>-4.9846910779959112E-2</v>
      </c>
    </row>
    <row r="66" spans="10:11" outlineLevel="1" x14ac:dyDescent="0.2">
      <c r="J66" s="280" t="s">
        <v>331</v>
      </c>
      <c r="K66" s="281">
        <f>MEDIAN(H63:K63)</f>
        <v>-0.10797267487337042</v>
      </c>
    </row>
  </sheetData>
  <mergeCells count="1">
    <mergeCell ref="B2:K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09F12-68E5-BB44-8728-0BB619170D8A}">
  <dimension ref="A2:J41"/>
  <sheetViews>
    <sheetView showGridLines="0" workbookViewId="0">
      <selection activeCell="J26" sqref="J26"/>
    </sheetView>
  </sheetViews>
  <sheetFormatPr baseColWidth="10" defaultRowHeight="15" outlineLevelRow="1" x14ac:dyDescent="0.2"/>
  <cols>
    <col min="1" max="1" width="2" customWidth="1"/>
    <col min="4" max="4" width="13" bestFit="1" customWidth="1"/>
  </cols>
  <sheetData>
    <row r="2" spans="1:10" ht="16" x14ac:dyDescent="0.2">
      <c r="B2" s="372" t="s">
        <v>334</v>
      </c>
      <c r="C2" s="372"/>
      <c r="D2" s="372"/>
      <c r="E2" s="372"/>
      <c r="F2" s="372"/>
      <c r="G2" s="372"/>
      <c r="H2" s="372"/>
      <c r="I2" s="372"/>
      <c r="J2" s="372"/>
    </row>
    <row r="3" spans="1:10" ht="16" x14ac:dyDescent="0.2">
      <c r="B3" s="283"/>
      <c r="C3" s="283"/>
      <c r="D3" s="283"/>
      <c r="E3" s="283"/>
      <c r="F3" s="283"/>
      <c r="G3" s="283"/>
      <c r="H3" s="283"/>
      <c r="I3" s="283"/>
      <c r="J3" s="283"/>
    </row>
    <row r="4" spans="1:10" ht="16" x14ac:dyDescent="0.2">
      <c r="A4" t="s">
        <v>0</v>
      </c>
      <c r="B4" s="284" t="s">
        <v>335</v>
      </c>
      <c r="C4" s="284"/>
      <c r="D4" s="285"/>
      <c r="E4" s="286">
        <f>'[2]Historical FS'!G7</f>
        <v>45536</v>
      </c>
      <c r="F4" s="287">
        <f>365+E4</f>
        <v>45901</v>
      </c>
      <c r="G4" s="287">
        <f t="shared" ref="G4:J4" si="0">365+F4</f>
        <v>46266</v>
      </c>
      <c r="H4" s="287">
        <f t="shared" si="0"/>
        <v>46631</v>
      </c>
      <c r="I4" s="287">
        <f>366+H4</f>
        <v>46997</v>
      </c>
      <c r="J4" s="287">
        <f t="shared" si="0"/>
        <v>47362</v>
      </c>
    </row>
    <row r="5" spans="1:10" ht="6" customHeight="1" outlineLevel="1" x14ac:dyDescent="0.2">
      <c r="B5" s="288"/>
      <c r="C5" s="288"/>
      <c r="D5" s="288"/>
      <c r="E5" s="288"/>
      <c r="F5" s="288"/>
      <c r="G5" s="288"/>
      <c r="H5" s="288"/>
      <c r="I5" s="288"/>
      <c r="J5" s="288"/>
    </row>
    <row r="6" spans="1:10" ht="16" outlineLevel="1" x14ac:dyDescent="0.2">
      <c r="B6" s="289" t="s">
        <v>9</v>
      </c>
      <c r="C6" s="289"/>
      <c r="D6" s="289"/>
      <c r="E6" s="290">
        <f>'[2]Data Sheet'!G68</f>
        <v>123216</v>
      </c>
      <c r="F6" s="291">
        <f>E6*(1+$D$16)</f>
        <v>109912.03889280278</v>
      </c>
      <c r="G6" s="291">
        <f t="shared" ref="G6:J6" si="1">F6*(1+$D$16)</f>
        <v>98044.542052760939</v>
      </c>
      <c r="H6" s="291">
        <f t="shared" si="1"/>
        <v>87458.410590589687</v>
      </c>
      <c r="I6" s="291">
        <f t="shared" si="1"/>
        <v>78015.292058950203</v>
      </c>
      <c r="J6" s="291">
        <f t="shared" si="1"/>
        <v>69591.772294318129</v>
      </c>
    </row>
    <row r="7" spans="1:10" ht="16" outlineLevel="1" x14ac:dyDescent="0.2">
      <c r="B7" s="292" t="s">
        <v>101</v>
      </c>
      <c r="C7" s="292"/>
      <c r="D7" s="292"/>
      <c r="E7" s="293">
        <v>0.3</v>
      </c>
      <c r="F7" s="294">
        <f>E7</f>
        <v>0.3</v>
      </c>
      <c r="G7" s="294">
        <f t="shared" ref="G7:J7" si="2">F7</f>
        <v>0.3</v>
      </c>
      <c r="H7" s="294">
        <f t="shared" si="2"/>
        <v>0.3</v>
      </c>
      <c r="I7" s="294">
        <f t="shared" si="2"/>
        <v>0.3</v>
      </c>
      <c r="J7" s="294">
        <f t="shared" si="2"/>
        <v>0.3</v>
      </c>
    </row>
    <row r="8" spans="1:10" ht="16" outlineLevel="1" x14ac:dyDescent="0.2">
      <c r="B8" s="292" t="s">
        <v>336</v>
      </c>
      <c r="C8" s="292"/>
      <c r="D8" s="292"/>
      <c r="E8" s="295">
        <f>E6*(1-E7)</f>
        <v>86251.199999999997</v>
      </c>
      <c r="F8" s="295">
        <f t="shared" ref="F8:J8" si="3">F6*(1-F7)</f>
        <v>76938.427224961939</v>
      </c>
      <c r="G8" s="295">
        <f t="shared" si="3"/>
        <v>68631.179436932653</v>
      </c>
      <c r="H8" s="295">
        <f t="shared" si="3"/>
        <v>61220.887413412776</v>
      </c>
      <c r="I8" s="295">
        <f t="shared" si="3"/>
        <v>54610.704441265138</v>
      </c>
      <c r="J8" s="295">
        <f t="shared" si="3"/>
        <v>48714.240606022686</v>
      </c>
    </row>
    <row r="9" spans="1:10" ht="16" outlineLevel="1" x14ac:dyDescent="0.2">
      <c r="B9" s="289" t="s">
        <v>337</v>
      </c>
      <c r="C9" s="289"/>
      <c r="D9" s="292"/>
      <c r="E9" s="296">
        <v>0.4</v>
      </c>
      <c r="F9" s="297">
        <f>E9</f>
        <v>0.4</v>
      </c>
      <c r="G9" s="297">
        <f t="shared" ref="G9:J9" si="4">F9</f>
        <v>0.4</v>
      </c>
      <c r="H9" s="297">
        <f t="shared" si="4"/>
        <v>0.4</v>
      </c>
      <c r="I9" s="297">
        <f t="shared" si="4"/>
        <v>0.4</v>
      </c>
      <c r="J9" s="297">
        <f t="shared" si="4"/>
        <v>0.4</v>
      </c>
    </row>
    <row r="10" spans="1:10" ht="16" outlineLevel="1" x14ac:dyDescent="0.2">
      <c r="B10" s="289" t="s">
        <v>338</v>
      </c>
      <c r="C10" s="289"/>
      <c r="D10" s="289"/>
      <c r="E10" s="295">
        <f>E8*(1-E9)</f>
        <v>51750.719999999994</v>
      </c>
      <c r="F10" s="295">
        <f t="shared" ref="F10:J10" si="5">F8*(1-F9)</f>
        <v>46163.056334977162</v>
      </c>
      <c r="G10" s="295">
        <f t="shared" si="5"/>
        <v>41178.707662159592</v>
      </c>
      <c r="H10" s="295">
        <f t="shared" si="5"/>
        <v>36732.532448047663</v>
      </c>
      <c r="I10" s="295">
        <f t="shared" si="5"/>
        <v>32766.42266475908</v>
      </c>
      <c r="J10" s="295">
        <f t="shared" si="5"/>
        <v>29228.544363613611</v>
      </c>
    </row>
    <row r="11" spans="1:10" ht="16" outlineLevel="1" x14ac:dyDescent="0.2">
      <c r="B11" s="289" t="s">
        <v>339</v>
      </c>
      <c r="C11" s="289"/>
      <c r="D11" s="292"/>
      <c r="E11" s="298"/>
      <c r="F11" s="299">
        <v>0.5</v>
      </c>
      <c r="G11" s="292">
        <f>1+F11</f>
        <v>1.5</v>
      </c>
      <c r="H11" s="292">
        <f t="shared" ref="H11:J11" si="6">1+G11</f>
        <v>2.5</v>
      </c>
      <c r="I11" s="292">
        <f t="shared" si="6"/>
        <v>3.5</v>
      </c>
      <c r="J11" s="292">
        <f t="shared" si="6"/>
        <v>4.5</v>
      </c>
    </row>
    <row r="12" spans="1:10" ht="16" outlineLevel="1" x14ac:dyDescent="0.2">
      <c r="B12" s="289" t="s">
        <v>340</v>
      </c>
      <c r="C12" s="289"/>
      <c r="D12" s="292"/>
      <c r="E12" s="298"/>
      <c r="F12" s="300">
        <f>1/(1+D18)^F11</f>
        <v>0.96194629679861443</v>
      </c>
      <c r="G12" s="300">
        <f t="shared" ref="G12:J12" si="7">1/(1+E18)^G11</f>
        <v>1</v>
      </c>
      <c r="H12" s="300">
        <f t="shared" si="7"/>
        <v>1</v>
      </c>
      <c r="I12" s="300">
        <f t="shared" si="7"/>
        <v>1</v>
      </c>
      <c r="J12" s="300">
        <f t="shared" si="7"/>
        <v>1</v>
      </c>
    </row>
    <row r="13" spans="1:10" ht="6" customHeight="1" outlineLevel="1" x14ac:dyDescent="0.2">
      <c r="B13" s="288"/>
      <c r="C13" s="288"/>
      <c r="D13" s="288"/>
      <c r="E13" s="301"/>
      <c r="F13" s="288"/>
      <c r="G13" s="288"/>
      <c r="H13" s="288"/>
      <c r="I13" s="288"/>
      <c r="J13" s="288"/>
    </row>
    <row r="14" spans="1:10" ht="17" outlineLevel="1" thickBot="1" x14ac:dyDescent="0.25">
      <c r="B14" s="302" t="s">
        <v>341</v>
      </c>
      <c r="C14" s="302"/>
      <c r="D14" s="302"/>
      <c r="E14" s="303"/>
      <c r="F14" s="304">
        <f>F10*F12</f>
        <v>44406.381090337098</v>
      </c>
      <c r="G14" s="304">
        <f t="shared" ref="G14:J14" si="8">G10*G12</f>
        <v>41178.707662159592</v>
      </c>
      <c r="H14" s="304">
        <f t="shared" si="8"/>
        <v>36732.532448047663</v>
      </c>
      <c r="I14" s="304">
        <f t="shared" si="8"/>
        <v>32766.42266475908</v>
      </c>
      <c r="J14" s="304">
        <f t="shared" si="8"/>
        <v>29228.544363613611</v>
      </c>
    </row>
    <row r="15" spans="1:10" ht="17" outlineLevel="1" thickTop="1" x14ac:dyDescent="0.2">
      <c r="B15" s="288"/>
      <c r="C15" s="288"/>
      <c r="D15" s="288"/>
      <c r="E15" s="288"/>
      <c r="F15" s="288"/>
      <c r="G15" s="288"/>
      <c r="H15" s="288"/>
      <c r="I15" s="288"/>
      <c r="J15" s="288"/>
    </row>
    <row r="16" spans="1:10" ht="16" outlineLevel="1" x14ac:dyDescent="0.2">
      <c r="B16" s="305" t="s">
        <v>342</v>
      </c>
      <c r="C16" s="305"/>
      <c r="D16" s="306">
        <f>'[2]Intrinsic Growth '!K69</f>
        <v>-0.10797267487337042</v>
      </c>
      <c r="E16" s="288"/>
      <c r="F16" s="288"/>
      <c r="G16" s="288"/>
      <c r="H16" s="288"/>
      <c r="I16" s="288"/>
      <c r="J16" s="288"/>
    </row>
    <row r="17" spans="1:10" ht="16" outlineLevel="1" x14ac:dyDescent="0.2">
      <c r="B17" s="305" t="s">
        <v>343</v>
      </c>
      <c r="C17" s="305"/>
      <c r="D17" s="307">
        <v>2.5000000000000001E-2</v>
      </c>
      <c r="E17" s="288"/>
      <c r="F17" s="288"/>
      <c r="G17" s="288"/>
      <c r="H17" s="288"/>
      <c r="I17" s="288"/>
      <c r="J17" s="288"/>
    </row>
    <row r="18" spans="1:10" ht="16" outlineLevel="1" x14ac:dyDescent="0.2">
      <c r="B18" s="305" t="s">
        <v>309</v>
      </c>
      <c r="C18" s="305"/>
      <c r="D18" s="306">
        <f>[2]WACC!K49</f>
        <v>8.0683065012211716E-2</v>
      </c>
      <c r="E18" s="288"/>
      <c r="F18" s="288"/>
      <c r="G18" s="288"/>
      <c r="H18" s="288"/>
      <c r="I18" s="288"/>
      <c r="J18" s="288"/>
    </row>
    <row r="19" spans="1:10" ht="16" x14ac:dyDescent="0.2">
      <c r="B19" s="288"/>
      <c r="C19" s="288"/>
      <c r="D19" s="288"/>
      <c r="E19" s="288"/>
      <c r="F19" s="288"/>
      <c r="G19" s="288"/>
      <c r="H19" s="288"/>
      <c r="I19" s="288"/>
      <c r="J19" s="288"/>
    </row>
    <row r="20" spans="1:10" ht="16" x14ac:dyDescent="0.2">
      <c r="A20" t="s">
        <v>0</v>
      </c>
      <c r="B20" s="284" t="s">
        <v>344</v>
      </c>
      <c r="C20" s="284"/>
      <c r="D20" s="284"/>
      <c r="E20" s="288"/>
      <c r="F20" s="288"/>
      <c r="G20" s="288"/>
      <c r="H20" s="288"/>
      <c r="I20" s="288"/>
      <c r="J20" s="288"/>
    </row>
    <row r="21" spans="1:10" ht="6" customHeight="1" outlineLevel="1" x14ac:dyDescent="0.2">
      <c r="B21" s="288"/>
      <c r="C21" s="288"/>
      <c r="D21" s="288"/>
      <c r="E21" s="288"/>
      <c r="F21" s="288"/>
      <c r="G21" s="288"/>
      <c r="H21" s="288"/>
      <c r="I21" s="288"/>
      <c r="J21" s="288"/>
    </row>
    <row r="22" spans="1:10" ht="16" outlineLevel="1" x14ac:dyDescent="0.2">
      <c r="B22" s="288" t="s">
        <v>345</v>
      </c>
      <c r="C22" s="288"/>
      <c r="D22" s="308">
        <f>J10*(1+D16)</f>
        <v>26072.660246019273</v>
      </c>
      <c r="E22" s="288"/>
      <c r="F22" s="288"/>
      <c r="G22" s="288"/>
      <c r="H22" s="288"/>
      <c r="I22" s="288"/>
      <c r="J22" s="288"/>
    </row>
    <row r="23" spans="1:10" ht="16" outlineLevel="1" x14ac:dyDescent="0.2">
      <c r="B23" s="288" t="s">
        <v>309</v>
      </c>
      <c r="C23" s="288"/>
      <c r="D23" s="309">
        <f>D18</f>
        <v>8.0683065012211716E-2</v>
      </c>
      <c r="E23" s="288"/>
      <c r="F23" s="288"/>
      <c r="G23" s="288"/>
      <c r="H23" s="288"/>
      <c r="I23" s="288"/>
      <c r="J23" s="288"/>
    </row>
    <row r="24" spans="1:10" ht="16" outlineLevel="1" x14ac:dyDescent="0.2">
      <c r="B24" s="288" t="s">
        <v>346</v>
      </c>
      <c r="C24" s="288"/>
      <c r="D24" s="309">
        <f>D17</f>
        <v>2.5000000000000001E-2</v>
      </c>
      <c r="E24" s="288"/>
      <c r="F24" s="288"/>
      <c r="G24" s="288"/>
      <c r="H24" s="288"/>
      <c r="I24" s="288"/>
      <c r="J24" s="288"/>
    </row>
    <row r="25" spans="1:10" ht="6" customHeight="1" outlineLevel="1" x14ac:dyDescent="0.2">
      <c r="B25" s="288"/>
      <c r="C25" s="288"/>
      <c r="D25" s="288"/>
      <c r="E25" s="288"/>
      <c r="F25" s="288"/>
      <c r="G25" s="288"/>
      <c r="H25" s="288"/>
      <c r="I25" s="288"/>
      <c r="J25" s="288"/>
    </row>
    <row r="26" spans="1:10" ht="17" outlineLevel="1" thickBot="1" x14ac:dyDescent="0.25">
      <c r="B26" s="302" t="s">
        <v>347</v>
      </c>
      <c r="C26" s="302"/>
      <c r="D26" s="304">
        <f>D22/(D23-D24)</f>
        <v>468233.20950995322</v>
      </c>
      <c r="E26" s="288"/>
      <c r="F26" s="288"/>
      <c r="G26" s="288"/>
      <c r="H26" s="288"/>
      <c r="I26" s="288"/>
      <c r="J26" s="288"/>
    </row>
    <row r="27" spans="1:10" ht="17" thickTop="1" x14ac:dyDescent="0.2">
      <c r="B27" s="288"/>
      <c r="C27" s="288"/>
      <c r="D27" s="288"/>
      <c r="E27" s="288"/>
      <c r="F27" s="288"/>
      <c r="G27" s="288"/>
      <c r="H27" s="288"/>
      <c r="I27" s="288"/>
      <c r="J27" s="288"/>
    </row>
    <row r="28" spans="1:10" ht="16" x14ac:dyDescent="0.2">
      <c r="A28" t="s">
        <v>0</v>
      </c>
      <c r="B28" s="284" t="s">
        <v>348</v>
      </c>
      <c r="C28" s="284"/>
      <c r="D28" s="284"/>
      <c r="E28" s="288"/>
      <c r="F28" s="288"/>
      <c r="G28" s="288"/>
      <c r="H28" s="288"/>
      <c r="I28" s="288"/>
      <c r="J28" s="288"/>
    </row>
    <row r="29" spans="1:10" ht="6" customHeight="1" outlineLevel="1" x14ac:dyDescent="0.2">
      <c r="B29" s="288"/>
      <c r="C29" s="288"/>
      <c r="D29" s="288"/>
      <c r="E29" s="288"/>
      <c r="F29" s="288"/>
      <c r="G29" s="288"/>
      <c r="H29" s="288"/>
      <c r="I29" s="288"/>
      <c r="J29" s="288"/>
    </row>
    <row r="30" spans="1:10" ht="16" outlineLevel="1" x14ac:dyDescent="0.2">
      <c r="B30" s="288" t="s">
        <v>341</v>
      </c>
      <c r="C30" s="288"/>
      <c r="D30" s="308">
        <f>SUM(F14:J14)</f>
        <v>184312.58822891704</v>
      </c>
      <c r="E30" s="288"/>
      <c r="F30" s="288"/>
      <c r="G30" s="288"/>
      <c r="H30" s="288"/>
      <c r="I30" s="288"/>
      <c r="J30" s="288"/>
    </row>
    <row r="31" spans="1:10" ht="16" outlineLevel="1" x14ac:dyDescent="0.2">
      <c r="B31" s="288" t="s">
        <v>349</v>
      </c>
      <c r="C31" s="288"/>
      <c r="D31" s="308">
        <f>D26*J12</f>
        <v>468233.20950995322</v>
      </c>
      <c r="E31" s="288"/>
      <c r="F31" s="288"/>
      <c r="G31" s="288"/>
      <c r="H31" s="288"/>
      <c r="I31" s="288"/>
      <c r="J31" s="288"/>
    </row>
    <row r="32" spans="1:10" ht="16" outlineLevel="1" x14ac:dyDescent="0.2">
      <c r="B32" s="310" t="s">
        <v>350</v>
      </c>
      <c r="C32" s="310"/>
      <c r="D32" s="311">
        <f>SUM(D30:D31)</f>
        <v>652545.79773887026</v>
      </c>
      <c r="E32" s="288"/>
      <c r="F32" s="288"/>
      <c r="G32" s="288"/>
      <c r="H32" s="288"/>
      <c r="I32" s="288"/>
      <c r="J32" s="288"/>
    </row>
    <row r="33" spans="2:10" ht="16" outlineLevel="1" x14ac:dyDescent="0.2">
      <c r="B33" s="288" t="s">
        <v>351</v>
      </c>
      <c r="C33" s="288"/>
      <c r="D33" s="309"/>
      <c r="E33" s="288"/>
      <c r="F33" s="288"/>
      <c r="G33" s="288"/>
      <c r="H33" s="288"/>
      <c r="I33" s="288"/>
      <c r="J33" s="288"/>
    </row>
    <row r="34" spans="2:10" ht="16" outlineLevel="1" x14ac:dyDescent="0.2">
      <c r="B34" s="288" t="s">
        <v>352</v>
      </c>
      <c r="C34" s="288"/>
      <c r="D34" s="308">
        <f>'[2]Data Sheet'!H101</f>
        <v>30299</v>
      </c>
      <c r="E34" s="288"/>
      <c r="F34" s="288"/>
      <c r="G34" s="288"/>
      <c r="H34" s="288"/>
      <c r="I34" s="288"/>
      <c r="J34" s="288"/>
    </row>
    <row r="35" spans="2:10" ht="16" outlineLevel="1" x14ac:dyDescent="0.2">
      <c r="B35" s="288" t="s">
        <v>353</v>
      </c>
      <c r="C35" s="288"/>
      <c r="D35" s="308">
        <f>'[2]Data Sheet'!C286</f>
        <v>96799</v>
      </c>
      <c r="E35" s="288"/>
      <c r="F35" s="288"/>
      <c r="G35" s="288"/>
      <c r="H35" s="288"/>
      <c r="I35" s="288"/>
      <c r="J35" s="288"/>
    </row>
    <row r="36" spans="2:10" ht="16" outlineLevel="1" x14ac:dyDescent="0.2">
      <c r="B36" s="310" t="s">
        <v>354</v>
      </c>
      <c r="C36" s="310"/>
      <c r="D36" s="311">
        <f>D32+D34-D35</f>
        <v>586045.79773887026</v>
      </c>
      <c r="E36" s="288"/>
      <c r="F36" s="288"/>
      <c r="G36" s="288"/>
      <c r="H36" s="288"/>
      <c r="I36" s="288"/>
      <c r="J36" s="288"/>
    </row>
    <row r="37" spans="2:10" ht="16" outlineLevel="1" x14ac:dyDescent="0.2">
      <c r="B37" s="288" t="s">
        <v>355</v>
      </c>
      <c r="C37" s="288"/>
      <c r="D37" s="312">
        <f>'[2]Data Sheet'!C282</f>
        <v>15022.073</v>
      </c>
      <c r="E37" s="288"/>
      <c r="F37" s="288"/>
      <c r="G37" s="288"/>
      <c r="H37" s="288"/>
      <c r="I37" s="288"/>
      <c r="J37" s="288"/>
    </row>
    <row r="38" spans="2:10" ht="17" outlineLevel="1" thickBot="1" x14ac:dyDescent="0.25">
      <c r="B38" s="302" t="s">
        <v>356</v>
      </c>
      <c r="C38" s="302"/>
      <c r="D38" s="304">
        <f>D36/D37</f>
        <v>39.012311931839918</v>
      </c>
      <c r="E38" s="288"/>
      <c r="F38" s="288"/>
      <c r="G38" s="288"/>
      <c r="H38" s="288"/>
      <c r="I38" s="288"/>
      <c r="J38" s="288"/>
    </row>
    <row r="39" spans="2:10" ht="17" outlineLevel="1" thickTop="1" x14ac:dyDescent="0.2">
      <c r="B39" s="288"/>
      <c r="C39" s="288"/>
      <c r="D39" s="309"/>
      <c r="E39" s="288"/>
      <c r="F39" s="288"/>
      <c r="G39" s="288"/>
      <c r="H39" s="288"/>
      <c r="I39" s="288"/>
      <c r="J39" s="288"/>
    </row>
    <row r="40" spans="2:10" ht="16" outlineLevel="1" x14ac:dyDescent="0.2">
      <c r="B40" s="313" t="s">
        <v>357</v>
      </c>
      <c r="C40" s="314"/>
      <c r="D40" s="315">
        <f>'[2]Data Sheet'!C281</f>
        <v>239.07</v>
      </c>
      <c r="E40" s="288"/>
      <c r="F40" s="288"/>
      <c r="G40" s="288"/>
      <c r="H40" s="288"/>
      <c r="I40" s="288"/>
      <c r="J40" s="288"/>
    </row>
    <row r="41" spans="2:10" ht="16" outlineLevel="1" x14ac:dyDescent="0.2">
      <c r="B41" s="313" t="s">
        <v>358</v>
      </c>
      <c r="C41" s="313"/>
      <c r="D41" s="316">
        <f>D40/D38</f>
        <v>6.1280654275934587</v>
      </c>
      <c r="E41" s="317"/>
      <c r="F41" s="288"/>
      <c r="G41" s="288"/>
      <c r="H41" s="288"/>
      <c r="I41" s="288"/>
      <c r="J41" s="288"/>
    </row>
  </sheetData>
  <mergeCells count="1">
    <mergeCell ref="B2:J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94731-D8E9-5C46-A8B5-241C2342A29B}">
  <sheetPr>
    <tabColor theme="3" tint="9.9978637043366805E-2"/>
  </sheetPr>
  <dimension ref="A1"/>
  <sheetViews>
    <sheetView workbookViewId="0">
      <selection activeCell="S41" sqref="S41"/>
    </sheetView>
  </sheetViews>
  <sheetFormatPr baseColWidth="10" defaultRowHeight="15" x14ac:dyDescent="0.2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203A6-AD2A-E345-8271-88DC0CFAE965}">
  <dimension ref="B1:J297"/>
  <sheetViews>
    <sheetView showGridLines="0" tabSelected="1" zoomScale="113" workbookViewId="0">
      <selection activeCell="J221" sqref="J221"/>
    </sheetView>
  </sheetViews>
  <sheetFormatPr baseColWidth="10" defaultRowHeight="15" x14ac:dyDescent="0.2"/>
  <cols>
    <col min="2" max="2" width="36.6640625" customWidth="1"/>
  </cols>
  <sheetData>
    <row r="1" spans="2:10" ht="17" x14ac:dyDescent="0.2">
      <c r="B1" s="318" t="s">
        <v>359</v>
      </c>
    </row>
    <row r="2" spans="2:10" x14ac:dyDescent="0.2">
      <c r="B2" s="319" t="s">
        <v>203</v>
      </c>
      <c r="C2" s="319"/>
      <c r="D2" s="319"/>
      <c r="E2" s="319"/>
      <c r="F2" s="319"/>
      <c r="G2" s="319"/>
      <c r="H2" s="319"/>
    </row>
    <row r="3" spans="2:10" ht="37" x14ac:dyDescent="0.2">
      <c r="B3" s="320" t="s">
        <v>360</v>
      </c>
      <c r="C3" s="321" t="s">
        <v>361</v>
      </c>
      <c r="D3" s="321" t="s">
        <v>362</v>
      </c>
      <c r="E3" s="321" t="s">
        <v>363</v>
      </c>
      <c r="F3" s="321" t="s">
        <v>364</v>
      </c>
      <c r="G3" s="321" t="s">
        <v>365</v>
      </c>
      <c r="H3" s="321" t="s">
        <v>366</v>
      </c>
    </row>
    <row r="4" spans="2:10" x14ac:dyDescent="0.2">
      <c r="B4" s="322" t="s">
        <v>367</v>
      </c>
      <c r="C4" s="323" t="s">
        <v>368</v>
      </c>
      <c r="D4" s="323" t="s">
        <v>368</v>
      </c>
      <c r="E4" s="323" t="s">
        <v>368</v>
      </c>
      <c r="F4" s="323" t="s">
        <v>368</v>
      </c>
      <c r="G4" s="323" t="s">
        <v>368</v>
      </c>
      <c r="H4" s="323" t="s">
        <v>368</v>
      </c>
    </row>
    <row r="5" spans="2:10" x14ac:dyDescent="0.2">
      <c r="B5" s="324" t="s">
        <v>83</v>
      </c>
      <c r="C5" s="325"/>
      <c r="D5" s="325"/>
      <c r="E5" s="325"/>
      <c r="F5" s="325"/>
      <c r="G5" s="325"/>
      <c r="H5" s="325"/>
    </row>
    <row r="6" spans="2:10" x14ac:dyDescent="0.2">
      <c r="B6" s="325" t="s">
        <v>3</v>
      </c>
      <c r="C6" s="326">
        <v>274515</v>
      </c>
      <c r="D6" s="326">
        <v>365817</v>
      </c>
      <c r="E6" s="326">
        <v>394328</v>
      </c>
      <c r="F6" s="326">
        <v>383285</v>
      </c>
      <c r="G6" s="326">
        <v>391035</v>
      </c>
      <c r="H6" s="326">
        <v>395760</v>
      </c>
    </row>
    <row r="7" spans="2:10" x14ac:dyDescent="0.2">
      <c r="B7" s="325" t="s">
        <v>369</v>
      </c>
      <c r="C7" s="326" t="s">
        <v>120</v>
      </c>
      <c r="D7" s="326" t="s">
        <v>120</v>
      </c>
      <c r="E7" s="326" t="s">
        <v>120</v>
      </c>
      <c r="F7" s="326" t="s">
        <v>120</v>
      </c>
      <c r="G7" s="326" t="s">
        <v>120</v>
      </c>
      <c r="H7" s="326" t="s">
        <v>120</v>
      </c>
    </row>
    <row r="8" spans="2:10" x14ac:dyDescent="0.2">
      <c r="B8" s="324" t="s">
        <v>370</v>
      </c>
      <c r="C8" s="327">
        <v>274515</v>
      </c>
      <c r="D8" s="327">
        <v>365817</v>
      </c>
      <c r="E8" s="327">
        <v>394328</v>
      </c>
      <c r="F8" s="327">
        <v>383285</v>
      </c>
      <c r="G8" s="327">
        <v>391035</v>
      </c>
      <c r="H8" s="327">
        <v>395760</v>
      </c>
    </row>
    <row r="9" spans="2:10" x14ac:dyDescent="0.2">
      <c r="B9" s="325"/>
      <c r="C9" s="325"/>
      <c r="D9" s="325"/>
      <c r="E9" s="325"/>
      <c r="F9" s="325"/>
      <c r="G9" s="325"/>
      <c r="H9" s="325"/>
    </row>
    <row r="10" spans="2:10" x14ac:dyDescent="0.2">
      <c r="B10" s="325" t="s">
        <v>371</v>
      </c>
      <c r="C10" s="326">
        <v>169559</v>
      </c>
      <c r="D10" s="326">
        <v>212981</v>
      </c>
      <c r="E10" s="326">
        <v>223546</v>
      </c>
      <c r="F10" s="326">
        <v>214137</v>
      </c>
      <c r="G10" s="326">
        <v>210352</v>
      </c>
      <c r="H10" s="326">
        <v>211657</v>
      </c>
    </row>
    <row r="11" spans="2:10" x14ac:dyDescent="0.2">
      <c r="B11" s="324" t="s">
        <v>372</v>
      </c>
      <c r="C11" s="327">
        <v>104956</v>
      </c>
      <c r="D11" s="327">
        <v>152836</v>
      </c>
      <c r="E11" s="327">
        <v>170782</v>
      </c>
      <c r="F11" s="327">
        <v>169148</v>
      </c>
      <c r="G11" s="327">
        <v>180683</v>
      </c>
      <c r="H11" s="327">
        <v>184103</v>
      </c>
    </row>
    <row r="12" spans="2:10" x14ac:dyDescent="0.2">
      <c r="B12" s="325"/>
      <c r="C12" s="325"/>
      <c r="D12" s="325"/>
      <c r="E12" s="325"/>
      <c r="F12" s="325"/>
      <c r="G12" s="325"/>
      <c r="H12" s="325"/>
    </row>
    <row r="13" spans="2:10" x14ac:dyDescent="0.2">
      <c r="B13" s="325" t="s">
        <v>207</v>
      </c>
      <c r="C13" s="326">
        <v>19916</v>
      </c>
      <c r="D13" s="326">
        <v>21973</v>
      </c>
      <c r="E13" s="326">
        <v>25094</v>
      </c>
      <c r="F13" s="326">
        <v>24932</v>
      </c>
      <c r="G13" s="326">
        <v>26097</v>
      </c>
      <c r="H13" s="326">
        <v>26486</v>
      </c>
    </row>
    <row r="14" spans="2:10" x14ac:dyDescent="0.2">
      <c r="B14" s="325" t="s">
        <v>373</v>
      </c>
      <c r="C14" s="326">
        <v>18752</v>
      </c>
      <c r="D14" s="326">
        <v>21914</v>
      </c>
      <c r="E14" s="326">
        <v>26251</v>
      </c>
      <c r="F14" s="326">
        <v>29915</v>
      </c>
      <c r="G14" s="326">
        <v>31370</v>
      </c>
      <c r="H14" s="326">
        <v>31942</v>
      </c>
    </row>
    <row r="15" spans="2:10" x14ac:dyDescent="0.2">
      <c r="B15" s="325" t="s">
        <v>374</v>
      </c>
      <c r="C15" s="326" t="s">
        <v>120</v>
      </c>
      <c r="D15" s="326" t="s">
        <v>120</v>
      </c>
      <c r="E15" s="326" t="s">
        <v>120</v>
      </c>
      <c r="F15" s="326" t="s">
        <v>120</v>
      </c>
      <c r="G15" s="326" t="s">
        <v>120</v>
      </c>
      <c r="H15" s="326" t="s">
        <v>120</v>
      </c>
    </row>
    <row r="16" spans="2:10" x14ac:dyDescent="0.2">
      <c r="B16" s="325" t="s">
        <v>375</v>
      </c>
      <c r="C16" s="326" t="s">
        <v>120</v>
      </c>
      <c r="D16" s="326" t="s">
        <v>120</v>
      </c>
      <c r="E16" s="326" t="s">
        <v>120</v>
      </c>
      <c r="F16" s="326" t="s">
        <v>120</v>
      </c>
      <c r="G16" s="326" t="s">
        <v>120</v>
      </c>
      <c r="H16" s="326" t="s">
        <v>120</v>
      </c>
      <c r="J16" s="328"/>
    </row>
    <row r="17" spans="2:8" x14ac:dyDescent="0.2">
      <c r="B17" s="325"/>
      <c r="C17" s="325"/>
      <c r="D17" s="325"/>
      <c r="E17" s="325"/>
      <c r="F17" s="325"/>
      <c r="G17" s="325"/>
      <c r="H17" s="325"/>
    </row>
    <row r="18" spans="2:8" x14ac:dyDescent="0.2">
      <c r="B18" s="324" t="s">
        <v>376</v>
      </c>
      <c r="C18" s="327">
        <v>38668</v>
      </c>
      <c r="D18" s="327">
        <v>43887</v>
      </c>
      <c r="E18" s="327">
        <v>51345</v>
      </c>
      <c r="F18" s="327">
        <v>54847</v>
      </c>
      <c r="G18" s="327">
        <v>57467</v>
      </c>
      <c r="H18" s="327">
        <v>58428</v>
      </c>
    </row>
    <row r="19" spans="2:8" x14ac:dyDescent="0.2">
      <c r="B19" s="325"/>
      <c r="C19" s="325"/>
      <c r="D19" s="325"/>
      <c r="E19" s="325"/>
      <c r="F19" s="325"/>
      <c r="G19" s="325"/>
      <c r="H19" s="325"/>
    </row>
    <row r="20" spans="2:8" x14ac:dyDescent="0.2">
      <c r="B20" s="324" t="s">
        <v>377</v>
      </c>
      <c r="C20" s="329">
        <v>66288</v>
      </c>
      <c r="D20" s="329">
        <v>108949</v>
      </c>
      <c r="E20" s="329">
        <v>119437</v>
      </c>
      <c r="F20" s="329">
        <v>114301</v>
      </c>
      <c r="G20" s="329">
        <v>123216</v>
      </c>
      <c r="H20" s="329">
        <v>125675</v>
      </c>
    </row>
    <row r="21" spans="2:8" x14ac:dyDescent="0.2">
      <c r="B21" s="325"/>
      <c r="C21" s="325"/>
      <c r="D21" s="325"/>
      <c r="E21" s="325"/>
      <c r="F21" s="325"/>
      <c r="G21" s="325"/>
      <c r="H21" s="325"/>
    </row>
    <row r="22" spans="2:8" x14ac:dyDescent="0.2">
      <c r="B22" s="325" t="s">
        <v>106</v>
      </c>
      <c r="C22" s="326">
        <v>-2873</v>
      </c>
      <c r="D22" s="326">
        <v>-2645</v>
      </c>
      <c r="E22" s="326" t="s">
        <v>120</v>
      </c>
      <c r="F22" s="326" t="s">
        <v>120</v>
      </c>
      <c r="G22" s="326" t="s">
        <v>120</v>
      </c>
      <c r="H22" s="326" t="s">
        <v>120</v>
      </c>
    </row>
    <row r="23" spans="2:8" x14ac:dyDescent="0.2">
      <c r="B23" s="325" t="s">
        <v>378</v>
      </c>
      <c r="C23" s="326">
        <v>3763</v>
      </c>
      <c r="D23" s="326">
        <v>2843</v>
      </c>
      <c r="E23" s="326" t="s">
        <v>120</v>
      </c>
      <c r="F23" s="326" t="s">
        <v>120</v>
      </c>
      <c r="G23" s="326" t="s">
        <v>120</v>
      </c>
      <c r="H23" s="326" t="s">
        <v>120</v>
      </c>
    </row>
    <row r="24" spans="2:8" x14ac:dyDescent="0.2">
      <c r="B24" s="324" t="s">
        <v>379</v>
      </c>
      <c r="C24" s="327">
        <v>890</v>
      </c>
      <c r="D24" s="327">
        <v>198</v>
      </c>
      <c r="E24" s="327" t="s">
        <v>120</v>
      </c>
      <c r="F24" s="327" t="s">
        <v>120</v>
      </c>
      <c r="G24" s="327" t="s">
        <v>120</v>
      </c>
      <c r="H24" s="327" t="s">
        <v>120</v>
      </c>
    </row>
    <row r="25" spans="2:8" x14ac:dyDescent="0.2">
      <c r="B25" s="325"/>
      <c r="C25" s="325"/>
      <c r="D25" s="325"/>
      <c r="E25" s="325"/>
      <c r="F25" s="325"/>
      <c r="G25" s="325"/>
      <c r="H25" s="325"/>
    </row>
    <row r="26" spans="2:8" x14ac:dyDescent="0.2">
      <c r="B26" s="325" t="s">
        <v>380</v>
      </c>
      <c r="C26" s="326">
        <v>-87</v>
      </c>
      <c r="D26" s="326">
        <v>60</v>
      </c>
      <c r="E26" s="326">
        <v>-334</v>
      </c>
      <c r="F26" s="326">
        <v>-565</v>
      </c>
      <c r="G26" s="326">
        <v>269</v>
      </c>
      <c r="H26" s="326">
        <v>71</v>
      </c>
    </row>
    <row r="27" spans="2:8" x14ac:dyDescent="0.2">
      <c r="B27" s="324" t="s">
        <v>381</v>
      </c>
      <c r="C27" s="327">
        <v>67091</v>
      </c>
      <c r="D27" s="327">
        <v>109207</v>
      </c>
      <c r="E27" s="327">
        <v>119103</v>
      </c>
      <c r="F27" s="327">
        <v>113736</v>
      </c>
      <c r="G27" s="327">
        <v>123485</v>
      </c>
      <c r="H27" s="327">
        <v>125746</v>
      </c>
    </row>
    <row r="28" spans="2:8" x14ac:dyDescent="0.2">
      <c r="B28" s="325"/>
      <c r="C28" s="325"/>
      <c r="D28" s="325"/>
      <c r="E28" s="325"/>
      <c r="F28" s="325"/>
      <c r="G28" s="325"/>
      <c r="H28" s="325"/>
    </row>
    <row r="29" spans="2:8" x14ac:dyDescent="0.2">
      <c r="B29" s="325" t="s">
        <v>382</v>
      </c>
      <c r="C29" s="326" t="s">
        <v>120</v>
      </c>
      <c r="D29" s="326" t="s">
        <v>120</v>
      </c>
      <c r="E29" s="326" t="s">
        <v>120</v>
      </c>
      <c r="F29" s="326" t="s">
        <v>120</v>
      </c>
      <c r="G29" s="326" t="s">
        <v>120</v>
      </c>
      <c r="H29" s="326" t="s">
        <v>120</v>
      </c>
    </row>
    <row r="30" spans="2:8" x14ac:dyDescent="0.2">
      <c r="B30" s="325" t="s">
        <v>383</v>
      </c>
      <c r="C30" s="326" t="s">
        <v>120</v>
      </c>
      <c r="D30" s="326" t="s">
        <v>120</v>
      </c>
      <c r="E30" s="326" t="s">
        <v>120</v>
      </c>
      <c r="F30" s="326" t="s">
        <v>120</v>
      </c>
      <c r="G30" s="326" t="s">
        <v>120</v>
      </c>
      <c r="H30" s="326" t="s">
        <v>120</v>
      </c>
    </row>
    <row r="31" spans="2:8" x14ac:dyDescent="0.2">
      <c r="B31" s="324" t="s">
        <v>384</v>
      </c>
      <c r="C31" s="327">
        <v>67091</v>
      </c>
      <c r="D31" s="327">
        <v>109207</v>
      </c>
      <c r="E31" s="327">
        <v>119103</v>
      </c>
      <c r="F31" s="327">
        <v>113736</v>
      </c>
      <c r="G31" s="327">
        <v>123485</v>
      </c>
      <c r="H31" s="327">
        <v>125746</v>
      </c>
    </row>
    <row r="32" spans="2:8" x14ac:dyDescent="0.2">
      <c r="B32" s="325"/>
      <c r="C32" s="325"/>
      <c r="D32" s="325"/>
      <c r="E32" s="325"/>
      <c r="F32" s="325"/>
      <c r="G32" s="325"/>
      <c r="H32" s="325"/>
    </row>
    <row r="33" spans="2:8" x14ac:dyDescent="0.2">
      <c r="B33" s="325" t="s">
        <v>385</v>
      </c>
      <c r="C33" s="326">
        <v>9680</v>
      </c>
      <c r="D33" s="326">
        <v>14527</v>
      </c>
      <c r="E33" s="326">
        <v>19300</v>
      </c>
      <c r="F33" s="326">
        <v>16741</v>
      </c>
      <c r="G33" s="326">
        <v>29749</v>
      </c>
      <c r="H33" s="326">
        <v>29596</v>
      </c>
    </row>
    <row r="34" spans="2:8" x14ac:dyDescent="0.2">
      <c r="B34" s="324" t="s">
        <v>386</v>
      </c>
      <c r="C34" s="327">
        <v>57411</v>
      </c>
      <c r="D34" s="327">
        <v>94680</v>
      </c>
      <c r="E34" s="327">
        <v>99803</v>
      </c>
      <c r="F34" s="327">
        <v>96995</v>
      </c>
      <c r="G34" s="327">
        <v>93736</v>
      </c>
      <c r="H34" s="327">
        <v>96150</v>
      </c>
    </row>
    <row r="35" spans="2:8" x14ac:dyDescent="0.2">
      <c r="B35" s="325"/>
      <c r="C35" s="325"/>
      <c r="D35" s="325"/>
      <c r="E35" s="325"/>
      <c r="F35" s="325"/>
      <c r="G35" s="325"/>
      <c r="H35" s="325"/>
    </row>
    <row r="36" spans="2:8" x14ac:dyDescent="0.2">
      <c r="B36" s="325" t="s">
        <v>387</v>
      </c>
      <c r="C36" s="326" t="s">
        <v>120</v>
      </c>
      <c r="D36" s="326" t="s">
        <v>120</v>
      </c>
      <c r="E36" s="326" t="s">
        <v>120</v>
      </c>
      <c r="F36" s="326" t="s">
        <v>120</v>
      </c>
      <c r="G36" s="326" t="s">
        <v>120</v>
      </c>
      <c r="H36" s="326" t="s">
        <v>120</v>
      </c>
    </row>
    <row r="37" spans="2:8" x14ac:dyDescent="0.2">
      <c r="B37" s="325" t="s">
        <v>388</v>
      </c>
      <c r="C37" s="326" t="s">
        <v>120</v>
      </c>
      <c r="D37" s="326" t="s">
        <v>120</v>
      </c>
      <c r="E37" s="326" t="s">
        <v>120</v>
      </c>
      <c r="F37" s="326" t="s">
        <v>120</v>
      </c>
      <c r="G37" s="326" t="s">
        <v>120</v>
      </c>
      <c r="H37" s="326" t="s">
        <v>120</v>
      </c>
    </row>
    <row r="38" spans="2:8" x14ac:dyDescent="0.2">
      <c r="B38" s="324" t="s">
        <v>389</v>
      </c>
      <c r="C38" s="327">
        <v>57411</v>
      </c>
      <c r="D38" s="327">
        <v>94680</v>
      </c>
      <c r="E38" s="327">
        <v>99803</v>
      </c>
      <c r="F38" s="327">
        <v>96995</v>
      </c>
      <c r="G38" s="327">
        <v>93736</v>
      </c>
      <c r="H38" s="327">
        <v>96150</v>
      </c>
    </row>
    <row r="39" spans="2:8" x14ac:dyDescent="0.2">
      <c r="B39" s="325"/>
      <c r="C39" s="325"/>
      <c r="D39" s="325"/>
      <c r="E39" s="325"/>
      <c r="F39" s="325"/>
      <c r="G39" s="325"/>
      <c r="H39" s="325"/>
    </row>
    <row r="40" spans="2:8" x14ac:dyDescent="0.2">
      <c r="B40" s="325" t="s">
        <v>390</v>
      </c>
      <c r="C40" s="326" t="s">
        <v>120</v>
      </c>
      <c r="D40" s="326" t="s">
        <v>120</v>
      </c>
      <c r="E40" s="326" t="s">
        <v>120</v>
      </c>
      <c r="F40" s="326" t="s">
        <v>120</v>
      </c>
      <c r="G40" s="326" t="s">
        <v>120</v>
      </c>
      <c r="H40" s="326" t="s">
        <v>120</v>
      </c>
    </row>
    <row r="41" spans="2:8" x14ac:dyDescent="0.2">
      <c r="B41" s="324" t="s">
        <v>391</v>
      </c>
      <c r="C41" s="330">
        <v>57411</v>
      </c>
      <c r="D41" s="330">
        <v>94680</v>
      </c>
      <c r="E41" s="330">
        <v>99803</v>
      </c>
      <c r="F41" s="330">
        <v>96995</v>
      </c>
      <c r="G41" s="330">
        <v>93736</v>
      </c>
      <c r="H41" s="330">
        <v>96150</v>
      </c>
    </row>
    <row r="42" spans="2:8" x14ac:dyDescent="0.2">
      <c r="B42" s="325"/>
      <c r="C42" s="325"/>
      <c r="D42" s="325"/>
      <c r="E42" s="325"/>
      <c r="F42" s="325"/>
      <c r="G42" s="325"/>
      <c r="H42" s="325"/>
    </row>
    <row r="43" spans="2:8" x14ac:dyDescent="0.2">
      <c r="B43" s="325" t="s">
        <v>392</v>
      </c>
      <c r="C43" s="326" t="s">
        <v>120</v>
      </c>
      <c r="D43" s="326" t="s">
        <v>120</v>
      </c>
      <c r="E43" s="326" t="s">
        <v>120</v>
      </c>
      <c r="F43" s="326" t="s">
        <v>120</v>
      </c>
      <c r="G43" s="326" t="s">
        <v>120</v>
      </c>
      <c r="H43" s="326" t="s">
        <v>120</v>
      </c>
    </row>
    <row r="44" spans="2:8" x14ac:dyDescent="0.2">
      <c r="B44" s="325"/>
      <c r="C44" s="325"/>
      <c r="D44" s="325"/>
      <c r="E44" s="325"/>
      <c r="F44" s="325"/>
      <c r="G44" s="325"/>
      <c r="H44" s="325"/>
    </row>
    <row r="45" spans="2:8" x14ac:dyDescent="0.2">
      <c r="B45" s="324" t="s">
        <v>393</v>
      </c>
      <c r="C45" s="329">
        <v>57411</v>
      </c>
      <c r="D45" s="329">
        <v>94680</v>
      </c>
      <c r="E45" s="329">
        <v>99803</v>
      </c>
      <c r="F45" s="329">
        <v>96995</v>
      </c>
      <c r="G45" s="329">
        <v>93736</v>
      </c>
      <c r="H45" s="329">
        <v>96150</v>
      </c>
    </row>
    <row r="46" spans="2:8" x14ac:dyDescent="0.2">
      <c r="B46" s="324" t="s">
        <v>394</v>
      </c>
      <c r="C46" s="329">
        <v>57411</v>
      </c>
      <c r="D46" s="329">
        <v>94680</v>
      </c>
      <c r="E46" s="329">
        <v>99803</v>
      </c>
      <c r="F46" s="329">
        <v>96995</v>
      </c>
      <c r="G46" s="329">
        <v>93736</v>
      </c>
      <c r="H46" s="329">
        <v>96150</v>
      </c>
    </row>
    <row r="47" spans="2:8" x14ac:dyDescent="0.2">
      <c r="B47" s="325"/>
      <c r="C47" s="325"/>
      <c r="D47" s="325"/>
      <c r="E47" s="325"/>
      <c r="F47" s="325"/>
      <c r="G47" s="325"/>
      <c r="H47" s="325"/>
    </row>
    <row r="48" spans="2:8" x14ac:dyDescent="0.2">
      <c r="B48" s="324" t="s">
        <v>395</v>
      </c>
      <c r="C48" s="325"/>
      <c r="D48" s="325"/>
      <c r="E48" s="325"/>
      <c r="F48" s="325"/>
      <c r="G48" s="325"/>
      <c r="H48" s="325"/>
    </row>
    <row r="49" spans="2:8" x14ac:dyDescent="0.2">
      <c r="B49" s="325" t="s">
        <v>219</v>
      </c>
      <c r="C49" s="331">
        <v>3.31</v>
      </c>
      <c r="D49" s="331">
        <v>5.67</v>
      </c>
      <c r="E49" s="331">
        <v>6.15</v>
      </c>
      <c r="F49" s="331">
        <v>6.16</v>
      </c>
      <c r="G49" s="331">
        <v>6.11</v>
      </c>
      <c r="H49" s="331">
        <v>6.31</v>
      </c>
    </row>
    <row r="50" spans="2:8" x14ac:dyDescent="0.2">
      <c r="B50" s="325" t="s">
        <v>396</v>
      </c>
      <c r="C50" s="332">
        <v>3.3085870000000002</v>
      </c>
      <c r="D50" s="332">
        <v>5.6690290000000001</v>
      </c>
      <c r="E50" s="332">
        <v>6.1546139999999996</v>
      </c>
      <c r="F50" s="332">
        <v>6.1606690000000004</v>
      </c>
      <c r="G50" s="332">
        <v>6.1090540000000004</v>
      </c>
      <c r="H50" s="332">
        <v>6.3103910000000001</v>
      </c>
    </row>
    <row r="51" spans="2:8" x14ac:dyDescent="0.2">
      <c r="B51" s="325" t="s">
        <v>397</v>
      </c>
      <c r="C51" s="326">
        <v>17352.118999999999</v>
      </c>
      <c r="D51" s="326">
        <v>16701.272000000001</v>
      </c>
      <c r="E51" s="326">
        <v>16215.963</v>
      </c>
      <c r="F51" s="326">
        <v>15744.231</v>
      </c>
      <c r="G51" s="326">
        <v>15343.782999999999</v>
      </c>
      <c r="H51" s="326">
        <v>15236.77325</v>
      </c>
    </row>
    <row r="52" spans="2:8" x14ac:dyDescent="0.2">
      <c r="B52" s="325"/>
      <c r="C52" s="325"/>
      <c r="D52" s="325"/>
      <c r="E52" s="325"/>
      <c r="F52" s="325"/>
      <c r="G52" s="325"/>
      <c r="H52" s="325"/>
    </row>
    <row r="53" spans="2:8" x14ac:dyDescent="0.2">
      <c r="B53" s="325" t="s">
        <v>398</v>
      </c>
      <c r="C53" s="331">
        <v>3.28</v>
      </c>
      <c r="D53" s="331">
        <v>5.61</v>
      </c>
      <c r="E53" s="331">
        <v>6.11</v>
      </c>
      <c r="F53" s="331">
        <v>6.13</v>
      </c>
      <c r="G53" s="331">
        <v>6.08</v>
      </c>
      <c r="H53" s="331">
        <v>6.28</v>
      </c>
    </row>
    <row r="54" spans="2:8" x14ac:dyDescent="0.2">
      <c r="B54" s="325" t="s">
        <v>399</v>
      </c>
      <c r="C54" s="332">
        <v>3.28</v>
      </c>
      <c r="D54" s="332">
        <v>5.61</v>
      </c>
      <c r="E54" s="332">
        <v>6.11</v>
      </c>
      <c r="F54" s="332">
        <v>6.13</v>
      </c>
      <c r="G54" s="332">
        <v>6.08</v>
      </c>
      <c r="H54" s="332">
        <v>6.2794670000000004</v>
      </c>
    </row>
    <row r="55" spans="2:8" x14ac:dyDescent="0.2">
      <c r="B55" s="325" t="s">
        <v>400</v>
      </c>
      <c r="C55" s="326">
        <v>17528.214</v>
      </c>
      <c r="D55" s="326">
        <v>16864.919000000002</v>
      </c>
      <c r="E55" s="326">
        <v>16325.819</v>
      </c>
      <c r="F55" s="326">
        <v>15812.547</v>
      </c>
      <c r="G55" s="326">
        <v>15408.094999999999</v>
      </c>
      <c r="H55" s="326">
        <v>15301.651</v>
      </c>
    </row>
    <row r="56" spans="2:8" x14ac:dyDescent="0.2">
      <c r="B56" s="325"/>
      <c r="C56" s="325"/>
      <c r="D56" s="325"/>
      <c r="E56" s="325"/>
      <c r="F56" s="325"/>
      <c r="G56" s="325"/>
      <c r="H56" s="325"/>
    </row>
    <row r="57" spans="2:8" x14ac:dyDescent="0.2">
      <c r="B57" s="325" t="s">
        <v>401</v>
      </c>
      <c r="C57" s="331">
        <v>2.42</v>
      </c>
      <c r="D57" s="331">
        <v>4.09</v>
      </c>
      <c r="E57" s="331">
        <v>4.59</v>
      </c>
      <c r="F57" s="331">
        <v>4.51</v>
      </c>
      <c r="G57" s="331">
        <v>5.03</v>
      </c>
      <c r="H57" s="331">
        <v>5.16</v>
      </c>
    </row>
    <row r="58" spans="2:8" x14ac:dyDescent="0.2">
      <c r="B58" s="325" t="s">
        <v>402</v>
      </c>
      <c r="C58" s="332">
        <v>2.3922500000000002</v>
      </c>
      <c r="D58" s="332">
        <v>4.0471209999999997</v>
      </c>
      <c r="E58" s="332">
        <v>4.5596100000000002</v>
      </c>
      <c r="F58" s="332">
        <v>4.4954799999999997</v>
      </c>
      <c r="G58" s="332">
        <v>5.0089329999999999</v>
      </c>
      <c r="H58" s="332">
        <v>5.1361280000000002</v>
      </c>
    </row>
    <row r="59" spans="2:8" x14ac:dyDescent="0.2">
      <c r="B59" s="325"/>
      <c r="C59" s="325"/>
      <c r="D59" s="325"/>
      <c r="E59" s="325"/>
      <c r="F59" s="325"/>
      <c r="G59" s="325"/>
      <c r="H59" s="325"/>
    </row>
    <row r="60" spans="2:8" x14ac:dyDescent="0.2">
      <c r="B60" s="325" t="s">
        <v>403</v>
      </c>
      <c r="C60" s="331">
        <v>0.8</v>
      </c>
      <c r="D60" s="331">
        <v>0.85</v>
      </c>
      <c r="E60" s="331">
        <v>0.9</v>
      </c>
      <c r="F60" s="331">
        <v>0.94</v>
      </c>
      <c r="G60" s="331">
        <v>0.98</v>
      </c>
      <c r="H60" s="331">
        <v>0.99</v>
      </c>
    </row>
    <row r="61" spans="2:8" x14ac:dyDescent="0.2">
      <c r="B61" s="325" t="s">
        <v>404</v>
      </c>
      <c r="C61" s="333">
        <v>0.24526600000000001</v>
      </c>
      <c r="D61" s="333">
        <v>0.15279799999999999</v>
      </c>
      <c r="E61" s="333">
        <v>0.148702</v>
      </c>
      <c r="F61" s="333">
        <v>0.15490399999999999</v>
      </c>
      <c r="G61" s="333">
        <v>0.16252</v>
      </c>
      <c r="H61" s="333">
        <v>0.15876199999999999</v>
      </c>
    </row>
    <row r="62" spans="2:8" x14ac:dyDescent="0.2">
      <c r="B62" s="325"/>
      <c r="C62" s="325"/>
      <c r="D62" s="325"/>
      <c r="E62" s="325"/>
      <c r="F62" s="325"/>
      <c r="G62" s="325"/>
      <c r="H62" s="325"/>
    </row>
    <row r="63" spans="2:8" x14ac:dyDescent="0.2">
      <c r="B63" s="325" t="s">
        <v>405</v>
      </c>
      <c r="C63" s="334">
        <v>0.1</v>
      </c>
      <c r="D63" s="334">
        <v>0.1</v>
      </c>
      <c r="E63" s="334">
        <v>0.1</v>
      </c>
      <c r="F63" s="334">
        <v>0.1</v>
      </c>
      <c r="G63" s="334">
        <v>0.1</v>
      </c>
      <c r="H63" s="334">
        <v>0.1</v>
      </c>
    </row>
    <row r="64" spans="2:8" x14ac:dyDescent="0.2">
      <c r="B64" s="325"/>
      <c r="C64" s="325"/>
      <c r="D64" s="325"/>
      <c r="E64" s="325"/>
      <c r="F64" s="325"/>
      <c r="G64" s="325"/>
      <c r="H64" s="325"/>
    </row>
    <row r="65" spans="2:8" x14ac:dyDescent="0.2">
      <c r="B65" s="324" t="s">
        <v>406</v>
      </c>
      <c r="C65" s="325"/>
      <c r="D65" s="325"/>
      <c r="E65" s="325"/>
      <c r="F65" s="325"/>
      <c r="G65" s="325"/>
      <c r="H65" s="325"/>
    </row>
    <row r="66" spans="2:8" x14ac:dyDescent="0.2">
      <c r="B66" s="325" t="s">
        <v>11</v>
      </c>
      <c r="C66" s="326">
        <v>77344</v>
      </c>
      <c r="D66" s="326">
        <v>120233</v>
      </c>
      <c r="E66" s="326">
        <v>130541</v>
      </c>
      <c r="F66" s="326">
        <v>125820</v>
      </c>
      <c r="G66" s="326">
        <v>134661</v>
      </c>
      <c r="H66" s="326">
        <v>137352</v>
      </c>
    </row>
    <row r="67" spans="2:8" x14ac:dyDescent="0.2">
      <c r="B67" s="325" t="s">
        <v>407</v>
      </c>
      <c r="C67" s="326">
        <v>66288</v>
      </c>
      <c r="D67" s="326">
        <v>108949</v>
      </c>
      <c r="E67" s="326">
        <v>119437</v>
      </c>
      <c r="F67" s="326">
        <v>114301</v>
      </c>
      <c r="G67" s="326">
        <v>123216</v>
      </c>
      <c r="H67" s="326">
        <v>125675</v>
      </c>
    </row>
    <row r="68" spans="2:8" x14ac:dyDescent="0.2">
      <c r="B68" s="325" t="s">
        <v>9</v>
      </c>
      <c r="C68" s="326">
        <v>66288</v>
      </c>
      <c r="D68" s="326">
        <v>108949</v>
      </c>
      <c r="E68" s="326">
        <v>119437</v>
      </c>
      <c r="F68" s="326">
        <v>114301</v>
      </c>
      <c r="G68" s="326">
        <v>123216</v>
      </c>
      <c r="H68" s="326">
        <v>125675</v>
      </c>
    </row>
    <row r="69" spans="2:8" x14ac:dyDescent="0.2">
      <c r="B69" s="325" t="s">
        <v>408</v>
      </c>
      <c r="C69" s="326">
        <v>88144</v>
      </c>
      <c r="D69" s="326">
        <v>134833</v>
      </c>
      <c r="E69" s="326">
        <v>147341</v>
      </c>
      <c r="F69" s="326">
        <v>141720</v>
      </c>
      <c r="G69" s="326">
        <v>150461</v>
      </c>
      <c r="H69" s="326" t="s">
        <v>409</v>
      </c>
    </row>
    <row r="70" spans="2:8" x14ac:dyDescent="0.2">
      <c r="B70" s="325" t="s">
        <v>410</v>
      </c>
      <c r="C70" s="326">
        <v>274515</v>
      </c>
      <c r="D70" s="326">
        <v>365817</v>
      </c>
      <c r="E70" s="326">
        <v>394328</v>
      </c>
      <c r="F70" s="326">
        <v>383285</v>
      </c>
      <c r="G70" s="326">
        <v>391035</v>
      </c>
      <c r="H70" s="326">
        <v>395760</v>
      </c>
    </row>
    <row r="71" spans="2:8" x14ac:dyDescent="0.2">
      <c r="B71" s="325" t="s">
        <v>411</v>
      </c>
      <c r="C71" s="333">
        <v>0.14428099999999999</v>
      </c>
      <c r="D71" s="333">
        <v>0.133022</v>
      </c>
      <c r="E71" s="333">
        <v>0.16204399999999999</v>
      </c>
      <c r="F71" s="333">
        <v>0.14719099999999999</v>
      </c>
      <c r="G71" s="333">
        <v>0.24091099999999999</v>
      </c>
      <c r="H71" s="333">
        <v>0.23536299999999999</v>
      </c>
    </row>
    <row r="72" spans="2:8" x14ac:dyDescent="0.2">
      <c r="B72" s="325" t="s">
        <v>412</v>
      </c>
      <c r="C72" s="326">
        <v>6761</v>
      </c>
      <c r="D72" s="326">
        <v>9877</v>
      </c>
      <c r="E72" s="326">
        <v>9409</v>
      </c>
      <c r="F72" s="326">
        <v>11015</v>
      </c>
      <c r="G72" s="326">
        <v>7297</v>
      </c>
      <c r="H72" s="326">
        <v>7297</v>
      </c>
    </row>
    <row r="73" spans="2:8" x14ac:dyDescent="0.2">
      <c r="B73" s="325" t="s">
        <v>413</v>
      </c>
      <c r="C73" s="326">
        <v>3134</v>
      </c>
      <c r="D73" s="326">
        <v>9424</v>
      </c>
      <c r="E73" s="326">
        <v>8996</v>
      </c>
      <c r="F73" s="326">
        <v>8750</v>
      </c>
      <c r="G73" s="326">
        <v>25483</v>
      </c>
      <c r="H73" s="326">
        <v>25483</v>
      </c>
    </row>
    <row r="74" spans="2:8" x14ac:dyDescent="0.2">
      <c r="B74" s="325" t="s">
        <v>414</v>
      </c>
      <c r="C74" s="326">
        <v>9895</v>
      </c>
      <c r="D74" s="326">
        <v>19301</v>
      </c>
      <c r="E74" s="326">
        <v>18405</v>
      </c>
      <c r="F74" s="326">
        <v>19765</v>
      </c>
      <c r="G74" s="326">
        <v>32780</v>
      </c>
      <c r="H74" s="326">
        <v>32780</v>
      </c>
    </row>
    <row r="75" spans="2:8" x14ac:dyDescent="0.2">
      <c r="B75" s="325" t="s">
        <v>415</v>
      </c>
      <c r="C75" s="326">
        <v>-3598</v>
      </c>
      <c r="D75" s="326">
        <v>-7514</v>
      </c>
      <c r="E75" s="326">
        <v>-2181</v>
      </c>
      <c r="F75" s="326">
        <v>-3693</v>
      </c>
      <c r="G75" s="326">
        <v>-3378</v>
      </c>
      <c r="H75" s="326">
        <v>-3378</v>
      </c>
    </row>
    <row r="76" spans="2:8" x14ac:dyDescent="0.2">
      <c r="B76" s="325" t="s">
        <v>416</v>
      </c>
      <c r="C76" s="326">
        <v>3383</v>
      </c>
      <c r="D76" s="326">
        <v>2740</v>
      </c>
      <c r="E76" s="326">
        <v>3076</v>
      </c>
      <c r="F76" s="326">
        <v>669</v>
      </c>
      <c r="G76" s="326">
        <v>347</v>
      </c>
      <c r="H76" s="326">
        <v>347</v>
      </c>
    </row>
    <row r="77" spans="2:8" x14ac:dyDescent="0.2">
      <c r="B77" s="325" t="s">
        <v>417</v>
      </c>
      <c r="C77" s="326">
        <v>-215</v>
      </c>
      <c r="D77" s="326">
        <v>-4774</v>
      </c>
      <c r="E77" s="326">
        <v>895</v>
      </c>
      <c r="F77" s="326">
        <v>-3024</v>
      </c>
      <c r="G77" s="326">
        <v>-3031</v>
      </c>
      <c r="H77" s="326">
        <v>-3031</v>
      </c>
    </row>
    <row r="78" spans="2:8" x14ac:dyDescent="0.2">
      <c r="B78" s="325"/>
      <c r="C78" s="325"/>
      <c r="D78" s="325"/>
      <c r="E78" s="325"/>
      <c r="F78" s="325"/>
      <c r="G78" s="325"/>
      <c r="H78" s="325"/>
    </row>
    <row r="79" spans="2:8" x14ac:dyDescent="0.2">
      <c r="B79" s="325" t="s">
        <v>418</v>
      </c>
      <c r="C79" s="326">
        <v>41931.875</v>
      </c>
      <c r="D79" s="326">
        <v>68254.375</v>
      </c>
      <c r="E79" s="326">
        <v>74439.375</v>
      </c>
      <c r="F79" s="326">
        <v>71085</v>
      </c>
      <c r="G79" s="326">
        <v>77178.125</v>
      </c>
      <c r="H79" s="326">
        <v>78591.25</v>
      </c>
    </row>
    <row r="80" spans="2:8" x14ac:dyDescent="0.2">
      <c r="B80" s="325" t="s">
        <v>419</v>
      </c>
      <c r="C80" s="326">
        <v>2800</v>
      </c>
      <c r="D80" s="326">
        <v>2600</v>
      </c>
      <c r="E80" s="326" t="s">
        <v>409</v>
      </c>
      <c r="F80" s="326" t="s">
        <v>409</v>
      </c>
      <c r="G80" s="326" t="s">
        <v>409</v>
      </c>
      <c r="H80" s="326" t="s">
        <v>409</v>
      </c>
    </row>
    <row r="81" spans="2:8" x14ac:dyDescent="0.2">
      <c r="B81" s="325" t="s">
        <v>420</v>
      </c>
      <c r="C81" s="335">
        <v>44862</v>
      </c>
      <c r="D81" s="335">
        <v>45233</v>
      </c>
      <c r="E81" s="335">
        <v>45597</v>
      </c>
      <c r="F81" s="335">
        <v>45597</v>
      </c>
      <c r="G81" s="335">
        <v>45597</v>
      </c>
      <c r="H81" s="335">
        <v>45688</v>
      </c>
    </row>
    <row r="82" spans="2:8" x14ac:dyDescent="0.2">
      <c r="B82" s="325" t="s">
        <v>421</v>
      </c>
      <c r="C82" s="336" t="s">
        <v>422</v>
      </c>
      <c r="D82" s="336" t="s">
        <v>422</v>
      </c>
      <c r="E82" s="336" t="s">
        <v>422</v>
      </c>
      <c r="F82" s="336" t="s">
        <v>422</v>
      </c>
      <c r="G82" s="336" t="s">
        <v>423</v>
      </c>
      <c r="H82" s="336" t="s">
        <v>423</v>
      </c>
    </row>
    <row r="83" spans="2:8" x14ac:dyDescent="0.2">
      <c r="B83" s="325" t="s">
        <v>424</v>
      </c>
      <c r="C83" s="336" t="s">
        <v>425</v>
      </c>
      <c r="D83" s="336" t="s">
        <v>425</v>
      </c>
      <c r="E83" s="336" t="s">
        <v>425</v>
      </c>
      <c r="F83" s="336" t="s">
        <v>425</v>
      </c>
      <c r="G83" s="336" t="s">
        <v>425</v>
      </c>
      <c r="H83" s="336" t="s">
        <v>173</v>
      </c>
    </row>
    <row r="84" spans="2:8" x14ac:dyDescent="0.2">
      <c r="B84" s="325"/>
      <c r="C84" s="325"/>
      <c r="D84" s="325"/>
      <c r="E84" s="325"/>
      <c r="F84" s="325"/>
      <c r="G84" s="325"/>
      <c r="H84" s="325"/>
    </row>
    <row r="85" spans="2:8" x14ac:dyDescent="0.2">
      <c r="B85" s="324" t="s">
        <v>426</v>
      </c>
      <c r="C85" s="325"/>
      <c r="D85" s="325"/>
      <c r="E85" s="325"/>
      <c r="F85" s="325"/>
      <c r="G85" s="325"/>
      <c r="H85" s="325"/>
    </row>
    <row r="86" spans="2:8" x14ac:dyDescent="0.2">
      <c r="B86" s="325" t="s">
        <v>427</v>
      </c>
      <c r="C86" s="326">
        <v>18752</v>
      </c>
      <c r="D86" s="326">
        <v>21914</v>
      </c>
      <c r="E86" s="326">
        <v>26251</v>
      </c>
      <c r="F86" s="326">
        <v>29915</v>
      </c>
      <c r="G86" s="326">
        <v>31370</v>
      </c>
      <c r="H86" s="326">
        <v>31942</v>
      </c>
    </row>
    <row r="87" spans="2:8" x14ac:dyDescent="0.2">
      <c r="B87" s="325" t="s">
        <v>428</v>
      </c>
      <c r="C87" s="326">
        <v>10800</v>
      </c>
      <c r="D87" s="326">
        <v>14600</v>
      </c>
      <c r="E87" s="326">
        <v>16800</v>
      </c>
      <c r="F87" s="326">
        <v>15900</v>
      </c>
      <c r="G87" s="326">
        <v>15800</v>
      </c>
      <c r="H87" s="326" t="s">
        <v>409</v>
      </c>
    </row>
    <row r="88" spans="2:8" x14ac:dyDescent="0.2">
      <c r="B88" s="325" t="s">
        <v>429</v>
      </c>
      <c r="C88" s="326">
        <v>2155.4207999999999</v>
      </c>
      <c r="D88" s="326">
        <v>2387.3919999999998</v>
      </c>
      <c r="E88" s="326" t="s">
        <v>120</v>
      </c>
      <c r="F88" s="326" t="s">
        <v>120</v>
      </c>
      <c r="G88" s="326" t="s">
        <v>120</v>
      </c>
      <c r="H88" s="326" t="s">
        <v>120</v>
      </c>
    </row>
    <row r="89" spans="2:8" x14ac:dyDescent="0.2">
      <c r="B89" s="325" t="s">
        <v>430</v>
      </c>
      <c r="C89" s="326">
        <v>8644.5792000000001</v>
      </c>
      <c r="D89" s="326">
        <v>12212.608</v>
      </c>
      <c r="E89" s="326" t="s">
        <v>120</v>
      </c>
      <c r="F89" s="326" t="s">
        <v>120</v>
      </c>
      <c r="G89" s="326" t="s">
        <v>120</v>
      </c>
      <c r="H89" s="326" t="s">
        <v>120</v>
      </c>
    </row>
    <row r="90" spans="2:8" x14ac:dyDescent="0.2">
      <c r="B90" s="325"/>
      <c r="C90" s="325"/>
      <c r="D90" s="325"/>
      <c r="E90" s="325"/>
      <c r="F90" s="325"/>
      <c r="G90" s="325"/>
      <c r="H90" s="325"/>
    </row>
    <row r="91" spans="2:8" x14ac:dyDescent="0.2">
      <c r="B91" s="325" t="s">
        <v>431</v>
      </c>
      <c r="C91" s="326">
        <v>6829</v>
      </c>
      <c r="D91" s="326">
        <v>7906</v>
      </c>
      <c r="E91" s="326">
        <v>9038</v>
      </c>
      <c r="F91" s="326">
        <v>10833</v>
      </c>
      <c r="G91" s="326">
        <v>11688</v>
      </c>
      <c r="H91" s="326">
        <v>11977</v>
      </c>
    </row>
    <row r="92" spans="2:8" x14ac:dyDescent="0.2">
      <c r="B92" s="324" t="s">
        <v>432</v>
      </c>
      <c r="C92" s="329">
        <v>6829</v>
      </c>
      <c r="D92" s="329">
        <v>7906</v>
      </c>
      <c r="E92" s="329">
        <v>9038</v>
      </c>
      <c r="F92" s="329">
        <v>10833</v>
      </c>
      <c r="G92" s="329">
        <v>11688</v>
      </c>
      <c r="H92" s="329">
        <v>11977</v>
      </c>
    </row>
    <row r="93" spans="2:8" x14ac:dyDescent="0.2">
      <c r="B93" s="325"/>
      <c r="C93" s="325"/>
      <c r="D93" s="325"/>
      <c r="E93" s="325"/>
      <c r="F93" s="325"/>
      <c r="G93" s="325"/>
      <c r="H93" s="325"/>
    </row>
    <row r="94" spans="2:8" x14ac:dyDescent="0.2">
      <c r="B94" s="337" t="s">
        <v>433</v>
      </c>
      <c r="C94" s="338"/>
      <c r="D94" s="338"/>
      <c r="E94" s="338"/>
      <c r="F94" s="338"/>
      <c r="G94" s="338"/>
      <c r="H94" s="338"/>
    </row>
    <row r="95" spans="2:8" x14ac:dyDescent="0.2">
      <c r="B95" s="339" t="s">
        <v>434</v>
      </c>
      <c r="C95" s="339"/>
      <c r="D95" s="339"/>
      <c r="E95" s="339"/>
      <c r="F95" s="339"/>
      <c r="G95" s="339"/>
      <c r="H95" s="339"/>
    </row>
    <row r="97" spans="2:8" x14ac:dyDescent="0.2">
      <c r="B97" s="319" t="s">
        <v>223</v>
      </c>
      <c r="C97" s="319"/>
      <c r="D97" s="319"/>
      <c r="E97" s="319"/>
      <c r="F97" s="319"/>
      <c r="G97" s="319"/>
      <c r="H97" s="319"/>
    </row>
    <row r="98" spans="2:8" ht="25" x14ac:dyDescent="0.2">
      <c r="B98" s="320" t="s">
        <v>435</v>
      </c>
      <c r="C98" s="340">
        <v>44100</v>
      </c>
      <c r="D98" s="340">
        <v>44464</v>
      </c>
      <c r="E98" s="340">
        <v>44828</v>
      </c>
      <c r="F98" s="321" t="s">
        <v>436</v>
      </c>
      <c r="G98" s="340">
        <v>45563</v>
      </c>
      <c r="H98" s="340">
        <v>45654</v>
      </c>
    </row>
    <row r="99" spans="2:8" x14ac:dyDescent="0.2">
      <c r="B99" s="322" t="s">
        <v>367</v>
      </c>
      <c r="C99" s="323" t="s">
        <v>368</v>
      </c>
      <c r="D99" s="323" t="s">
        <v>368</v>
      </c>
      <c r="E99" s="323" t="s">
        <v>368</v>
      </c>
      <c r="F99" s="323" t="s">
        <v>368</v>
      </c>
      <c r="G99" s="323" t="s">
        <v>368</v>
      </c>
      <c r="H99" s="323" t="s">
        <v>368</v>
      </c>
    </row>
    <row r="100" spans="2:8" x14ac:dyDescent="0.2">
      <c r="B100" s="324" t="s">
        <v>437</v>
      </c>
      <c r="C100" s="325"/>
      <c r="D100" s="325"/>
      <c r="E100" s="325"/>
      <c r="F100" s="325"/>
      <c r="G100" s="325"/>
      <c r="H100" s="325"/>
    </row>
    <row r="101" spans="2:8" x14ac:dyDescent="0.2">
      <c r="B101" s="325" t="s">
        <v>438</v>
      </c>
      <c r="C101" s="326">
        <v>38016</v>
      </c>
      <c r="D101" s="326">
        <v>34940</v>
      </c>
      <c r="E101" s="326">
        <v>23646</v>
      </c>
      <c r="F101" s="326">
        <v>29965</v>
      </c>
      <c r="G101" s="326">
        <v>29943</v>
      </c>
      <c r="H101" s="326">
        <v>30299</v>
      </c>
    </row>
    <row r="102" spans="2:8" x14ac:dyDescent="0.2">
      <c r="B102" s="325" t="s">
        <v>439</v>
      </c>
      <c r="C102" s="326">
        <v>52927</v>
      </c>
      <c r="D102" s="326">
        <v>27699</v>
      </c>
      <c r="E102" s="326">
        <v>24658</v>
      </c>
      <c r="F102" s="326">
        <v>31590</v>
      </c>
      <c r="G102" s="326">
        <v>35228</v>
      </c>
      <c r="H102" s="326">
        <v>23476</v>
      </c>
    </row>
    <row r="103" spans="2:8" x14ac:dyDescent="0.2">
      <c r="B103" s="324" t="s">
        <v>440</v>
      </c>
      <c r="C103" s="327">
        <v>90943</v>
      </c>
      <c r="D103" s="327">
        <v>62639</v>
      </c>
      <c r="E103" s="327">
        <v>48304</v>
      </c>
      <c r="F103" s="327">
        <v>61555</v>
      </c>
      <c r="G103" s="327">
        <v>65171</v>
      </c>
      <c r="H103" s="327">
        <v>53775</v>
      </c>
    </row>
    <row r="104" spans="2:8" x14ac:dyDescent="0.2">
      <c r="B104" s="325"/>
      <c r="C104" s="325"/>
      <c r="D104" s="325"/>
      <c r="E104" s="325"/>
      <c r="F104" s="325"/>
      <c r="G104" s="325"/>
      <c r="H104" s="325"/>
    </row>
    <row r="105" spans="2:8" x14ac:dyDescent="0.2">
      <c r="B105" s="325" t="s">
        <v>441</v>
      </c>
      <c r="C105" s="326">
        <v>16120</v>
      </c>
      <c r="D105" s="326">
        <v>26278</v>
      </c>
      <c r="E105" s="326">
        <v>28184</v>
      </c>
      <c r="F105" s="326">
        <v>29508</v>
      </c>
      <c r="G105" s="326">
        <v>33410</v>
      </c>
      <c r="H105" s="326">
        <v>29639</v>
      </c>
    </row>
    <row r="106" spans="2:8" x14ac:dyDescent="0.2">
      <c r="B106" s="325" t="s">
        <v>442</v>
      </c>
      <c r="C106" s="326">
        <v>21325</v>
      </c>
      <c r="D106" s="326">
        <v>25228</v>
      </c>
      <c r="E106" s="326">
        <v>32748</v>
      </c>
      <c r="F106" s="326">
        <v>31477</v>
      </c>
      <c r="G106" s="326">
        <v>32833</v>
      </c>
      <c r="H106" s="326">
        <v>29667</v>
      </c>
    </row>
    <row r="107" spans="2:8" x14ac:dyDescent="0.2">
      <c r="B107" s="324" t="s">
        <v>443</v>
      </c>
      <c r="C107" s="327">
        <v>37445</v>
      </c>
      <c r="D107" s="327">
        <v>51506</v>
      </c>
      <c r="E107" s="327">
        <v>60932</v>
      </c>
      <c r="F107" s="327">
        <v>60985</v>
      </c>
      <c r="G107" s="327">
        <v>66243</v>
      </c>
      <c r="H107" s="327">
        <v>59306</v>
      </c>
    </row>
    <row r="108" spans="2:8" x14ac:dyDescent="0.2">
      <c r="B108" s="325"/>
      <c r="C108" s="325"/>
      <c r="D108" s="325"/>
      <c r="E108" s="325"/>
      <c r="F108" s="325"/>
      <c r="G108" s="325"/>
      <c r="H108" s="325"/>
    </row>
    <row r="109" spans="2:8" x14ac:dyDescent="0.2">
      <c r="B109" s="325" t="s">
        <v>444</v>
      </c>
      <c r="C109" s="326">
        <v>4061</v>
      </c>
      <c r="D109" s="326">
        <v>6580</v>
      </c>
      <c r="E109" s="326">
        <v>4946</v>
      </c>
      <c r="F109" s="326">
        <v>6331</v>
      </c>
      <c r="G109" s="326">
        <v>7286</v>
      </c>
      <c r="H109" s="326">
        <v>6911</v>
      </c>
    </row>
    <row r="110" spans="2:8" x14ac:dyDescent="0.2">
      <c r="B110" s="325" t="s">
        <v>445</v>
      </c>
      <c r="C110" s="326">
        <v>11264</v>
      </c>
      <c r="D110" s="326">
        <v>14111</v>
      </c>
      <c r="E110" s="326">
        <v>21223</v>
      </c>
      <c r="F110" s="326">
        <v>14695</v>
      </c>
      <c r="G110" s="326">
        <v>14287</v>
      </c>
      <c r="H110" s="326">
        <v>13248</v>
      </c>
    </row>
    <row r="111" spans="2:8" x14ac:dyDescent="0.2">
      <c r="B111" s="324" t="s">
        <v>446</v>
      </c>
      <c r="C111" s="327">
        <v>143713</v>
      </c>
      <c r="D111" s="327">
        <v>134836</v>
      </c>
      <c r="E111" s="327">
        <v>135405</v>
      </c>
      <c r="F111" s="327">
        <v>143566</v>
      </c>
      <c r="G111" s="327">
        <v>152987</v>
      </c>
      <c r="H111" s="327">
        <v>133240</v>
      </c>
    </row>
    <row r="112" spans="2:8" x14ac:dyDescent="0.2">
      <c r="B112" s="325"/>
      <c r="C112" s="325"/>
      <c r="D112" s="325"/>
      <c r="E112" s="325"/>
      <c r="F112" s="325"/>
      <c r="G112" s="325"/>
      <c r="H112" s="325"/>
    </row>
    <row r="113" spans="2:8" x14ac:dyDescent="0.2">
      <c r="B113" s="325" t="s">
        <v>447</v>
      </c>
      <c r="C113" s="326">
        <v>112096</v>
      </c>
      <c r="D113" s="326">
        <v>119810</v>
      </c>
      <c r="E113" s="326">
        <v>124874</v>
      </c>
      <c r="F113" s="326">
        <v>114599</v>
      </c>
      <c r="G113" s="326">
        <v>119128</v>
      </c>
      <c r="H113" s="326">
        <v>120615</v>
      </c>
    </row>
    <row r="114" spans="2:8" x14ac:dyDescent="0.2">
      <c r="B114" s="325" t="s">
        <v>448</v>
      </c>
      <c r="C114" s="326">
        <v>-66760</v>
      </c>
      <c r="D114" s="326">
        <v>-70283</v>
      </c>
      <c r="E114" s="326">
        <v>-72340</v>
      </c>
      <c r="F114" s="326">
        <v>-70884</v>
      </c>
      <c r="G114" s="326">
        <v>-73448</v>
      </c>
      <c r="H114" s="326">
        <v>-74546</v>
      </c>
    </row>
    <row r="115" spans="2:8" x14ac:dyDescent="0.2">
      <c r="B115" s="324" t="s">
        <v>449</v>
      </c>
      <c r="C115" s="327">
        <v>45336</v>
      </c>
      <c r="D115" s="327">
        <v>49527</v>
      </c>
      <c r="E115" s="327">
        <v>52534</v>
      </c>
      <c r="F115" s="327">
        <v>43715</v>
      </c>
      <c r="G115" s="327">
        <v>45680</v>
      </c>
      <c r="H115" s="327">
        <v>46069</v>
      </c>
    </row>
    <row r="116" spans="2:8" x14ac:dyDescent="0.2">
      <c r="B116" s="325"/>
      <c r="C116" s="325"/>
      <c r="D116" s="325"/>
      <c r="E116" s="325"/>
      <c r="F116" s="325"/>
      <c r="G116" s="325"/>
      <c r="H116" s="325"/>
    </row>
    <row r="117" spans="2:8" x14ac:dyDescent="0.2">
      <c r="B117" s="325" t="s">
        <v>450</v>
      </c>
      <c r="C117" s="326">
        <v>100887</v>
      </c>
      <c r="D117" s="326">
        <v>127877</v>
      </c>
      <c r="E117" s="326">
        <v>120805</v>
      </c>
      <c r="F117" s="326">
        <v>100544</v>
      </c>
      <c r="G117" s="326">
        <v>91479</v>
      </c>
      <c r="H117" s="326">
        <v>87593</v>
      </c>
    </row>
    <row r="118" spans="2:8" x14ac:dyDescent="0.2">
      <c r="B118" s="325" t="s">
        <v>451</v>
      </c>
      <c r="C118" s="326" t="s">
        <v>120</v>
      </c>
      <c r="D118" s="326" t="s">
        <v>120</v>
      </c>
      <c r="E118" s="326" t="s">
        <v>120</v>
      </c>
      <c r="F118" s="326">
        <v>17852</v>
      </c>
      <c r="G118" s="326">
        <v>19499</v>
      </c>
      <c r="H118" s="326" t="s">
        <v>120</v>
      </c>
    </row>
    <row r="119" spans="2:8" x14ac:dyDescent="0.2">
      <c r="B119" s="325" t="s">
        <v>452</v>
      </c>
      <c r="C119" s="326">
        <v>33952</v>
      </c>
      <c r="D119" s="326">
        <v>38762</v>
      </c>
      <c r="E119" s="326">
        <v>44011</v>
      </c>
      <c r="F119" s="326">
        <v>46906</v>
      </c>
      <c r="G119" s="326">
        <v>55335</v>
      </c>
      <c r="H119" s="326">
        <v>77183</v>
      </c>
    </row>
    <row r="120" spans="2:8" x14ac:dyDescent="0.2">
      <c r="B120" s="324" t="s">
        <v>226</v>
      </c>
      <c r="C120" s="330">
        <v>323888</v>
      </c>
      <c r="D120" s="330">
        <v>351002</v>
      </c>
      <c r="E120" s="330">
        <v>352755</v>
      </c>
      <c r="F120" s="330">
        <v>352583</v>
      </c>
      <c r="G120" s="330">
        <v>364980</v>
      </c>
      <c r="H120" s="330">
        <v>344085</v>
      </c>
    </row>
    <row r="121" spans="2:8" x14ac:dyDescent="0.2">
      <c r="B121" s="325"/>
      <c r="C121" s="325"/>
      <c r="D121" s="325"/>
      <c r="E121" s="325"/>
      <c r="F121" s="325"/>
      <c r="G121" s="325"/>
      <c r="H121" s="325"/>
    </row>
    <row r="122" spans="2:8" x14ac:dyDescent="0.2">
      <c r="B122" s="324" t="s">
        <v>453</v>
      </c>
      <c r="C122" s="325"/>
      <c r="D122" s="325"/>
      <c r="E122" s="325"/>
      <c r="F122" s="325"/>
      <c r="G122" s="325"/>
      <c r="H122" s="325"/>
    </row>
    <row r="123" spans="2:8" x14ac:dyDescent="0.2">
      <c r="B123" s="325" t="s">
        <v>454</v>
      </c>
      <c r="C123" s="326">
        <v>42296</v>
      </c>
      <c r="D123" s="326">
        <v>54763</v>
      </c>
      <c r="E123" s="326">
        <v>64115</v>
      </c>
      <c r="F123" s="326">
        <v>62611</v>
      </c>
      <c r="G123" s="326">
        <v>68960</v>
      </c>
      <c r="H123" s="326">
        <v>61910</v>
      </c>
    </row>
    <row r="124" spans="2:8" x14ac:dyDescent="0.2">
      <c r="B124" s="325" t="s">
        <v>455</v>
      </c>
      <c r="C124" s="326">
        <v>4996</v>
      </c>
      <c r="D124" s="326">
        <v>6000</v>
      </c>
      <c r="E124" s="326">
        <v>9982</v>
      </c>
      <c r="F124" s="326">
        <v>5985</v>
      </c>
      <c r="G124" s="326">
        <v>9967</v>
      </c>
      <c r="H124" s="326">
        <v>1995</v>
      </c>
    </row>
    <row r="125" spans="2:8" x14ac:dyDescent="0.2">
      <c r="B125" s="325" t="s">
        <v>456</v>
      </c>
      <c r="C125" s="326">
        <v>8773</v>
      </c>
      <c r="D125" s="326">
        <v>9613</v>
      </c>
      <c r="E125" s="326">
        <v>11128</v>
      </c>
      <c r="F125" s="326">
        <v>9822</v>
      </c>
      <c r="G125" s="326">
        <v>10912</v>
      </c>
      <c r="H125" s="326">
        <v>10848</v>
      </c>
    </row>
    <row r="126" spans="2:8" x14ac:dyDescent="0.2">
      <c r="B126" s="325" t="s">
        <v>457</v>
      </c>
      <c r="C126" s="326">
        <v>1460</v>
      </c>
      <c r="D126" s="326">
        <v>1528</v>
      </c>
      <c r="E126" s="326">
        <v>1663</v>
      </c>
      <c r="F126" s="326">
        <v>1575</v>
      </c>
      <c r="G126" s="326">
        <v>1632</v>
      </c>
      <c r="H126" s="326" t="s">
        <v>120</v>
      </c>
    </row>
    <row r="127" spans="2:8" x14ac:dyDescent="0.2">
      <c r="B127" s="325" t="s">
        <v>458</v>
      </c>
      <c r="C127" s="326" t="s">
        <v>120</v>
      </c>
      <c r="D127" s="326" t="s">
        <v>120</v>
      </c>
      <c r="E127" s="326" t="s">
        <v>120</v>
      </c>
      <c r="F127" s="326">
        <v>8819</v>
      </c>
      <c r="G127" s="326">
        <v>26601</v>
      </c>
      <c r="H127" s="326" t="s">
        <v>120</v>
      </c>
    </row>
    <row r="128" spans="2:8" x14ac:dyDescent="0.2">
      <c r="B128" s="325" t="s">
        <v>459</v>
      </c>
      <c r="C128" s="326">
        <v>6643</v>
      </c>
      <c r="D128" s="326">
        <v>7612</v>
      </c>
      <c r="E128" s="326">
        <v>7912</v>
      </c>
      <c r="F128" s="326">
        <v>8061</v>
      </c>
      <c r="G128" s="326">
        <v>8249</v>
      </c>
      <c r="H128" s="326">
        <v>8461</v>
      </c>
    </row>
    <row r="129" spans="2:8" x14ac:dyDescent="0.2">
      <c r="B129" s="325" t="s">
        <v>460</v>
      </c>
      <c r="C129" s="326">
        <v>41224</v>
      </c>
      <c r="D129" s="326">
        <v>45965</v>
      </c>
      <c r="E129" s="326">
        <v>59182</v>
      </c>
      <c r="F129" s="326">
        <v>48435</v>
      </c>
      <c r="G129" s="326">
        <v>50071</v>
      </c>
      <c r="H129" s="326">
        <v>61151</v>
      </c>
    </row>
    <row r="130" spans="2:8" x14ac:dyDescent="0.2">
      <c r="B130" s="324" t="s">
        <v>461</v>
      </c>
      <c r="C130" s="327">
        <v>105392</v>
      </c>
      <c r="D130" s="327">
        <v>125481</v>
      </c>
      <c r="E130" s="327">
        <v>153982</v>
      </c>
      <c r="F130" s="327">
        <v>145308</v>
      </c>
      <c r="G130" s="327">
        <v>176392</v>
      </c>
      <c r="H130" s="327">
        <v>144365</v>
      </c>
    </row>
    <row r="131" spans="2:8" x14ac:dyDescent="0.2">
      <c r="B131" s="325"/>
      <c r="C131" s="325"/>
      <c r="D131" s="325"/>
      <c r="E131" s="325"/>
      <c r="F131" s="325"/>
      <c r="G131" s="325"/>
      <c r="H131" s="325"/>
    </row>
    <row r="132" spans="2:8" x14ac:dyDescent="0.2">
      <c r="B132" s="325" t="s">
        <v>462</v>
      </c>
      <c r="C132" s="326">
        <v>98667</v>
      </c>
      <c r="D132" s="326">
        <v>109106</v>
      </c>
      <c r="E132" s="326">
        <v>98959</v>
      </c>
      <c r="F132" s="326">
        <v>95281</v>
      </c>
      <c r="G132" s="326">
        <v>85750</v>
      </c>
      <c r="H132" s="326">
        <v>83956</v>
      </c>
    </row>
    <row r="133" spans="2:8" x14ac:dyDescent="0.2">
      <c r="B133" s="325" t="s">
        <v>463</v>
      </c>
      <c r="C133" s="326">
        <v>8382</v>
      </c>
      <c r="D133" s="326">
        <v>10275</v>
      </c>
      <c r="E133" s="326">
        <v>10748</v>
      </c>
      <c r="F133" s="326">
        <v>11267</v>
      </c>
      <c r="G133" s="326">
        <v>10798</v>
      </c>
      <c r="H133" s="326" t="s">
        <v>120</v>
      </c>
    </row>
    <row r="134" spans="2:8" x14ac:dyDescent="0.2">
      <c r="B134" s="325" t="s">
        <v>464</v>
      </c>
      <c r="C134" s="326">
        <v>46108</v>
      </c>
      <c r="D134" s="326">
        <v>43050</v>
      </c>
      <c r="E134" s="326">
        <v>38394</v>
      </c>
      <c r="F134" s="326">
        <v>38581</v>
      </c>
      <c r="G134" s="326">
        <v>35090</v>
      </c>
      <c r="H134" s="326">
        <v>49006</v>
      </c>
    </row>
    <row r="135" spans="2:8" x14ac:dyDescent="0.2">
      <c r="B135" s="324" t="s">
        <v>465</v>
      </c>
      <c r="C135" s="327">
        <v>258549</v>
      </c>
      <c r="D135" s="327">
        <v>287912</v>
      </c>
      <c r="E135" s="327">
        <v>302083</v>
      </c>
      <c r="F135" s="327">
        <v>290437</v>
      </c>
      <c r="G135" s="327">
        <v>308030</v>
      </c>
      <c r="H135" s="327">
        <v>277327</v>
      </c>
    </row>
    <row r="136" spans="2:8" x14ac:dyDescent="0.2">
      <c r="B136" s="325"/>
      <c r="C136" s="325"/>
      <c r="D136" s="325"/>
      <c r="E136" s="325"/>
      <c r="F136" s="325"/>
      <c r="G136" s="325"/>
      <c r="H136" s="325"/>
    </row>
    <row r="137" spans="2:8" x14ac:dyDescent="0.2">
      <c r="B137" s="325" t="s">
        <v>466</v>
      </c>
      <c r="C137" s="326">
        <v>50779</v>
      </c>
      <c r="D137" s="326">
        <v>57365</v>
      </c>
      <c r="E137" s="326">
        <v>64849</v>
      </c>
      <c r="F137" s="326">
        <v>73812</v>
      </c>
      <c r="G137" s="326">
        <v>83276</v>
      </c>
      <c r="H137" s="326">
        <v>84768</v>
      </c>
    </row>
    <row r="138" spans="2:8" x14ac:dyDescent="0.2">
      <c r="B138" s="325" t="s">
        <v>467</v>
      </c>
      <c r="C138" s="326" t="s">
        <v>120</v>
      </c>
      <c r="D138" s="326" t="s">
        <v>120</v>
      </c>
      <c r="E138" s="326" t="s">
        <v>120</v>
      </c>
      <c r="F138" s="326" t="s">
        <v>120</v>
      </c>
      <c r="G138" s="326" t="s">
        <v>120</v>
      </c>
      <c r="H138" s="326" t="s">
        <v>120</v>
      </c>
    </row>
    <row r="139" spans="2:8" x14ac:dyDescent="0.2">
      <c r="B139" s="325" t="s">
        <v>468</v>
      </c>
      <c r="C139" s="326">
        <v>14966</v>
      </c>
      <c r="D139" s="326">
        <v>5562</v>
      </c>
      <c r="E139" s="326">
        <v>-3068</v>
      </c>
      <c r="F139" s="326">
        <v>-214</v>
      </c>
      <c r="G139" s="326">
        <v>-19154</v>
      </c>
      <c r="H139" s="326">
        <v>-11221</v>
      </c>
    </row>
    <row r="140" spans="2:8" x14ac:dyDescent="0.2">
      <c r="B140" s="325" t="s">
        <v>469</v>
      </c>
      <c r="C140" s="326" t="s">
        <v>120</v>
      </c>
      <c r="D140" s="326" t="s">
        <v>120</v>
      </c>
      <c r="E140" s="326" t="s">
        <v>120</v>
      </c>
      <c r="F140" s="326" t="s">
        <v>120</v>
      </c>
      <c r="G140" s="326" t="s">
        <v>120</v>
      </c>
      <c r="H140" s="326" t="s">
        <v>120</v>
      </c>
    </row>
    <row r="141" spans="2:8" x14ac:dyDescent="0.2">
      <c r="B141" s="325" t="s">
        <v>470</v>
      </c>
      <c r="C141" s="326">
        <v>-406</v>
      </c>
      <c r="D141" s="326">
        <v>163</v>
      </c>
      <c r="E141" s="326">
        <v>-11109</v>
      </c>
      <c r="F141" s="326">
        <v>-11452</v>
      </c>
      <c r="G141" s="326">
        <v>-7172</v>
      </c>
      <c r="H141" s="326">
        <v>-6789</v>
      </c>
    </row>
    <row r="142" spans="2:8" x14ac:dyDescent="0.2">
      <c r="B142" s="324" t="s">
        <v>471</v>
      </c>
      <c r="C142" s="327">
        <v>65339</v>
      </c>
      <c r="D142" s="327">
        <v>63090</v>
      </c>
      <c r="E142" s="327">
        <v>50672</v>
      </c>
      <c r="F142" s="327">
        <v>62146</v>
      </c>
      <c r="G142" s="327">
        <v>56950</v>
      </c>
      <c r="H142" s="327">
        <v>66758</v>
      </c>
    </row>
    <row r="143" spans="2:8" x14ac:dyDescent="0.2">
      <c r="B143" s="325"/>
      <c r="C143" s="325"/>
      <c r="D143" s="325"/>
      <c r="E143" s="325"/>
      <c r="F143" s="325"/>
      <c r="G143" s="325"/>
      <c r="H143" s="325"/>
    </row>
    <row r="144" spans="2:8" x14ac:dyDescent="0.2">
      <c r="B144" s="324" t="s">
        <v>280</v>
      </c>
      <c r="C144" s="341">
        <v>65339</v>
      </c>
      <c r="D144" s="341">
        <v>63090</v>
      </c>
      <c r="E144" s="341">
        <v>50672</v>
      </c>
      <c r="F144" s="341">
        <v>62146</v>
      </c>
      <c r="G144" s="341">
        <v>56950</v>
      </c>
      <c r="H144" s="341">
        <v>66758</v>
      </c>
    </row>
    <row r="145" spans="2:8" x14ac:dyDescent="0.2">
      <c r="B145" s="325"/>
      <c r="C145" s="325"/>
      <c r="D145" s="325"/>
      <c r="E145" s="325"/>
      <c r="F145" s="325"/>
      <c r="G145" s="325"/>
      <c r="H145" s="325"/>
    </row>
    <row r="146" spans="2:8" x14ac:dyDescent="0.2">
      <c r="B146" s="324" t="s">
        <v>472</v>
      </c>
      <c r="C146" s="342">
        <v>323888</v>
      </c>
      <c r="D146" s="342">
        <v>351002</v>
      </c>
      <c r="E146" s="342">
        <v>352755</v>
      </c>
      <c r="F146" s="342">
        <v>352583</v>
      </c>
      <c r="G146" s="342">
        <v>364980</v>
      </c>
      <c r="H146" s="342">
        <v>344085</v>
      </c>
    </row>
    <row r="147" spans="2:8" x14ac:dyDescent="0.2">
      <c r="B147" s="325"/>
      <c r="C147" s="325"/>
      <c r="D147" s="325"/>
      <c r="E147" s="325"/>
      <c r="F147" s="325"/>
      <c r="G147" s="325"/>
      <c r="H147" s="325"/>
    </row>
    <row r="148" spans="2:8" x14ac:dyDescent="0.2">
      <c r="B148" s="324" t="s">
        <v>406</v>
      </c>
      <c r="C148" s="325"/>
      <c r="D148" s="325"/>
      <c r="E148" s="325"/>
      <c r="F148" s="325"/>
      <c r="G148" s="325"/>
      <c r="H148" s="325"/>
    </row>
    <row r="149" spans="2:8" x14ac:dyDescent="0.2">
      <c r="B149" s="325" t="s">
        <v>473</v>
      </c>
      <c r="C149" s="326">
        <v>17001.802</v>
      </c>
      <c r="D149" s="326">
        <v>16406.397000000001</v>
      </c>
      <c r="E149" s="326">
        <v>15908.118</v>
      </c>
      <c r="F149" s="326">
        <v>15552.752</v>
      </c>
      <c r="G149" s="326">
        <v>15115.823</v>
      </c>
      <c r="H149" s="326">
        <v>15022.073</v>
      </c>
    </row>
    <row r="150" spans="2:8" x14ac:dyDescent="0.2">
      <c r="B150" s="325" t="s">
        <v>474</v>
      </c>
      <c r="C150" s="326">
        <v>16976.762999999999</v>
      </c>
      <c r="D150" s="326">
        <v>16426.786</v>
      </c>
      <c r="E150" s="326">
        <v>15943.424999999999</v>
      </c>
      <c r="F150" s="326">
        <v>15550.061</v>
      </c>
      <c r="G150" s="326">
        <v>15116.786</v>
      </c>
      <c r="H150" s="326">
        <v>15040.731</v>
      </c>
    </row>
    <row r="151" spans="2:8" x14ac:dyDescent="0.2">
      <c r="B151" s="325" t="s">
        <v>475</v>
      </c>
      <c r="C151" s="331">
        <v>3.85</v>
      </c>
      <c r="D151" s="331">
        <v>3.84</v>
      </c>
      <c r="E151" s="331">
        <v>3.18</v>
      </c>
      <c r="F151" s="331">
        <v>4</v>
      </c>
      <c r="G151" s="331">
        <v>3.77</v>
      </c>
      <c r="H151" s="331">
        <v>4.4400000000000004</v>
      </c>
    </row>
    <row r="152" spans="2:8" x14ac:dyDescent="0.2">
      <c r="B152" s="325" t="s">
        <v>476</v>
      </c>
      <c r="C152" s="326">
        <v>65339</v>
      </c>
      <c r="D152" s="326">
        <v>63090</v>
      </c>
      <c r="E152" s="326">
        <v>50672</v>
      </c>
      <c r="F152" s="326">
        <v>62146</v>
      </c>
      <c r="G152" s="326">
        <v>56950</v>
      </c>
      <c r="H152" s="326">
        <v>66758</v>
      </c>
    </row>
    <row r="153" spans="2:8" x14ac:dyDescent="0.2">
      <c r="B153" s="325" t="s">
        <v>477</v>
      </c>
      <c r="C153" s="331">
        <v>3.85</v>
      </c>
      <c r="D153" s="331">
        <v>3.84</v>
      </c>
      <c r="E153" s="331">
        <v>3.18</v>
      </c>
      <c r="F153" s="331">
        <v>4</v>
      </c>
      <c r="G153" s="331">
        <v>3.77</v>
      </c>
      <c r="H153" s="331">
        <v>4.4400000000000004</v>
      </c>
    </row>
    <row r="154" spans="2:8" x14ac:dyDescent="0.2">
      <c r="B154" s="325" t="s">
        <v>30</v>
      </c>
      <c r="C154" s="326">
        <v>122278</v>
      </c>
      <c r="D154" s="326">
        <v>136522</v>
      </c>
      <c r="E154" s="326">
        <v>132480</v>
      </c>
      <c r="F154" s="326">
        <v>123930</v>
      </c>
      <c r="G154" s="326">
        <v>119059</v>
      </c>
      <c r="H154" s="326">
        <v>96799</v>
      </c>
    </row>
    <row r="155" spans="2:8" x14ac:dyDescent="0.2">
      <c r="B155" s="325" t="s">
        <v>35</v>
      </c>
      <c r="C155" s="326">
        <v>-69552</v>
      </c>
      <c r="D155" s="326">
        <v>-53994</v>
      </c>
      <c r="E155" s="326">
        <v>-36629</v>
      </c>
      <c r="F155" s="326">
        <v>-38169</v>
      </c>
      <c r="G155" s="326">
        <v>-37591</v>
      </c>
      <c r="H155" s="326">
        <v>-44569</v>
      </c>
    </row>
    <row r="156" spans="2:8" x14ac:dyDescent="0.2">
      <c r="B156" s="325" t="s">
        <v>478</v>
      </c>
      <c r="C156" s="326">
        <v>86400</v>
      </c>
      <c r="D156" s="326">
        <v>116800</v>
      </c>
      <c r="E156" s="326">
        <v>134400</v>
      </c>
      <c r="F156" s="326">
        <v>127200</v>
      </c>
      <c r="G156" s="326">
        <v>126400</v>
      </c>
      <c r="H156" s="326" t="s">
        <v>409</v>
      </c>
    </row>
    <row r="157" spans="2:8" x14ac:dyDescent="0.2">
      <c r="B157" s="325" t="s">
        <v>479</v>
      </c>
      <c r="C157" s="336" t="s">
        <v>480</v>
      </c>
      <c r="D157" s="336" t="s">
        <v>480</v>
      </c>
      <c r="E157" s="336" t="s">
        <v>480</v>
      </c>
      <c r="F157" s="336" t="s">
        <v>480</v>
      </c>
      <c r="G157" s="336" t="s">
        <v>480</v>
      </c>
      <c r="H157" s="336" t="s">
        <v>409</v>
      </c>
    </row>
    <row r="158" spans="2:8" x14ac:dyDescent="0.2">
      <c r="B158" s="325" t="s">
        <v>481</v>
      </c>
      <c r="C158" s="326" t="s">
        <v>409</v>
      </c>
      <c r="D158" s="326" t="s">
        <v>409</v>
      </c>
      <c r="E158" s="326" t="s">
        <v>409</v>
      </c>
      <c r="F158" s="326" t="s">
        <v>409</v>
      </c>
      <c r="G158" s="326" t="s">
        <v>409</v>
      </c>
      <c r="H158" s="326">
        <v>2792</v>
      </c>
    </row>
    <row r="159" spans="2:8" x14ac:dyDescent="0.2">
      <c r="B159" s="325" t="s">
        <v>482</v>
      </c>
      <c r="C159" s="326" t="s">
        <v>409</v>
      </c>
      <c r="D159" s="326" t="s">
        <v>409</v>
      </c>
      <c r="E159" s="326" t="s">
        <v>409</v>
      </c>
      <c r="F159" s="326" t="s">
        <v>409</v>
      </c>
      <c r="G159" s="326" t="s">
        <v>409</v>
      </c>
      <c r="H159" s="326">
        <v>4119</v>
      </c>
    </row>
    <row r="160" spans="2:8" x14ac:dyDescent="0.2">
      <c r="B160" s="325" t="s">
        <v>483</v>
      </c>
      <c r="C160" s="326">
        <v>17952</v>
      </c>
      <c r="D160" s="326">
        <v>20041</v>
      </c>
      <c r="E160" s="326">
        <v>22126</v>
      </c>
      <c r="F160" s="326">
        <v>23446</v>
      </c>
      <c r="G160" s="326">
        <v>24690</v>
      </c>
      <c r="H160" s="326" t="s">
        <v>409</v>
      </c>
    </row>
    <row r="161" spans="2:8" x14ac:dyDescent="0.2">
      <c r="B161" s="325" t="s">
        <v>484</v>
      </c>
      <c r="C161" s="326">
        <v>75291</v>
      </c>
      <c r="D161" s="326">
        <v>78659</v>
      </c>
      <c r="E161" s="326">
        <v>81060</v>
      </c>
      <c r="F161" s="326">
        <v>78314</v>
      </c>
      <c r="G161" s="326">
        <v>80205</v>
      </c>
      <c r="H161" s="326" t="s">
        <v>409</v>
      </c>
    </row>
    <row r="162" spans="2:8" x14ac:dyDescent="0.2">
      <c r="B162" s="325" t="s">
        <v>485</v>
      </c>
      <c r="C162" s="326">
        <v>10283</v>
      </c>
      <c r="D162" s="326">
        <v>11023</v>
      </c>
      <c r="E162" s="326">
        <v>11271</v>
      </c>
      <c r="F162" s="326">
        <v>12839</v>
      </c>
      <c r="G162" s="326">
        <v>14233</v>
      </c>
      <c r="H162" s="326" t="s">
        <v>120</v>
      </c>
    </row>
    <row r="163" spans="2:8" x14ac:dyDescent="0.2">
      <c r="B163" s="325" t="s">
        <v>486</v>
      </c>
      <c r="C163" s="343">
        <v>147000</v>
      </c>
      <c r="D163" s="343">
        <v>154000</v>
      </c>
      <c r="E163" s="343">
        <v>164000</v>
      </c>
      <c r="F163" s="343">
        <v>161000</v>
      </c>
      <c r="G163" s="343">
        <v>164000</v>
      </c>
      <c r="H163" s="343" t="s">
        <v>409</v>
      </c>
    </row>
    <row r="164" spans="2:8" x14ac:dyDescent="0.2">
      <c r="B164" s="325" t="s">
        <v>420</v>
      </c>
      <c r="C164" s="335">
        <v>44862</v>
      </c>
      <c r="D164" s="335">
        <v>45233</v>
      </c>
      <c r="E164" s="335">
        <v>45597</v>
      </c>
      <c r="F164" s="335">
        <v>45597</v>
      </c>
      <c r="G164" s="335">
        <v>45597</v>
      </c>
      <c r="H164" s="335">
        <v>45688</v>
      </c>
    </row>
    <row r="165" spans="2:8" x14ac:dyDescent="0.2">
      <c r="B165" s="325" t="s">
        <v>421</v>
      </c>
      <c r="C165" s="336" t="s">
        <v>422</v>
      </c>
      <c r="D165" s="336" t="s">
        <v>422</v>
      </c>
      <c r="E165" s="336" t="s">
        <v>422</v>
      </c>
      <c r="F165" s="336" t="s">
        <v>487</v>
      </c>
      <c r="G165" s="336" t="s">
        <v>423</v>
      </c>
      <c r="H165" s="336" t="s">
        <v>423</v>
      </c>
    </row>
    <row r="166" spans="2:8" x14ac:dyDescent="0.2">
      <c r="B166" s="325" t="s">
        <v>424</v>
      </c>
      <c r="C166" s="336" t="s">
        <v>488</v>
      </c>
      <c r="D166" s="336" t="s">
        <v>488</v>
      </c>
      <c r="E166" s="336" t="s">
        <v>488</v>
      </c>
      <c r="F166" s="336" t="s">
        <v>425</v>
      </c>
      <c r="G166" s="336" t="s">
        <v>425</v>
      </c>
      <c r="H166" s="336" t="s">
        <v>425</v>
      </c>
    </row>
    <row r="168" spans="2:8" x14ac:dyDescent="0.2">
      <c r="B168" s="319" t="s">
        <v>489</v>
      </c>
      <c r="C168" s="319"/>
      <c r="D168" s="319"/>
      <c r="E168" s="319"/>
      <c r="F168" s="319"/>
      <c r="G168" s="319"/>
      <c r="H168" s="319"/>
    </row>
    <row r="169" spans="2:8" ht="37" x14ac:dyDescent="0.2">
      <c r="B169" s="320" t="s">
        <v>360</v>
      </c>
      <c r="C169" s="321" t="s">
        <v>361</v>
      </c>
      <c r="D169" s="321" t="s">
        <v>362</v>
      </c>
      <c r="E169" s="321" t="s">
        <v>363</v>
      </c>
      <c r="F169" s="321" t="s">
        <v>364</v>
      </c>
      <c r="G169" s="321" t="s">
        <v>365</v>
      </c>
      <c r="H169" s="321" t="s">
        <v>366</v>
      </c>
    </row>
    <row r="170" spans="2:8" x14ac:dyDescent="0.2">
      <c r="B170" s="322" t="s">
        <v>367</v>
      </c>
      <c r="C170" s="323" t="s">
        <v>368</v>
      </c>
      <c r="D170" s="323" t="s">
        <v>368</v>
      </c>
      <c r="E170" s="323" t="s">
        <v>368</v>
      </c>
      <c r="F170" s="323" t="s">
        <v>368</v>
      </c>
      <c r="G170" s="323" t="s">
        <v>368</v>
      </c>
      <c r="H170" s="323" t="s">
        <v>368</v>
      </c>
    </row>
    <row r="171" spans="2:8" x14ac:dyDescent="0.2">
      <c r="B171" s="324" t="s">
        <v>83</v>
      </c>
      <c r="C171" s="325"/>
      <c r="D171" s="325"/>
      <c r="E171" s="325"/>
      <c r="F171" s="325"/>
      <c r="G171" s="325"/>
      <c r="H171" s="325"/>
    </row>
    <row r="172" spans="2:8" x14ac:dyDescent="0.2">
      <c r="B172" s="324" t="s">
        <v>22</v>
      </c>
      <c r="C172" s="329">
        <v>57411</v>
      </c>
      <c r="D172" s="329">
        <v>94680</v>
      </c>
      <c r="E172" s="329">
        <v>99803</v>
      </c>
      <c r="F172" s="329">
        <v>96995</v>
      </c>
      <c r="G172" s="329">
        <v>93736</v>
      </c>
      <c r="H172" s="329">
        <v>96150</v>
      </c>
    </row>
    <row r="173" spans="2:8" x14ac:dyDescent="0.2">
      <c r="B173" s="325" t="s">
        <v>374</v>
      </c>
      <c r="C173" s="326">
        <v>11056</v>
      </c>
      <c r="D173" s="326">
        <v>11284</v>
      </c>
      <c r="E173" s="326">
        <v>11104</v>
      </c>
      <c r="F173" s="326">
        <v>11519</v>
      </c>
      <c r="G173" s="326">
        <v>11445</v>
      </c>
      <c r="H173" s="326">
        <v>11677</v>
      </c>
    </row>
    <row r="174" spans="2:8" x14ac:dyDescent="0.2">
      <c r="B174" s="324" t="s">
        <v>490</v>
      </c>
      <c r="C174" s="327">
        <v>11056</v>
      </c>
      <c r="D174" s="327">
        <v>11284</v>
      </c>
      <c r="E174" s="327">
        <v>11104</v>
      </c>
      <c r="F174" s="327">
        <v>11519</v>
      </c>
      <c r="G174" s="327">
        <v>11445</v>
      </c>
      <c r="H174" s="327">
        <v>11677</v>
      </c>
    </row>
    <row r="175" spans="2:8" x14ac:dyDescent="0.2">
      <c r="B175" s="325"/>
      <c r="C175" s="325"/>
      <c r="D175" s="325"/>
      <c r="E175" s="325"/>
      <c r="F175" s="325"/>
      <c r="G175" s="325"/>
      <c r="H175" s="325"/>
    </row>
    <row r="176" spans="2:8" x14ac:dyDescent="0.2">
      <c r="B176" s="325" t="s">
        <v>491</v>
      </c>
      <c r="C176" s="326">
        <v>6829</v>
      </c>
      <c r="D176" s="326">
        <v>7906</v>
      </c>
      <c r="E176" s="326">
        <v>9038</v>
      </c>
      <c r="F176" s="326">
        <v>10833</v>
      </c>
      <c r="G176" s="326">
        <v>11688</v>
      </c>
      <c r="H176" s="326">
        <v>11977</v>
      </c>
    </row>
    <row r="177" spans="2:8" x14ac:dyDescent="0.2">
      <c r="B177" s="325" t="s">
        <v>492</v>
      </c>
      <c r="C177" s="326">
        <v>-312</v>
      </c>
      <c r="D177" s="326">
        <v>-4921</v>
      </c>
      <c r="E177" s="326">
        <v>1006</v>
      </c>
      <c r="F177" s="326">
        <v>-2227</v>
      </c>
      <c r="G177" s="326">
        <v>-2266</v>
      </c>
      <c r="H177" s="326">
        <v>-3286</v>
      </c>
    </row>
    <row r="178" spans="2:8" x14ac:dyDescent="0.2">
      <c r="B178" s="325" t="s">
        <v>493</v>
      </c>
      <c r="C178" s="326">
        <v>6917</v>
      </c>
      <c r="D178" s="326">
        <v>-10125</v>
      </c>
      <c r="E178" s="326">
        <v>-1823</v>
      </c>
      <c r="F178" s="326">
        <v>-1688</v>
      </c>
      <c r="G178" s="326">
        <v>-3788</v>
      </c>
      <c r="H178" s="326">
        <v>-6746</v>
      </c>
    </row>
    <row r="179" spans="2:8" x14ac:dyDescent="0.2">
      <c r="B179" s="325" t="s">
        <v>494</v>
      </c>
      <c r="C179" s="326">
        <v>-127</v>
      </c>
      <c r="D179" s="326">
        <v>-2642</v>
      </c>
      <c r="E179" s="326">
        <v>1484</v>
      </c>
      <c r="F179" s="326">
        <v>-1618</v>
      </c>
      <c r="G179" s="326">
        <v>-1046</v>
      </c>
      <c r="H179" s="326">
        <v>-694</v>
      </c>
    </row>
    <row r="180" spans="2:8" x14ac:dyDescent="0.2">
      <c r="B180" s="325" t="s">
        <v>495</v>
      </c>
      <c r="C180" s="326">
        <v>-4062</v>
      </c>
      <c r="D180" s="326">
        <v>12326</v>
      </c>
      <c r="E180" s="326">
        <v>9448</v>
      </c>
      <c r="F180" s="326">
        <v>-1889</v>
      </c>
      <c r="G180" s="326">
        <v>6020</v>
      </c>
      <c r="H180" s="326">
        <v>3891</v>
      </c>
    </row>
    <row r="181" spans="2:8" x14ac:dyDescent="0.2">
      <c r="B181" s="325" t="s">
        <v>496</v>
      </c>
      <c r="C181" s="326">
        <v>2081</v>
      </c>
      <c r="D181" s="326" t="s">
        <v>120</v>
      </c>
      <c r="E181" s="326" t="s">
        <v>120</v>
      </c>
      <c r="F181" s="326" t="s">
        <v>120</v>
      </c>
      <c r="G181" s="326" t="s">
        <v>120</v>
      </c>
      <c r="H181" s="326" t="s">
        <v>120</v>
      </c>
    </row>
    <row r="182" spans="2:8" x14ac:dyDescent="0.2">
      <c r="B182" s="325" t="s">
        <v>497</v>
      </c>
      <c r="C182" s="326">
        <v>881</v>
      </c>
      <c r="D182" s="326">
        <v>-4470</v>
      </c>
      <c r="E182" s="326">
        <v>-7909</v>
      </c>
      <c r="F182" s="326">
        <v>-1382</v>
      </c>
      <c r="G182" s="326">
        <v>2465</v>
      </c>
      <c r="H182" s="326">
        <v>-4675</v>
      </c>
    </row>
    <row r="183" spans="2:8" x14ac:dyDescent="0.2">
      <c r="B183" s="324" t="s">
        <v>498</v>
      </c>
      <c r="C183" s="327">
        <v>80674</v>
      </c>
      <c r="D183" s="327">
        <v>104038</v>
      </c>
      <c r="E183" s="327">
        <v>122151</v>
      </c>
      <c r="F183" s="327">
        <v>110543</v>
      </c>
      <c r="G183" s="327">
        <v>118254</v>
      </c>
      <c r="H183" s="327">
        <v>108294</v>
      </c>
    </row>
    <row r="184" spans="2:8" x14ac:dyDescent="0.2">
      <c r="B184" s="325"/>
      <c r="C184" s="325"/>
      <c r="D184" s="325"/>
      <c r="E184" s="325"/>
      <c r="F184" s="325"/>
      <c r="G184" s="325"/>
      <c r="H184" s="325"/>
    </row>
    <row r="185" spans="2:8" x14ac:dyDescent="0.2">
      <c r="B185" s="325" t="s">
        <v>125</v>
      </c>
      <c r="C185" s="326">
        <v>-7309</v>
      </c>
      <c r="D185" s="326">
        <v>-11085</v>
      </c>
      <c r="E185" s="326">
        <v>-10708</v>
      </c>
      <c r="F185" s="326">
        <v>-10959</v>
      </c>
      <c r="G185" s="326">
        <v>-9447</v>
      </c>
      <c r="H185" s="326">
        <v>-9995</v>
      </c>
    </row>
    <row r="186" spans="2:8" x14ac:dyDescent="0.2">
      <c r="B186" s="325" t="s">
        <v>499</v>
      </c>
      <c r="C186" s="326">
        <v>-1524</v>
      </c>
      <c r="D186" s="326" t="s">
        <v>120</v>
      </c>
      <c r="E186" s="326" t="s">
        <v>120</v>
      </c>
      <c r="F186" s="326" t="s">
        <v>120</v>
      </c>
      <c r="G186" s="326" t="s">
        <v>120</v>
      </c>
      <c r="H186" s="326" t="s">
        <v>120</v>
      </c>
    </row>
    <row r="187" spans="2:8" x14ac:dyDescent="0.2">
      <c r="B187" s="325" t="s">
        <v>500</v>
      </c>
      <c r="C187" s="326" t="s">
        <v>120</v>
      </c>
      <c r="D187" s="326" t="s">
        <v>120</v>
      </c>
      <c r="E187" s="326" t="s">
        <v>120</v>
      </c>
      <c r="F187" s="326" t="s">
        <v>120</v>
      </c>
      <c r="G187" s="326" t="s">
        <v>120</v>
      </c>
      <c r="H187" s="326" t="s">
        <v>120</v>
      </c>
    </row>
    <row r="188" spans="2:8" x14ac:dyDescent="0.2">
      <c r="B188" s="325" t="s">
        <v>501</v>
      </c>
      <c r="C188" s="326">
        <v>5453</v>
      </c>
      <c r="D188" s="326">
        <v>-3075</v>
      </c>
      <c r="E188" s="326">
        <v>-9560</v>
      </c>
      <c r="F188" s="326">
        <v>16001</v>
      </c>
      <c r="G188" s="326">
        <v>13690</v>
      </c>
      <c r="H188" s="326">
        <v>22422</v>
      </c>
    </row>
    <row r="189" spans="2:8" x14ac:dyDescent="0.2">
      <c r="B189" s="325" t="s">
        <v>502</v>
      </c>
      <c r="C189" s="326" t="s">
        <v>120</v>
      </c>
      <c r="D189" s="326" t="s">
        <v>120</v>
      </c>
      <c r="E189" s="326" t="s">
        <v>120</v>
      </c>
      <c r="F189" s="326" t="s">
        <v>120</v>
      </c>
      <c r="G189" s="326" t="s">
        <v>120</v>
      </c>
      <c r="H189" s="326" t="s">
        <v>120</v>
      </c>
    </row>
    <row r="190" spans="2:8" x14ac:dyDescent="0.2">
      <c r="B190" s="325" t="s">
        <v>503</v>
      </c>
      <c r="C190" s="326">
        <v>-909</v>
      </c>
      <c r="D190" s="326">
        <v>-385</v>
      </c>
      <c r="E190" s="326">
        <v>-2086</v>
      </c>
      <c r="F190" s="326">
        <v>-1337</v>
      </c>
      <c r="G190" s="326">
        <v>-1308</v>
      </c>
      <c r="H190" s="326">
        <v>-1627</v>
      </c>
    </row>
    <row r="191" spans="2:8" x14ac:dyDescent="0.2">
      <c r="B191" s="324" t="s">
        <v>504</v>
      </c>
      <c r="C191" s="327">
        <v>-4289</v>
      </c>
      <c r="D191" s="327">
        <v>-14545</v>
      </c>
      <c r="E191" s="327">
        <v>-22354</v>
      </c>
      <c r="F191" s="327">
        <v>3705</v>
      </c>
      <c r="G191" s="327">
        <v>2935</v>
      </c>
      <c r="H191" s="327">
        <v>10800</v>
      </c>
    </row>
    <row r="192" spans="2:8" x14ac:dyDescent="0.2">
      <c r="B192" s="325"/>
      <c r="C192" s="325"/>
      <c r="D192" s="325"/>
      <c r="E192" s="325"/>
      <c r="F192" s="325"/>
      <c r="G192" s="325"/>
      <c r="H192" s="325"/>
    </row>
    <row r="193" spans="2:8" x14ac:dyDescent="0.2">
      <c r="B193" s="325" t="s">
        <v>505</v>
      </c>
      <c r="C193" s="326" t="s">
        <v>120</v>
      </c>
      <c r="D193" s="326">
        <v>1022</v>
      </c>
      <c r="E193" s="326">
        <v>3955</v>
      </c>
      <c r="F193" s="326" t="s">
        <v>120</v>
      </c>
      <c r="G193" s="326">
        <v>3960</v>
      </c>
      <c r="H193" s="326" t="s">
        <v>120</v>
      </c>
    </row>
    <row r="194" spans="2:8" x14ac:dyDescent="0.2">
      <c r="B194" s="325" t="s">
        <v>506</v>
      </c>
      <c r="C194" s="326">
        <v>16091</v>
      </c>
      <c r="D194" s="326">
        <v>20393</v>
      </c>
      <c r="E194" s="326">
        <v>5465</v>
      </c>
      <c r="F194" s="326">
        <v>5228</v>
      </c>
      <c r="G194" s="326" t="s">
        <v>120</v>
      </c>
      <c r="H194" s="326" t="s">
        <v>120</v>
      </c>
    </row>
    <row r="195" spans="2:8" x14ac:dyDescent="0.2">
      <c r="B195" s="324" t="s">
        <v>507</v>
      </c>
      <c r="C195" s="327">
        <v>16091</v>
      </c>
      <c r="D195" s="327">
        <v>21415</v>
      </c>
      <c r="E195" s="327">
        <v>9420</v>
      </c>
      <c r="F195" s="327">
        <v>5228</v>
      </c>
      <c r="G195" s="327">
        <v>3960</v>
      </c>
      <c r="H195" s="327">
        <v>3960</v>
      </c>
    </row>
    <row r="196" spans="2:8" x14ac:dyDescent="0.2">
      <c r="B196" s="325" t="s">
        <v>508</v>
      </c>
      <c r="C196" s="326">
        <v>-963</v>
      </c>
      <c r="D196" s="326" t="s">
        <v>120</v>
      </c>
      <c r="E196" s="326" t="s">
        <v>120</v>
      </c>
      <c r="F196" s="326">
        <v>-3978</v>
      </c>
      <c r="G196" s="326" t="s">
        <v>120</v>
      </c>
      <c r="H196" s="326" t="s">
        <v>120</v>
      </c>
    </row>
    <row r="197" spans="2:8" x14ac:dyDescent="0.2">
      <c r="B197" s="325" t="s">
        <v>509</v>
      </c>
      <c r="C197" s="326">
        <v>-12629</v>
      </c>
      <c r="D197" s="326">
        <v>-8750</v>
      </c>
      <c r="E197" s="326">
        <v>-9543</v>
      </c>
      <c r="F197" s="326">
        <v>-11151</v>
      </c>
      <c r="G197" s="326">
        <v>-9958</v>
      </c>
      <c r="H197" s="326" t="s">
        <v>120</v>
      </c>
    </row>
    <row r="198" spans="2:8" x14ac:dyDescent="0.2">
      <c r="B198" s="324" t="s">
        <v>510</v>
      </c>
      <c r="C198" s="327">
        <v>-13592</v>
      </c>
      <c r="D198" s="327">
        <v>-8750</v>
      </c>
      <c r="E198" s="327">
        <v>-9543</v>
      </c>
      <c r="F198" s="327">
        <v>-15129</v>
      </c>
      <c r="G198" s="327">
        <v>-9958</v>
      </c>
      <c r="H198" s="327">
        <v>-14927</v>
      </c>
    </row>
    <row r="199" spans="2:8" x14ac:dyDescent="0.2">
      <c r="B199" s="325"/>
      <c r="C199" s="325"/>
      <c r="D199" s="325"/>
      <c r="E199" s="325"/>
      <c r="F199" s="325"/>
      <c r="G199" s="325"/>
      <c r="H199" s="325"/>
    </row>
    <row r="200" spans="2:8" x14ac:dyDescent="0.2">
      <c r="B200" s="325" t="s">
        <v>511</v>
      </c>
      <c r="C200" s="326">
        <v>-75992</v>
      </c>
      <c r="D200" s="326">
        <v>-92527</v>
      </c>
      <c r="E200" s="326">
        <v>-95625</v>
      </c>
      <c r="F200" s="326">
        <v>-82981</v>
      </c>
      <c r="G200" s="326">
        <v>-100390</v>
      </c>
      <c r="H200" s="326">
        <v>-104187</v>
      </c>
    </row>
    <row r="201" spans="2:8" x14ac:dyDescent="0.2">
      <c r="B201" s="325"/>
      <c r="C201" s="325"/>
      <c r="D201" s="325"/>
      <c r="E201" s="325"/>
      <c r="F201" s="325"/>
      <c r="G201" s="325"/>
      <c r="H201" s="325"/>
    </row>
    <row r="202" spans="2:8" x14ac:dyDescent="0.2">
      <c r="B202" s="325" t="s">
        <v>512</v>
      </c>
      <c r="C202" s="326">
        <v>-14081</v>
      </c>
      <c r="D202" s="326">
        <v>-14467</v>
      </c>
      <c r="E202" s="326">
        <v>-14841</v>
      </c>
      <c r="F202" s="326">
        <v>-15025</v>
      </c>
      <c r="G202" s="326">
        <v>-15234</v>
      </c>
      <c r="H202" s="326">
        <v>-15265</v>
      </c>
    </row>
    <row r="203" spans="2:8" x14ac:dyDescent="0.2">
      <c r="B203" s="324" t="s">
        <v>513</v>
      </c>
      <c r="C203" s="327">
        <v>-14081</v>
      </c>
      <c r="D203" s="327">
        <v>-14467</v>
      </c>
      <c r="E203" s="327">
        <v>-14841</v>
      </c>
      <c r="F203" s="327">
        <v>-15025</v>
      </c>
      <c r="G203" s="327">
        <v>-15234</v>
      </c>
      <c r="H203" s="327">
        <v>-15265</v>
      </c>
    </row>
    <row r="204" spans="2:8" x14ac:dyDescent="0.2">
      <c r="B204" s="325"/>
      <c r="C204" s="325"/>
      <c r="D204" s="325"/>
      <c r="E204" s="325"/>
      <c r="F204" s="325"/>
      <c r="G204" s="325"/>
      <c r="H204" s="325"/>
    </row>
    <row r="205" spans="2:8" x14ac:dyDescent="0.2">
      <c r="B205" s="325" t="s">
        <v>514</v>
      </c>
      <c r="C205" s="326" t="s">
        <v>120</v>
      </c>
      <c r="D205" s="326" t="s">
        <v>120</v>
      </c>
      <c r="E205" s="326" t="s">
        <v>120</v>
      </c>
      <c r="F205" s="326" t="s">
        <v>120</v>
      </c>
      <c r="G205" s="326" t="s">
        <v>120</v>
      </c>
      <c r="H205" s="326" t="s">
        <v>120</v>
      </c>
    </row>
    <row r="206" spans="2:8" x14ac:dyDescent="0.2">
      <c r="B206" s="325" t="s">
        <v>515</v>
      </c>
      <c r="C206" s="326">
        <v>754</v>
      </c>
      <c r="D206" s="326">
        <v>976</v>
      </c>
      <c r="E206" s="326">
        <v>-160</v>
      </c>
      <c r="F206" s="326">
        <v>-581</v>
      </c>
      <c r="G206" s="326">
        <v>-361</v>
      </c>
      <c r="H206" s="326">
        <v>-350</v>
      </c>
    </row>
    <row r="207" spans="2:8" x14ac:dyDescent="0.2">
      <c r="B207" s="324" t="s">
        <v>516</v>
      </c>
      <c r="C207" s="327">
        <v>-86820</v>
      </c>
      <c r="D207" s="327">
        <v>-93353</v>
      </c>
      <c r="E207" s="327">
        <v>-110749</v>
      </c>
      <c r="F207" s="327">
        <v>-108488</v>
      </c>
      <c r="G207" s="327">
        <v>-121983</v>
      </c>
      <c r="H207" s="327">
        <v>-130769</v>
      </c>
    </row>
    <row r="208" spans="2:8" x14ac:dyDescent="0.2">
      <c r="B208" s="325"/>
      <c r="C208" s="325"/>
      <c r="D208" s="325"/>
      <c r="E208" s="325"/>
      <c r="F208" s="325"/>
      <c r="G208" s="325"/>
      <c r="H208" s="325"/>
    </row>
    <row r="209" spans="2:8" x14ac:dyDescent="0.2">
      <c r="B209" s="324" t="s">
        <v>517</v>
      </c>
      <c r="C209" s="330">
        <v>-10435</v>
      </c>
      <c r="D209" s="330">
        <v>-3860</v>
      </c>
      <c r="E209" s="330">
        <v>-10952</v>
      </c>
      <c r="F209" s="330">
        <v>5760</v>
      </c>
      <c r="G209" s="330">
        <v>-794</v>
      </c>
      <c r="H209" s="330">
        <v>-11675</v>
      </c>
    </row>
    <row r="210" spans="2:8" x14ac:dyDescent="0.2">
      <c r="B210" s="325"/>
      <c r="C210" s="325"/>
      <c r="D210" s="325"/>
      <c r="E210" s="325"/>
      <c r="F210" s="325"/>
      <c r="G210" s="325"/>
      <c r="H210" s="325"/>
    </row>
    <row r="211" spans="2:8" x14ac:dyDescent="0.2">
      <c r="B211" s="324" t="s">
        <v>406</v>
      </c>
      <c r="C211" s="325"/>
      <c r="D211" s="325"/>
      <c r="E211" s="325"/>
      <c r="F211" s="325"/>
      <c r="G211" s="325"/>
      <c r="H211" s="325"/>
    </row>
    <row r="212" spans="2:8" x14ac:dyDescent="0.2">
      <c r="B212" s="325" t="s">
        <v>518</v>
      </c>
      <c r="C212" s="326">
        <v>3002</v>
      </c>
      <c r="D212" s="326">
        <v>2687</v>
      </c>
      <c r="E212" s="326" t="s">
        <v>409</v>
      </c>
      <c r="F212" s="326" t="s">
        <v>409</v>
      </c>
      <c r="G212" s="326" t="s">
        <v>409</v>
      </c>
      <c r="H212" s="326" t="s">
        <v>409</v>
      </c>
    </row>
    <row r="213" spans="2:8" x14ac:dyDescent="0.2">
      <c r="B213" s="325" t="s">
        <v>519</v>
      </c>
      <c r="C213" s="326">
        <v>9501</v>
      </c>
      <c r="D213" s="326">
        <v>25385</v>
      </c>
      <c r="E213" s="326">
        <v>19573</v>
      </c>
      <c r="F213" s="326">
        <v>18679</v>
      </c>
      <c r="G213" s="326">
        <v>26102</v>
      </c>
      <c r="H213" s="326">
        <v>37498</v>
      </c>
    </row>
    <row r="214" spans="2:8" x14ac:dyDescent="0.2">
      <c r="B214" s="325" t="s">
        <v>146</v>
      </c>
      <c r="C214" s="326">
        <v>60387.375</v>
      </c>
      <c r="D214" s="326">
        <v>73295</v>
      </c>
      <c r="E214" s="326">
        <v>92047.125</v>
      </c>
      <c r="F214" s="326">
        <v>84638.125</v>
      </c>
      <c r="G214" s="326">
        <v>110846</v>
      </c>
      <c r="H214" s="326">
        <v>93833.875</v>
      </c>
    </row>
    <row r="215" spans="2:8" x14ac:dyDescent="0.2">
      <c r="B215" s="325" t="s">
        <v>520</v>
      </c>
      <c r="C215" s="326">
        <v>62183</v>
      </c>
      <c r="D215" s="326">
        <v>74948.125</v>
      </c>
      <c r="E215" s="326">
        <v>92047.125</v>
      </c>
      <c r="F215" s="326">
        <v>84638.125</v>
      </c>
      <c r="G215" s="326">
        <v>110846</v>
      </c>
      <c r="H215" s="326">
        <v>93833.875</v>
      </c>
    </row>
    <row r="216" spans="2:8" x14ac:dyDescent="0.2">
      <c r="B216" s="325" t="s">
        <v>134</v>
      </c>
      <c r="C216" s="326">
        <v>-10177</v>
      </c>
      <c r="D216" s="326">
        <v>1250</v>
      </c>
      <c r="E216" s="326">
        <v>-7965</v>
      </c>
      <c r="F216" s="326">
        <v>-1807</v>
      </c>
      <c r="G216" s="326">
        <v>-20150</v>
      </c>
      <c r="H216" s="326">
        <v>-1628</v>
      </c>
    </row>
    <row r="217" spans="2:8" x14ac:dyDescent="0.2">
      <c r="B217" s="325" t="s">
        <v>521</v>
      </c>
      <c r="C217" s="326">
        <v>2499</v>
      </c>
      <c r="D217" s="326">
        <v>12665</v>
      </c>
      <c r="E217" s="326">
        <v>-123</v>
      </c>
      <c r="F217" s="326">
        <v>-9901</v>
      </c>
      <c r="G217" s="326">
        <v>-5998</v>
      </c>
      <c r="H217" s="326">
        <v>-10967</v>
      </c>
    </row>
    <row r="218" spans="2:8" x14ac:dyDescent="0.2">
      <c r="B218" s="325" t="s">
        <v>420</v>
      </c>
      <c r="C218" s="335">
        <v>44862</v>
      </c>
      <c r="D218" s="335">
        <v>45233</v>
      </c>
      <c r="E218" s="335">
        <v>45597</v>
      </c>
      <c r="F218" s="335">
        <v>45597</v>
      </c>
      <c r="G218" s="335">
        <v>45597</v>
      </c>
      <c r="H218" s="335">
        <v>45688</v>
      </c>
    </row>
    <row r="219" spans="2:8" x14ac:dyDescent="0.2">
      <c r="B219" s="325" t="s">
        <v>421</v>
      </c>
      <c r="C219" s="336" t="s">
        <v>422</v>
      </c>
      <c r="D219" s="336" t="s">
        <v>422</v>
      </c>
      <c r="E219" s="336" t="s">
        <v>422</v>
      </c>
      <c r="F219" s="336" t="s">
        <v>422</v>
      </c>
      <c r="G219" s="336" t="s">
        <v>423</v>
      </c>
      <c r="H219" s="336" t="s">
        <v>423</v>
      </c>
    </row>
    <row r="220" spans="2:8" x14ac:dyDescent="0.2">
      <c r="B220" s="325" t="s">
        <v>424</v>
      </c>
      <c r="C220" s="336" t="s">
        <v>425</v>
      </c>
      <c r="D220" s="336" t="s">
        <v>425</v>
      </c>
      <c r="E220" s="336" t="s">
        <v>425</v>
      </c>
      <c r="F220" s="336" t="s">
        <v>425</v>
      </c>
      <c r="G220" s="336" t="s">
        <v>425</v>
      </c>
      <c r="H220" s="336" t="s">
        <v>173</v>
      </c>
    </row>
    <row r="223" spans="2:8" x14ac:dyDescent="0.2">
      <c r="B223" s="319" t="s">
        <v>489</v>
      </c>
      <c r="C223" s="319"/>
      <c r="D223" s="319"/>
      <c r="E223" s="319"/>
      <c r="F223" s="319"/>
      <c r="G223" s="319"/>
      <c r="H223" s="319"/>
    </row>
    <row r="224" spans="2:8" ht="37" x14ac:dyDescent="0.2">
      <c r="B224" s="320" t="s">
        <v>360</v>
      </c>
      <c r="C224" s="321" t="s">
        <v>361</v>
      </c>
      <c r="D224" s="321" t="s">
        <v>362</v>
      </c>
      <c r="E224" s="321" t="s">
        <v>363</v>
      </c>
      <c r="F224" s="321" t="s">
        <v>364</v>
      </c>
      <c r="G224" s="321" t="s">
        <v>365</v>
      </c>
      <c r="H224" s="321" t="s">
        <v>366</v>
      </c>
    </row>
    <row r="225" spans="2:8" x14ac:dyDescent="0.2">
      <c r="B225" s="322" t="s">
        <v>367</v>
      </c>
      <c r="C225" s="323" t="s">
        <v>368</v>
      </c>
      <c r="D225" s="323" t="s">
        <v>368</v>
      </c>
      <c r="E225" s="323" t="s">
        <v>368</v>
      </c>
      <c r="F225" s="323" t="s">
        <v>368</v>
      </c>
      <c r="G225" s="323" t="s">
        <v>368</v>
      </c>
      <c r="H225" s="323" t="s">
        <v>368</v>
      </c>
    </row>
    <row r="226" spans="2:8" x14ac:dyDescent="0.2">
      <c r="B226" s="324" t="s">
        <v>83</v>
      </c>
      <c r="C226" s="325"/>
      <c r="D226" s="325"/>
      <c r="E226" s="325"/>
      <c r="F226" s="325"/>
      <c r="G226" s="325"/>
      <c r="H226" s="325"/>
    </row>
    <row r="227" spans="2:8" x14ac:dyDescent="0.2">
      <c r="B227" s="324" t="s">
        <v>22</v>
      </c>
      <c r="C227" s="329">
        <v>57411</v>
      </c>
      <c r="D227" s="329">
        <v>94680</v>
      </c>
      <c r="E227" s="329">
        <v>99803</v>
      </c>
      <c r="F227" s="329">
        <v>96995</v>
      </c>
      <c r="G227" s="329">
        <v>93736</v>
      </c>
      <c r="H227" s="329">
        <v>96150</v>
      </c>
    </row>
    <row r="228" spans="2:8" x14ac:dyDescent="0.2">
      <c r="B228" s="325" t="s">
        <v>374</v>
      </c>
      <c r="C228" s="326">
        <v>11056</v>
      </c>
      <c r="D228" s="326">
        <v>11284</v>
      </c>
      <c r="E228" s="326">
        <v>11104</v>
      </c>
      <c r="F228" s="326">
        <v>11519</v>
      </c>
      <c r="G228" s="326">
        <v>11445</v>
      </c>
      <c r="H228" s="326">
        <v>11677</v>
      </c>
    </row>
    <row r="229" spans="2:8" x14ac:dyDescent="0.2">
      <c r="B229" s="324" t="s">
        <v>490</v>
      </c>
      <c r="C229" s="327">
        <v>11056</v>
      </c>
      <c r="D229" s="327">
        <v>11284</v>
      </c>
      <c r="E229" s="327">
        <v>11104</v>
      </c>
      <c r="F229" s="327">
        <v>11519</v>
      </c>
      <c r="G229" s="327">
        <v>11445</v>
      </c>
      <c r="H229" s="327">
        <v>11677</v>
      </c>
    </row>
    <row r="230" spans="2:8" x14ac:dyDescent="0.2">
      <c r="B230" s="325"/>
      <c r="C230" s="325"/>
      <c r="D230" s="325"/>
      <c r="E230" s="325"/>
      <c r="F230" s="325"/>
      <c r="G230" s="325"/>
      <c r="H230" s="325"/>
    </row>
    <row r="231" spans="2:8" x14ac:dyDescent="0.2">
      <c r="B231" s="325" t="s">
        <v>491</v>
      </c>
      <c r="C231" s="326">
        <v>6829</v>
      </c>
      <c r="D231" s="326">
        <v>7906</v>
      </c>
      <c r="E231" s="326">
        <v>9038</v>
      </c>
      <c r="F231" s="326">
        <v>10833</v>
      </c>
      <c r="G231" s="326">
        <v>11688</v>
      </c>
      <c r="H231" s="326">
        <v>11977</v>
      </c>
    </row>
    <row r="232" spans="2:8" x14ac:dyDescent="0.2">
      <c r="B232" s="325" t="s">
        <v>492</v>
      </c>
      <c r="C232" s="326">
        <v>-312</v>
      </c>
      <c r="D232" s="326">
        <v>-4921</v>
      </c>
      <c r="E232" s="326">
        <v>1006</v>
      </c>
      <c r="F232" s="326">
        <v>-2227</v>
      </c>
      <c r="G232" s="326">
        <v>-2266</v>
      </c>
      <c r="H232" s="326">
        <v>-3286</v>
      </c>
    </row>
    <row r="233" spans="2:8" x14ac:dyDescent="0.2">
      <c r="B233" s="325" t="s">
        <v>493</v>
      </c>
      <c r="C233" s="326">
        <v>6917</v>
      </c>
      <c r="D233" s="326">
        <v>-10125</v>
      </c>
      <c r="E233" s="326">
        <v>-1823</v>
      </c>
      <c r="F233" s="326">
        <v>-1688</v>
      </c>
      <c r="G233" s="326">
        <v>-3788</v>
      </c>
      <c r="H233" s="326">
        <v>-6746</v>
      </c>
    </row>
    <row r="234" spans="2:8" x14ac:dyDescent="0.2">
      <c r="B234" s="325" t="s">
        <v>494</v>
      </c>
      <c r="C234" s="326">
        <v>-127</v>
      </c>
      <c r="D234" s="326">
        <v>-2642</v>
      </c>
      <c r="E234" s="326">
        <v>1484</v>
      </c>
      <c r="F234" s="326">
        <v>-1618</v>
      </c>
      <c r="G234" s="326">
        <v>-1046</v>
      </c>
      <c r="H234" s="326">
        <v>-694</v>
      </c>
    </row>
    <row r="235" spans="2:8" x14ac:dyDescent="0.2">
      <c r="B235" s="325" t="s">
        <v>495</v>
      </c>
      <c r="C235" s="326">
        <v>-4062</v>
      </c>
      <c r="D235" s="326">
        <v>12326</v>
      </c>
      <c r="E235" s="326">
        <v>9448</v>
      </c>
      <c r="F235" s="326">
        <v>-1889</v>
      </c>
      <c r="G235" s="326">
        <v>6020</v>
      </c>
      <c r="H235" s="326">
        <v>3891</v>
      </c>
    </row>
    <row r="236" spans="2:8" x14ac:dyDescent="0.2">
      <c r="B236" s="325" t="s">
        <v>496</v>
      </c>
      <c r="C236" s="326">
        <v>2081</v>
      </c>
      <c r="D236" s="326" t="s">
        <v>120</v>
      </c>
      <c r="E236" s="326" t="s">
        <v>120</v>
      </c>
      <c r="F236" s="326" t="s">
        <v>120</v>
      </c>
      <c r="G236" s="326" t="s">
        <v>120</v>
      </c>
      <c r="H236" s="326" t="s">
        <v>120</v>
      </c>
    </row>
    <row r="237" spans="2:8" x14ac:dyDescent="0.2">
      <c r="B237" s="325" t="s">
        <v>497</v>
      </c>
      <c r="C237" s="326">
        <v>881</v>
      </c>
      <c r="D237" s="326">
        <v>-4470</v>
      </c>
      <c r="E237" s="326">
        <v>-7909</v>
      </c>
      <c r="F237" s="326">
        <v>-1382</v>
      </c>
      <c r="G237" s="326">
        <v>2465</v>
      </c>
      <c r="H237" s="326">
        <v>-4675</v>
      </c>
    </row>
    <row r="238" spans="2:8" x14ac:dyDescent="0.2">
      <c r="B238" s="324" t="s">
        <v>498</v>
      </c>
      <c r="C238" s="327">
        <v>80674</v>
      </c>
      <c r="D238" s="327">
        <v>104038</v>
      </c>
      <c r="E238" s="327">
        <v>122151</v>
      </c>
      <c r="F238" s="327">
        <v>110543</v>
      </c>
      <c r="G238" s="327">
        <v>118254</v>
      </c>
      <c r="H238" s="327">
        <v>108294</v>
      </c>
    </row>
    <row r="239" spans="2:8" x14ac:dyDescent="0.2">
      <c r="B239" s="325"/>
      <c r="C239" s="325"/>
      <c r="D239" s="325"/>
      <c r="E239" s="325"/>
      <c r="F239" s="325"/>
      <c r="G239" s="325"/>
      <c r="H239" s="325"/>
    </row>
    <row r="240" spans="2:8" x14ac:dyDescent="0.2">
      <c r="B240" s="325" t="s">
        <v>125</v>
      </c>
      <c r="C240" s="326">
        <v>-7309</v>
      </c>
      <c r="D240" s="326">
        <v>-11085</v>
      </c>
      <c r="E240" s="326">
        <v>-10708</v>
      </c>
      <c r="F240" s="326">
        <v>-10959</v>
      </c>
      <c r="G240" s="326">
        <v>-9447</v>
      </c>
      <c r="H240" s="326">
        <v>-9995</v>
      </c>
    </row>
    <row r="241" spans="2:8" x14ac:dyDescent="0.2">
      <c r="B241" s="325" t="s">
        <v>499</v>
      </c>
      <c r="C241" s="326">
        <v>-1524</v>
      </c>
      <c r="D241" s="326" t="s">
        <v>120</v>
      </c>
      <c r="E241" s="326" t="s">
        <v>120</v>
      </c>
      <c r="F241" s="326" t="s">
        <v>120</v>
      </c>
      <c r="G241" s="326" t="s">
        <v>120</v>
      </c>
      <c r="H241" s="326" t="s">
        <v>120</v>
      </c>
    </row>
    <row r="242" spans="2:8" x14ac:dyDescent="0.2">
      <c r="B242" s="325" t="s">
        <v>500</v>
      </c>
      <c r="C242" s="326" t="s">
        <v>120</v>
      </c>
      <c r="D242" s="326" t="s">
        <v>120</v>
      </c>
      <c r="E242" s="326" t="s">
        <v>120</v>
      </c>
      <c r="F242" s="326" t="s">
        <v>120</v>
      </c>
      <c r="G242" s="326" t="s">
        <v>120</v>
      </c>
      <c r="H242" s="326" t="s">
        <v>120</v>
      </c>
    </row>
    <row r="243" spans="2:8" x14ac:dyDescent="0.2">
      <c r="B243" s="325" t="s">
        <v>501</v>
      </c>
      <c r="C243" s="326">
        <v>5453</v>
      </c>
      <c r="D243" s="326">
        <v>-3075</v>
      </c>
      <c r="E243" s="326">
        <v>-9560</v>
      </c>
      <c r="F243" s="326">
        <v>16001</v>
      </c>
      <c r="G243" s="326">
        <v>13690</v>
      </c>
      <c r="H243" s="326">
        <v>22422</v>
      </c>
    </row>
    <row r="244" spans="2:8" x14ac:dyDescent="0.2">
      <c r="B244" s="325" t="s">
        <v>502</v>
      </c>
      <c r="C244" s="326" t="s">
        <v>120</v>
      </c>
      <c r="D244" s="326" t="s">
        <v>120</v>
      </c>
      <c r="E244" s="326" t="s">
        <v>120</v>
      </c>
      <c r="F244" s="326" t="s">
        <v>120</v>
      </c>
      <c r="G244" s="326" t="s">
        <v>120</v>
      </c>
      <c r="H244" s="326" t="s">
        <v>120</v>
      </c>
    </row>
    <row r="245" spans="2:8" x14ac:dyDescent="0.2">
      <c r="B245" s="325" t="s">
        <v>503</v>
      </c>
      <c r="C245" s="326">
        <v>-909</v>
      </c>
      <c r="D245" s="326">
        <v>-385</v>
      </c>
      <c r="E245" s="326">
        <v>-2086</v>
      </c>
      <c r="F245" s="326">
        <v>-1337</v>
      </c>
      <c r="G245" s="326">
        <v>-1308</v>
      </c>
      <c r="H245" s="326">
        <v>-1627</v>
      </c>
    </row>
    <row r="246" spans="2:8" x14ac:dyDescent="0.2">
      <c r="B246" s="324" t="s">
        <v>504</v>
      </c>
      <c r="C246" s="327">
        <v>-4289</v>
      </c>
      <c r="D246" s="327">
        <v>-14545</v>
      </c>
      <c r="E246" s="327">
        <v>-22354</v>
      </c>
      <c r="F246" s="327">
        <v>3705</v>
      </c>
      <c r="G246" s="327">
        <v>2935</v>
      </c>
      <c r="H246" s="327">
        <v>10800</v>
      </c>
    </row>
    <row r="247" spans="2:8" x14ac:dyDescent="0.2">
      <c r="B247" s="325"/>
      <c r="C247" s="325"/>
      <c r="D247" s="325"/>
      <c r="E247" s="325"/>
      <c r="F247" s="325"/>
      <c r="G247" s="325"/>
      <c r="H247" s="325"/>
    </row>
    <row r="248" spans="2:8" x14ac:dyDescent="0.2">
      <c r="B248" s="325" t="s">
        <v>505</v>
      </c>
      <c r="C248" s="326" t="s">
        <v>120</v>
      </c>
      <c r="D248" s="326">
        <v>1022</v>
      </c>
      <c r="E248" s="326">
        <v>3955</v>
      </c>
      <c r="F248" s="326" t="s">
        <v>120</v>
      </c>
      <c r="G248" s="326">
        <v>3960</v>
      </c>
      <c r="H248" s="326" t="s">
        <v>120</v>
      </c>
    </row>
    <row r="249" spans="2:8" x14ac:dyDescent="0.2">
      <c r="B249" s="325" t="s">
        <v>506</v>
      </c>
      <c r="C249" s="326">
        <v>16091</v>
      </c>
      <c r="D249" s="326">
        <v>20393</v>
      </c>
      <c r="E249" s="326">
        <v>5465</v>
      </c>
      <c r="F249" s="326">
        <v>5228</v>
      </c>
      <c r="G249" s="326" t="s">
        <v>120</v>
      </c>
      <c r="H249" s="326" t="s">
        <v>120</v>
      </c>
    </row>
    <row r="250" spans="2:8" x14ac:dyDescent="0.2">
      <c r="B250" s="324" t="s">
        <v>507</v>
      </c>
      <c r="C250" s="327">
        <v>16091</v>
      </c>
      <c r="D250" s="327">
        <v>21415</v>
      </c>
      <c r="E250" s="327">
        <v>9420</v>
      </c>
      <c r="F250" s="327">
        <v>5228</v>
      </c>
      <c r="G250" s="327">
        <v>3960</v>
      </c>
      <c r="H250" s="327">
        <v>3960</v>
      </c>
    </row>
    <row r="251" spans="2:8" x14ac:dyDescent="0.2">
      <c r="B251" s="325" t="s">
        <v>508</v>
      </c>
      <c r="C251" s="326">
        <v>-963</v>
      </c>
      <c r="D251" s="326" t="s">
        <v>120</v>
      </c>
      <c r="E251" s="326" t="s">
        <v>120</v>
      </c>
      <c r="F251" s="326">
        <v>-3978</v>
      </c>
      <c r="G251" s="326" t="s">
        <v>120</v>
      </c>
      <c r="H251" s="326" t="s">
        <v>120</v>
      </c>
    </row>
    <row r="252" spans="2:8" x14ac:dyDescent="0.2">
      <c r="B252" s="325" t="s">
        <v>509</v>
      </c>
      <c r="C252" s="326">
        <v>-12629</v>
      </c>
      <c r="D252" s="326">
        <v>-8750</v>
      </c>
      <c r="E252" s="326">
        <v>-9543</v>
      </c>
      <c r="F252" s="326">
        <v>-11151</v>
      </c>
      <c r="G252" s="326">
        <v>-9958</v>
      </c>
      <c r="H252" s="326" t="s">
        <v>120</v>
      </c>
    </row>
    <row r="253" spans="2:8" x14ac:dyDescent="0.2">
      <c r="B253" s="324" t="s">
        <v>510</v>
      </c>
      <c r="C253" s="327">
        <v>-13592</v>
      </c>
      <c r="D253" s="327">
        <v>-8750</v>
      </c>
      <c r="E253" s="327">
        <v>-9543</v>
      </c>
      <c r="F253" s="327">
        <v>-15129</v>
      </c>
      <c r="G253" s="327">
        <v>-9958</v>
      </c>
      <c r="H253" s="327">
        <v>-14927</v>
      </c>
    </row>
    <row r="254" spans="2:8" x14ac:dyDescent="0.2">
      <c r="B254" s="325"/>
      <c r="C254" s="325"/>
      <c r="D254" s="325"/>
      <c r="E254" s="325"/>
      <c r="F254" s="325"/>
      <c r="G254" s="325"/>
      <c r="H254" s="325"/>
    </row>
    <row r="255" spans="2:8" x14ac:dyDescent="0.2">
      <c r="B255" s="325" t="s">
        <v>511</v>
      </c>
      <c r="C255" s="326">
        <v>-75992</v>
      </c>
      <c r="D255" s="326">
        <v>-92527</v>
      </c>
      <c r="E255" s="326">
        <v>-95625</v>
      </c>
      <c r="F255" s="326">
        <v>-82981</v>
      </c>
      <c r="G255" s="326">
        <v>-100390</v>
      </c>
      <c r="H255" s="326">
        <v>-104187</v>
      </c>
    </row>
    <row r="256" spans="2:8" x14ac:dyDescent="0.2">
      <c r="B256" s="325"/>
      <c r="C256" s="325"/>
      <c r="D256" s="325"/>
      <c r="E256" s="325"/>
      <c r="F256" s="325"/>
      <c r="G256" s="325"/>
      <c r="H256" s="325"/>
    </row>
    <row r="257" spans="2:8" x14ac:dyDescent="0.2">
      <c r="B257" s="325" t="s">
        <v>512</v>
      </c>
      <c r="C257" s="326">
        <v>-14081</v>
      </c>
      <c r="D257" s="326">
        <v>-14467</v>
      </c>
      <c r="E257" s="326">
        <v>-14841</v>
      </c>
      <c r="F257" s="326">
        <v>-15025</v>
      </c>
      <c r="G257" s="326">
        <v>-15234</v>
      </c>
      <c r="H257" s="326">
        <v>-15265</v>
      </c>
    </row>
    <row r="258" spans="2:8" x14ac:dyDescent="0.2">
      <c r="B258" s="324" t="s">
        <v>513</v>
      </c>
      <c r="C258" s="327">
        <v>-14081</v>
      </c>
      <c r="D258" s="327">
        <v>-14467</v>
      </c>
      <c r="E258" s="327">
        <v>-14841</v>
      </c>
      <c r="F258" s="327">
        <v>-15025</v>
      </c>
      <c r="G258" s="327">
        <v>-15234</v>
      </c>
      <c r="H258" s="327">
        <v>-15265</v>
      </c>
    </row>
    <row r="259" spans="2:8" x14ac:dyDescent="0.2">
      <c r="B259" s="325"/>
      <c r="C259" s="325"/>
      <c r="D259" s="325"/>
      <c r="E259" s="325"/>
      <c r="F259" s="325"/>
      <c r="G259" s="325"/>
      <c r="H259" s="325"/>
    </row>
    <row r="260" spans="2:8" x14ac:dyDescent="0.2">
      <c r="B260" s="325" t="s">
        <v>514</v>
      </c>
      <c r="C260" s="326" t="s">
        <v>120</v>
      </c>
      <c r="D260" s="326" t="s">
        <v>120</v>
      </c>
      <c r="E260" s="326" t="s">
        <v>120</v>
      </c>
      <c r="F260" s="326" t="s">
        <v>120</v>
      </c>
      <c r="G260" s="326" t="s">
        <v>120</v>
      </c>
      <c r="H260" s="326" t="s">
        <v>120</v>
      </c>
    </row>
    <row r="261" spans="2:8" x14ac:dyDescent="0.2">
      <c r="B261" s="325" t="s">
        <v>515</v>
      </c>
      <c r="C261" s="326">
        <v>754</v>
      </c>
      <c r="D261" s="326">
        <v>976</v>
      </c>
      <c r="E261" s="326">
        <v>-160</v>
      </c>
      <c r="F261" s="326">
        <v>-581</v>
      </c>
      <c r="G261" s="326">
        <v>-361</v>
      </c>
      <c r="H261" s="326">
        <v>-350</v>
      </c>
    </row>
    <row r="262" spans="2:8" x14ac:dyDescent="0.2">
      <c r="B262" s="324" t="s">
        <v>516</v>
      </c>
      <c r="C262" s="327">
        <v>-86820</v>
      </c>
      <c r="D262" s="327">
        <v>-93353</v>
      </c>
      <c r="E262" s="327">
        <v>-110749</v>
      </c>
      <c r="F262" s="327">
        <v>-108488</v>
      </c>
      <c r="G262" s="327">
        <v>-121983</v>
      </c>
      <c r="H262" s="327">
        <v>-130769</v>
      </c>
    </row>
    <row r="263" spans="2:8" x14ac:dyDescent="0.2">
      <c r="B263" s="325"/>
      <c r="C263" s="325"/>
      <c r="D263" s="325"/>
      <c r="E263" s="325"/>
      <c r="F263" s="325"/>
      <c r="G263" s="325"/>
      <c r="H263" s="325"/>
    </row>
    <row r="264" spans="2:8" x14ac:dyDescent="0.2">
      <c r="B264" s="324" t="s">
        <v>517</v>
      </c>
      <c r="C264" s="330">
        <v>-10435</v>
      </c>
      <c r="D264" s="330">
        <v>-3860</v>
      </c>
      <c r="E264" s="330">
        <v>-10952</v>
      </c>
      <c r="F264" s="330">
        <v>5760</v>
      </c>
      <c r="G264" s="330">
        <v>-794</v>
      </c>
      <c r="H264" s="330">
        <v>-11675</v>
      </c>
    </row>
    <row r="265" spans="2:8" x14ac:dyDescent="0.2">
      <c r="B265" s="325"/>
      <c r="C265" s="325"/>
      <c r="D265" s="325"/>
      <c r="E265" s="325"/>
      <c r="F265" s="325"/>
      <c r="G265" s="325"/>
      <c r="H265" s="325"/>
    </row>
    <row r="266" spans="2:8" x14ac:dyDescent="0.2">
      <c r="B266" s="324" t="s">
        <v>406</v>
      </c>
      <c r="C266" s="325"/>
      <c r="D266" s="325"/>
      <c r="E266" s="325"/>
      <c r="F266" s="325"/>
      <c r="G266" s="325"/>
      <c r="H266" s="325"/>
    </row>
    <row r="267" spans="2:8" x14ac:dyDescent="0.2">
      <c r="B267" s="325" t="s">
        <v>518</v>
      </c>
      <c r="C267" s="326">
        <v>3002</v>
      </c>
      <c r="D267" s="326">
        <v>2687</v>
      </c>
      <c r="E267" s="326" t="s">
        <v>409</v>
      </c>
      <c r="F267" s="326" t="s">
        <v>409</v>
      </c>
      <c r="G267" s="326" t="s">
        <v>409</v>
      </c>
      <c r="H267" s="326" t="s">
        <v>409</v>
      </c>
    </row>
    <row r="268" spans="2:8" x14ac:dyDescent="0.2">
      <c r="B268" s="325" t="s">
        <v>519</v>
      </c>
      <c r="C268" s="326">
        <v>9501</v>
      </c>
      <c r="D268" s="326">
        <v>25385</v>
      </c>
      <c r="E268" s="326">
        <v>19573</v>
      </c>
      <c r="F268" s="326">
        <v>18679</v>
      </c>
      <c r="G268" s="326">
        <v>26102</v>
      </c>
      <c r="H268" s="326">
        <v>37498</v>
      </c>
    </row>
    <row r="269" spans="2:8" x14ac:dyDescent="0.2">
      <c r="B269" s="325" t="s">
        <v>146</v>
      </c>
      <c r="C269" s="326">
        <v>60387.375</v>
      </c>
      <c r="D269" s="326">
        <v>73295</v>
      </c>
      <c r="E269" s="326">
        <v>92047.125</v>
      </c>
      <c r="F269" s="326">
        <v>84638.125</v>
      </c>
      <c r="G269" s="326">
        <v>110846</v>
      </c>
      <c r="H269" s="326">
        <v>93833.875</v>
      </c>
    </row>
    <row r="270" spans="2:8" x14ac:dyDescent="0.2">
      <c r="B270" s="325" t="s">
        <v>520</v>
      </c>
      <c r="C270" s="326">
        <v>62183</v>
      </c>
      <c r="D270" s="326">
        <v>74948.125</v>
      </c>
      <c r="E270" s="326">
        <v>92047.125</v>
      </c>
      <c r="F270" s="326">
        <v>84638.125</v>
      </c>
      <c r="G270" s="326">
        <v>110846</v>
      </c>
      <c r="H270" s="326">
        <v>93833.875</v>
      </c>
    </row>
    <row r="271" spans="2:8" x14ac:dyDescent="0.2">
      <c r="B271" s="325" t="s">
        <v>134</v>
      </c>
      <c r="C271" s="326">
        <v>-10177</v>
      </c>
      <c r="D271" s="326">
        <v>1250</v>
      </c>
      <c r="E271" s="326">
        <v>-7965</v>
      </c>
      <c r="F271" s="326">
        <v>-1807</v>
      </c>
      <c r="G271" s="326">
        <v>-20150</v>
      </c>
      <c r="H271" s="326">
        <v>-1628</v>
      </c>
    </row>
    <row r="272" spans="2:8" x14ac:dyDescent="0.2">
      <c r="B272" s="325" t="s">
        <v>521</v>
      </c>
      <c r="C272" s="326">
        <v>2499</v>
      </c>
      <c r="D272" s="326">
        <v>12665</v>
      </c>
      <c r="E272" s="326">
        <v>-123</v>
      </c>
      <c r="F272" s="326">
        <v>-9901</v>
      </c>
      <c r="G272" s="326">
        <v>-5998</v>
      </c>
      <c r="H272" s="326">
        <v>-10967</v>
      </c>
    </row>
    <row r="273" spans="2:8" x14ac:dyDescent="0.2">
      <c r="B273" s="325" t="s">
        <v>420</v>
      </c>
      <c r="C273" s="335">
        <v>44862</v>
      </c>
      <c r="D273" s="335">
        <v>45233</v>
      </c>
      <c r="E273" s="335">
        <v>45597</v>
      </c>
      <c r="F273" s="335">
        <v>45597</v>
      </c>
      <c r="G273" s="335">
        <v>45597</v>
      </c>
      <c r="H273" s="335">
        <v>45688</v>
      </c>
    </row>
    <row r="274" spans="2:8" x14ac:dyDescent="0.2">
      <c r="B274" s="325" t="s">
        <v>421</v>
      </c>
      <c r="C274" s="336" t="s">
        <v>422</v>
      </c>
      <c r="D274" s="336" t="s">
        <v>422</v>
      </c>
      <c r="E274" s="336" t="s">
        <v>422</v>
      </c>
      <c r="F274" s="336" t="s">
        <v>422</v>
      </c>
      <c r="G274" s="336" t="s">
        <v>423</v>
      </c>
      <c r="H274" s="336" t="s">
        <v>423</v>
      </c>
    </row>
    <row r="275" spans="2:8" x14ac:dyDescent="0.2">
      <c r="B275" s="325" t="s">
        <v>424</v>
      </c>
      <c r="C275" s="336" t="s">
        <v>425</v>
      </c>
      <c r="D275" s="336" t="s">
        <v>425</v>
      </c>
      <c r="E275" s="336" t="s">
        <v>425</v>
      </c>
      <c r="F275" s="336" t="s">
        <v>425</v>
      </c>
      <c r="G275" s="336" t="s">
        <v>425</v>
      </c>
      <c r="H275" s="336" t="s">
        <v>173</v>
      </c>
    </row>
    <row r="279" spans="2:8" x14ac:dyDescent="0.2">
      <c r="B279" s="319" t="s">
        <v>522</v>
      </c>
      <c r="C279" s="319"/>
    </row>
    <row r="280" spans="2:8" x14ac:dyDescent="0.2">
      <c r="B280" s="322" t="s">
        <v>367</v>
      </c>
      <c r="C280" s="323" t="s">
        <v>368</v>
      </c>
    </row>
    <row r="281" spans="2:8" x14ac:dyDescent="0.2">
      <c r="B281" s="325" t="s">
        <v>357</v>
      </c>
      <c r="C281" s="331">
        <v>239.07</v>
      </c>
    </row>
    <row r="282" spans="2:8" x14ac:dyDescent="0.2">
      <c r="B282" s="325" t="s">
        <v>523</v>
      </c>
      <c r="C282" s="326">
        <v>15022.073</v>
      </c>
    </row>
    <row r="283" spans="2:8" x14ac:dyDescent="0.2">
      <c r="B283" s="325"/>
      <c r="C283" s="325"/>
    </row>
    <row r="284" spans="2:8" x14ac:dyDescent="0.2">
      <c r="B284" s="324" t="s">
        <v>300</v>
      </c>
      <c r="C284" s="329">
        <v>3591326.99211</v>
      </c>
    </row>
    <row r="285" spans="2:8" x14ac:dyDescent="0.2">
      <c r="B285" s="325" t="s">
        <v>524</v>
      </c>
      <c r="C285" s="326">
        <v>53775</v>
      </c>
    </row>
    <row r="286" spans="2:8" x14ac:dyDescent="0.2">
      <c r="B286" s="325" t="s">
        <v>525</v>
      </c>
      <c r="C286" s="326">
        <v>96799</v>
      </c>
    </row>
    <row r="287" spans="2:8" x14ac:dyDescent="0.2">
      <c r="B287" s="325" t="s">
        <v>526</v>
      </c>
      <c r="C287" s="326" t="s">
        <v>120</v>
      </c>
    </row>
    <row r="288" spans="2:8" x14ac:dyDescent="0.2">
      <c r="B288" s="325" t="s">
        <v>527</v>
      </c>
      <c r="C288" s="326" t="s">
        <v>120</v>
      </c>
    </row>
    <row r="289" spans="2:3" x14ac:dyDescent="0.2">
      <c r="B289" s="325" t="s">
        <v>528</v>
      </c>
      <c r="C289" s="326">
        <v>87593</v>
      </c>
    </row>
    <row r="290" spans="2:3" x14ac:dyDescent="0.2">
      <c r="B290" s="324" t="s">
        <v>529</v>
      </c>
      <c r="C290" s="329">
        <v>3546757.99211</v>
      </c>
    </row>
    <row r="291" spans="2:3" x14ac:dyDescent="0.2">
      <c r="B291" s="325"/>
      <c r="C291" s="325"/>
    </row>
    <row r="292" spans="2:3" x14ac:dyDescent="0.2">
      <c r="B292" s="325" t="s">
        <v>530</v>
      </c>
      <c r="C292" s="326">
        <v>66758</v>
      </c>
    </row>
    <row r="293" spans="2:3" x14ac:dyDescent="0.2">
      <c r="B293" s="325" t="s">
        <v>526</v>
      </c>
      <c r="C293" s="326" t="s">
        <v>120</v>
      </c>
    </row>
    <row r="294" spans="2:3" x14ac:dyDescent="0.2">
      <c r="B294" s="325" t="s">
        <v>527</v>
      </c>
      <c r="C294" s="326" t="s">
        <v>120</v>
      </c>
    </row>
    <row r="295" spans="2:3" x14ac:dyDescent="0.2">
      <c r="B295" s="325" t="s">
        <v>525</v>
      </c>
      <c r="C295" s="326">
        <v>96799</v>
      </c>
    </row>
    <row r="296" spans="2:3" x14ac:dyDescent="0.2">
      <c r="B296" s="324" t="s">
        <v>531</v>
      </c>
      <c r="C296" s="329">
        <v>163557</v>
      </c>
    </row>
    <row r="297" spans="2:3" x14ac:dyDescent="0.2">
      <c r="B297" s="325"/>
      <c r="C297" s="325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C1C3D-33A1-6040-83CA-5069499E56C2}">
  <dimension ref="B6:K72"/>
  <sheetViews>
    <sheetView showGridLines="0" workbookViewId="0">
      <selection activeCell="J67" sqref="J67"/>
    </sheetView>
  </sheetViews>
  <sheetFormatPr baseColWidth="10" defaultRowHeight="15" x14ac:dyDescent="0.2"/>
  <cols>
    <col min="1" max="1" width="2" customWidth="1"/>
    <col min="2" max="2" width="29.33203125" bestFit="1" customWidth="1"/>
    <col min="3" max="7" width="11.6640625" bestFit="1" customWidth="1"/>
  </cols>
  <sheetData>
    <row r="6" spans="2:8" x14ac:dyDescent="0.2">
      <c r="B6" s="1" t="s">
        <v>532</v>
      </c>
      <c r="C6" s="205">
        <v>44075</v>
      </c>
      <c r="D6" s="205">
        <v>44440</v>
      </c>
      <c r="E6" s="205">
        <v>44805</v>
      </c>
      <c r="F6" s="205">
        <v>45170</v>
      </c>
      <c r="G6" s="205">
        <v>45536</v>
      </c>
      <c r="H6" s="344" t="s">
        <v>173</v>
      </c>
    </row>
    <row r="7" spans="2:8" x14ac:dyDescent="0.2">
      <c r="B7" s="201" t="s">
        <v>533</v>
      </c>
      <c r="C7" s="227">
        <f>SUM('[2]Data Sheet'!C137:C138)</f>
        <v>50779</v>
      </c>
      <c r="D7" s="227">
        <f>SUM('[2]Data Sheet'!D137:D138)</f>
        <v>57365</v>
      </c>
      <c r="E7" s="227">
        <f>SUM('[2]Data Sheet'!E137:E138)</f>
        <v>64849</v>
      </c>
      <c r="F7" s="227">
        <f>SUM('[2]Data Sheet'!F137:F138)</f>
        <v>73812</v>
      </c>
      <c r="G7" s="227">
        <f>SUM('[2]Data Sheet'!G137:G138)</f>
        <v>83276</v>
      </c>
      <c r="H7" s="227">
        <f>SUM('[2]Data Sheet'!H137:H138)</f>
        <v>84768</v>
      </c>
    </row>
    <row r="8" spans="2:8" x14ac:dyDescent="0.2">
      <c r="B8" s="201" t="s">
        <v>534</v>
      </c>
      <c r="C8" s="227">
        <f>SUM('[2]Data Sheet'!C139:C141)</f>
        <v>14560</v>
      </c>
      <c r="D8" s="227">
        <f>SUM('[2]Data Sheet'!D139:D141)</f>
        <v>5725</v>
      </c>
      <c r="E8" s="227">
        <f>SUM('[2]Data Sheet'!E139:E141)</f>
        <v>-14177</v>
      </c>
      <c r="F8" s="227">
        <f>SUM('[2]Data Sheet'!F139:F141)</f>
        <v>-11666</v>
      </c>
      <c r="G8" s="227">
        <f>SUM('[2]Data Sheet'!G139:G141)</f>
        <v>-26326</v>
      </c>
      <c r="H8" s="227">
        <f>SUM('[2]Data Sheet'!H139:H141)</f>
        <v>-18010</v>
      </c>
    </row>
    <row r="9" spans="2:8" x14ac:dyDescent="0.2">
      <c r="B9" s="201" t="s">
        <v>314</v>
      </c>
      <c r="C9" s="224"/>
      <c r="D9" s="224"/>
      <c r="E9" s="224"/>
      <c r="F9" s="224"/>
      <c r="G9" s="224"/>
      <c r="H9" s="224"/>
    </row>
    <row r="10" spans="2:8" x14ac:dyDescent="0.2">
      <c r="B10" s="4" t="str" cm="1">
        <f t="array" ref="B10:B16">'[2]Data Sheet'!B123:B129</f>
        <v>Accounts Payable</v>
      </c>
      <c r="C10" s="224">
        <f>'[2]Data Sheet'!C123</f>
        <v>42296</v>
      </c>
      <c r="D10" s="224">
        <f>'[2]Data Sheet'!D123</f>
        <v>54763</v>
      </c>
      <c r="E10" s="224">
        <f>'[2]Data Sheet'!E123</f>
        <v>64115</v>
      </c>
      <c r="F10" s="224">
        <f>'[2]Data Sheet'!F123</f>
        <v>62611</v>
      </c>
      <c r="G10" s="224">
        <f>'[2]Data Sheet'!G123</f>
        <v>68960</v>
      </c>
      <c r="H10" s="224">
        <f>'[2]Data Sheet'!H123</f>
        <v>61910</v>
      </c>
    </row>
    <row r="11" spans="2:8" x14ac:dyDescent="0.2">
      <c r="B11" s="4" t="str">
        <v>Short-term Borrowings</v>
      </c>
      <c r="C11" s="224">
        <f>'[2]Data Sheet'!C124</f>
        <v>4996</v>
      </c>
      <c r="D11" s="224">
        <f>'[2]Data Sheet'!D124</f>
        <v>6000</v>
      </c>
      <c r="E11" s="224">
        <f>'[2]Data Sheet'!E124</f>
        <v>9982</v>
      </c>
      <c r="F11" s="224">
        <f>'[2]Data Sheet'!F124</f>
        <v>5985</v>
      </c>
      <c r="G11" s="224">
        <f>'[2]Data Sheet'!G124</f>
        <v>9967</v>
      </c>
      <c r="H11" s="224">
        <f>'[2]Data Sheet'!H124</f>
        <v>1995</v>
      </c>
    </row>
    <row r="12" spans="2:8" x14ac:dyDescent="0.2">
      <c r="B12" s="4" t="str">
        <v>Curr. Port. of LT Debt</v>
      </c>
      <c r="C12" s="224">
        <f>'[2]Data Sheet'!C125</f>
        <v>8773</v>
      </c>
      <c r="D12" s="224">
        <f>'[2]Data Sheet'!D125</f>
        <v>9613</v>
      </c>
      <c r="E12" s="224">
        <f>'[2]Data Sheet'!E125</f>
        <v>11128</v>
      </c>
      <c r="F12" s="224">
        <f>'[2]Data Sheet'!F125</f>
        <v>9822</v>
      </c>
      <c r="G12" s="224">
        <f>'[2]Data Sheet'!G125</f>
        <v>10912</v>
      </c>
      <c r="H12" s="224">
        <f>'[2]Data Sheet'!H125</f>
        <v>10848</v>
      </c>
    </row>
    <row r="13" spans="2:8" x14ac:dyDescent="0.2">
      <c r="B13" s="4" t="str">
        <v>Curr. Port. of Leases</v>
      </c>
      <c r="C13" s="224">
        <f>'[2]Data Sheet'!C126</f>
        <v>1460</v>
      </c>
      <c r="D13" s="224">
        <f>'[2]Data Sheet'!D126</f>
        <v>1528</v>
      </c>
      <c r="E13" s="224">
        <f>'[2]Data Sheet'!E126</f>
        <v>1663</v>
      </c>
      <c r="F13" s="224">
        <f>'[2]Data Sheet'!F126</f>
        <v>1575</v>
      </c>
      <c r="G13" s="224">
        <f>'[2]Data Sheet'!G126</f>
        <v>1632</v>
      </c>
      <c r="H13" s="224" t="str">
        <f>'[2]Data Sheet'!H126</f>
        <v>-</v>
      </c>
    </row>
    <row r="14" spans="2:8" x14ac:dyDescent="0.2">
      <c r="B14" s="4" t="str">
        <v>Curr. Income Taxes Payable</v>
      </c>
      <c r="C14" s="224" t="str">
        <f>'[2]Data Sheet'!C127</f>
        <v>-</v>
      </c>
      <c r="D14" s="224" t="str">
        <f>'[2]Data Sheet'!D127</f>
        <v>-</v>
      </c>
      <c r="E14" s="224" t="str">
        <f>'[2]Data Sheet'!E127</f>
        <v>-</v>
      </c>
      <c r="F14" s="224">
        <f>'[2]Data Sheet'!F127</f>
        <v>8819</v>
      </c>
      <c r="G14" s="224">
        <f>'[2]Data Sheet'!G127</f>
        <v>26601</v>
      </c>
      <c r="H14" s="224" t="str">
        <f>'[2]Data Sheet'!H127</f>
        <v>-</v>
      </c>
    </row>
    <row r="15" spans="2:8" x14ac:dyDescent="0.2">
      <c r="B15" s="4" t="str">
        <v>Unearned Revenue, Current</v>
      </c>
      <c r="C15" s="224">
        <f>'[2]Data Sheet'!C128</f>
        <v>6643</v>
      </c>
      <c r="D15" s="224">
        <f>'[2]Data Sheet'!D128</f>
        <v>7612</v>
      </c>
      <c r="E15" s="224">
        <f>'[2]Data Sheet'!E128</f>
        <v>7912</v>
      </c>
      <c r="F15" s="224">
        <f>'[2]Data Sheet'!F128</f>
        <v>8061</v>
      </c>
      <c r="G15" s="224">
        <f>'[2]Data Sheet'!G128</f>
        <v>8249</v>
      </c>
      <c r="H15" s="224">
        <f>'[2]Data Sheet'!H128</f>
        <v>8461</v>
      </c>
    </row>
    <row r="16" spans="2:8" x14ac:dyDescent="0.2">
      <c r="B16" s="4" t="str">
        <v>Other Current Liabilities</v>
      </c>
      <c r="C16" s="224">
        <f>'[2]Data Sheet'!C129</f>
        <v>41224</v>
      </c>
      <c r="D16" s="224">
        <f>'[2]Data Sheet'!D129</f>
        <v>45965</v>
      </c>
      <c r="E16" s="224">
        <f>'[2]Data Sheet'!E129</f>
        <v>59182</v>
      </c>
      <c r="F16" s="224">
        <f>'[2]Data Sheet'!F129</f>
        <v>48435</v>
      </c>
      <c r="G16" s="224">
        <f>'[2]Data Sheet'!G129</f>
        <v>50071</v>
      </c>
      <c r="H16" s="224">
        <f>'[2]Data Sheet'!H129</f>
        <v>61151</v>
      </c>
    </row>
    <row r="17" spans="2:11" x14ac:dyDescent="0.2">
      <c r="B17" s="201" t="s">
        <v>535</v>
      </c>
      <c r="C17" s="224"/>
      <c r="D17" s="224"/>
      <c r="E17" s="224"/>
      <c r="F17" s="224"/>
      <c r="G17" s="224"/>
      <c r="H17" s="224"/>
    </row>
    <row r="18" spans="2:11" x14ac:dyDescent="0.2">
      <c r="B18" s="4" t="str">
        <f>'[2]Data Sheet'!B132</f>
        <v>Long-Term Debt</v>
      </c>
      <c r="C18" s="224">
        <f>'[2]Data Sheet'!C132</f>
        <v>98667</v>
      </c>
      <c r="D18" s="224">
        <f>'[2]Data Sheet'!D132</f>
        <v>109106</v>
      </c>
      <c r="E18" s="224">
        <f>'[2]Data Sheet'!E132</f>
        <v>98959</v>
      </c>
      <c r="F18" s="224">
        <f>'[2]Data Sheet'!F132</f>
        <v>95281</v>
      </c>
      <c r="G18" s="224">
        <f>'[2]Data Sheet'!G132</f>
        <v>85750</v>
      </c>
      <c r="H18" s="224">
        <f>'[2]Data Sheet'!H132</f>
        <v>83956</v>
      </c>
    </row>
    <row r="19" spans="2:11" x14ac:dyDescent="0.2">
      <c r="B19" s="4" t="str">
        <f>'[2]Data Sheet'!B133</f>
        <v>Long-Term Leases</v>
      </c>
      <c r="C19" s="224">
        <f>'[2]Data Sheet'!C133</f>
        <v>8382</v>
      </c>
      <c r="D19" s="224">
        <f>'[2]Data Sheet'!D133</f>
        <v>10275</v>
      </c>
      <c r="E19" s="224">
        <f>'[2]Data Sheet'!E133</f>
        <v>10748</v>
      </c>
      <c r="F19" s="224">
        <f>'[2]Data Sheet'!F133</f>
        <v>11267</v>
      </c>
      <c r="G19" s="224">
        <f>'[2]Data Sheet'!G133</f>
        <v>10798</v>
      </c>
      <c r="H19" s="224" t="str">
        <f>'[2]Data Sheet'!H133</f>
        <v>-</v>
      </c>
    </row>
    <row r="20" spans="2:11" x14ac:dyDescent="0.2">
      <c r="B20" s="169" t="str">
        <f>'[2]Data Sheet'!B134</f>
        <v>Other Non-Current Liabilities</v>
      </c>
      <c r="C20" s="274">
        <f>'[2]Data Sheet'!C134</f>
        <v>46108</v>
      </c>
      <c r="D20" s="274">
        <f>'[2]Data Sheet'!D134</f>
        <v>43050</v>
      </c>
      <c r="E20" s="274">
        <f>'[2]Data Sheet'!E134</f>
        <v>38394</v>
      </c>
      <c r="F20" s="274">
        <f>'[2]Data Sheet'!F134</f>
        <v>38581</v>
      </c>
      <c r="G20" s="274">
        <f>'[2]Data Sheet'!G134</f>
        <v>35090</v>
      </c>
      <c r="H20" s="274">
        <f>'[2]Data Sheet'!H134</f>
        <v>49006</v>
      </c>
    </row>
    <row r="21" spans="2:11" x14ac:dyDescent="0.2">
      <c r="B21" s="345" t="s">
        <v>465</v>
      </c>
      <c r="C21" s="346">
        <f>SUM(C7:C20)</f>
        <v>323888</v>
      </c>
      <c r="D21" s="346">
        <f t="shared" ref="D21:H21" si="0">SUM(D7:D20)</f>
        <v>351002</v>
      </c>
      <c r="E21" s="346">
        <f t="shared" si="0"/>
        <v>352755</v>
      </c>
      <c r="F21" s="346">
        <f t="shared" si="0"/>
        <v>352583</v>
      </c>
      <c r="G21" s="346">
        <f t="shared" si="0"/>
        <v>364980</v>
      </c>
      <c r="H21" s="346">
        <f t="shared" si="0"/>
        <v>344085</v>
      </c>
    </row>
    <row r="22" spans="2:11" x14ac:dyDescent="0.2">
      <c r="C22" s="226"/>
      <c r="D22" s="226"/>
      <c r="E22" s="226"/>
      <c r="F22" s="226"/>
      <c r="G22" s="226"/>
      <c r="H22" s="226"/>
    </row>
    <row r="23" spans="2:11" x14ac:dyDescent="0.2">
      <c r="B23" s="16" t="s">
        <v>536</v>
      </c>
      <c r="C23" s="226"/>
      <c r="D23" s="226"/>
      <c r="E23" s="226"/>
      <c r="F23" s="226"/>
      <c r="G23" s="226"/>
      <c r="H23" s="226"/>
    </row>
    <row r="24" spans="2:11" x14ac:dyDescent="0.2">
      <c r="B24" s="4" t="str">
        <f>'[2]Data Sheet'!B113</f>
        <v>Gross Property, Plant &amp; Equipment</v>
      </c>
      <c r="C24" s="224">
        <f>'[2]Data Sheet'!C113</f>
        <v>112096</v>
      </c>
      <c r="D24" s="224">
        <f>'[2]Data Sheet'!D113</f>
        <v>119810</v>
      </c>
      <c r="E24" s="224">
        <f>'[2]Data Sheet'!E113</f>
        <v>124874</v>
      </c>
      <c r="F24" s="224">
        <f>'[2]Data Sheet'!F113</f>
        <v>114599</v>
      </c>
      <c r="G24" s="224">
        <f>'[2]Data Sheet'!G113</f>
        <v>119128</v>
      </c>
      <c r="H24" s="224">
        <f>'[2]Data Sheet'!H113</f>
        <v>120615</v>
      </c>
    </row>
    <row r="25" spans="2:11" x14ac:dyDescent="0.2">
      <c r="B25" s="201" t="s">
        <v>537</v>
      </c>
      <c r="C25" s="227">
        <f t="shared" ref="C25:H25" si="1">SUM(C24:C24)</f>
        <v>112096</v>
      </c>
      <c r="D25" s="227">
        <f t="shared" si="1"/>
        <v>119810</v>
      </c>
      <c r="E25" s="227">
        <f t="shared" si="1"/>
        <v>124874</v>
      </c>
      <c r="F25" s="227">
        <f t="shared" si="1"/>
        <v>114599</v>
      </c>
      <c r="G25" s="227">
        <f t="shared" si="1"/>
        <v>119128</v>
      </c>
      <c r="H25" s="227">
        <f t="shared" si="1"/>
        <v>120615</v>
      </c>
    </row>
    <row r="26" spans="2:11" x14ac:dyDescent="0.2">
      <c r="B26" t="str">
        <f>'[2]Data Sheet'!B114</f>
        <v>Accumulated Depreciation</v>
      </c>
      <c r="C26" s="226">
        <f>'[2]Data Sheet'!C114</f>
        <v>-66760</v>
      </c>
      <c r="D26" s="226">
        <f>'[2]Data Sheet'!D114</f>
        <v>-70283</v>
      </c>
      <c r="E26" s="226">
        <f>'[2]Data Sheet'!E114</f>
        <v>-72340</v>
      </c>
      <c r="F26" s="226">
        <f>'[2]Data Sheet'!F114</f>
        <v>-70884</v>
      </c>
      <c r="G26" s="226">
        <f>'[2]Data Sheet'!G114</f>
        <v>-73448</v>
      </c>
      <c r="H26" s="226">
        <f>'[2]Data Sheet'!H114</f>
        <v>-74546</v>
      </c>
    </row>
    <row r="27" spans="2:11" x14ac:dyDescent="0.2">
      <c r="B27" s="228" t="s">
        <v>318</v>
      </c>
      <c r="C27" s="229">
        <f>SUM(C25:C26)</f>
        <v>45336</v>
      </c>
      <c r="D27" s="229">
        <f t="shared" ref="D27:H27" si="2">SUM(D25:D26)</f>
        <v>49527</v>
      </c>
      <c r="E27" s="229">
        <f t="shared" si="2"/>
        <v>52534</v>
      </c>
      <c r="F27" s="229">
        <f t="shared" si="2"/>
        <v>43715</v>
      </c>
      <c r="G27" s="229">
        <f t="shared" si="2"/>
        <v>45680</v>
      </c>
      <c r="H27" s="229">
        <f t="shared" si="2"/>
        <v>46069</v>
      </c>
    </row>
    <row r="28" spans="2:11" x14ac:dyDescent="0.2">
      <c r="C28" s="226"/>
      <c r="D28" s="226"/>
      <c r="E28" s="226"/>
      <c r="F28" s="226"/>
      <c r="G28" s="226"/>
      <c r="H28" s="226"/>
    </row>
    <row r="29" spans="2:11" x14ac:dyDescent="0.2">
      <c r="B29" s="201" t="s">
        <v>538</v>
      </c>
      <c r="C29" s="224">
        <f>'[2]Data Sheet'!C117+'[2]Data Sheet'!C102</f>
        <v>153814</v>
      </c>
      <c r="D29" s="224">
        <f>'[2]Data Sheet'!D117+'[2]Data Sheet'!D102</f>
        <v>155576</v>
      </c>
      <c r="E29" s="224">
        <f>'[2]Data Sheet'!E117+'[2]Data Sheet'!E102</f>
        <v>145463</v>
      </c>
      <c r="F29" s="224">
        <f>'[2]Data Sheet'!F117+'[2]Data Sheet'!F102</f>
        <v>132134</v>
      </c>
      <c r="G29" s="224">
        <f>'[2]Data Sheet'!G117+'[2]Data Sheet'!G102</f>
        <v>126707</v>
      </c>
      <c r="H29" s="224">
        <f>'[2]Data Sheet'!H117+'[2]Data Sheet'!H102</f>
        <v>111069</v>
      </c>
    </row>
    <row r="30" spans="2:11" x14ac:dyDescent="0.2">
      <c r="C30" s="226"/>
      <c r="D30" s="226"/>
      <c r="E30" s="226"/>
      <c r="F30" s="226"/>
      <c r="G30" s="226"/>
      <c r="H30" s="226"/>
    </row>
    <row r="31" spans="2:11" x14ac:dyDescent="0.2">
      <c r="B31" s="16" t="s">
        <v>539</v>
      </c>
      <c r="C31" s="226"/>
      <c r="D31" s="226"/>
      <c r="E31" s="226"/>
      <c r="F31" s="226"/>
      <c r="G31" s="226"/>
      <c r="H31" s="226"/>
    </row>
    <row r="32" spans="2:11" x14ac:dyDescent="0.2">
      <c r="B32" s="4" t="str">
        <f>'[2]Data Sheet'!B101</f>
        <v>Cash And Equivalents</v>
      </c>
      <c r="C32" s="224">
        <f>'[2]Data Sheet'!C101</f>
        <v>38016</v>
      </c>
      <c r="D32" s="224">
        <f>'[2]Data Sheet'!D101</f>
        <v>34940</v>
      </c>
      <c r="E32" s="224">
        <f>'[2]Data Sheet'!E101</f>
        <v>23646</v>
      </c>
      <c r="F32" s="224">
        <f>'[2]Data Sheet'!F101</f>
        <v>29965</v>
      </c>
      <c r="G32" s="224">
        <f>'[2]Data Sheet'!G101</f>
        <v>29943</v>
      </c>
      <c r="H32" s="224">
        <f>'[2]Data Sheet'!H101</f>
        <v>30299</v>
      </c>
      <c r="K32" s="226"/>
    </row>
    <row r="33" spans="2:8" x14ac:dyDescent="0.2">
      <c r="B33" s="4" t="str" cm="1">
        <f t="array" ref="B33:B34">'[2]Data Sheet'!B109:B110</f>
        <v>Inventory</v>
      </c>
      <c r="C33" s="224">
        <f>'[2]Data Sheet'!C109</f>
        <v>4061</v>
      </c>
      <c r="D33" s="224">
        <f>'[2]Data Sheet'!D109</f>
        <v>6580</v>
      </c>
      <c r="E33" s="224">
        <f>'[2]Data Sheet'!E109</f>
        <v>4946</v>
      </c>
      <c r="F33" s="224">
        <f>'[2]Data Sheet'!F109</f>
        <v>6331</v>
      </c>
      <c r="G33" s="224">
        <f>'[2]Data Sheet'!G109</f>
        <v>7286</v>
      </c>
      <c r="H33" s="224">
        <f>'[2]Data Sheet'!H109</f>
        <v>6911</v>
      </c>
    </row>
    <row r="34" spans="2:8" x14ac:dyDescent="0.2">
      <c r="B34" s="4" t="str">
        <v>Other Current Assets</v>
      </c>
      <c r="C34" s="224">
        <f>'[2]Data Sheet'!C110</f>
        <v>11264</v>
      </c>
      <c r="D34" s="224">
        <f>'[2]Data Sheet'!D110</f>
        <v>14111</v>
      </c>
      <c r="E34" s="224">
        <f>'[2]Data Sheet'!E110</f>
        <v>21223</v>
      </c>
      <c r="F34" s="224">
        <f>'[2]Data Sheet'!F110</f>
        <v>14695</v>
      </c>
      <c r="G34" s="224">
        <f>'[2]Data Sheet'!G110</f>
        <v>14287</v>
      </c>
      <c r="H34" s="224">
        <f>'[2]Data Sheet'!H110</f>
        <v>13248</v>
      </c>
    </row>
    <row r="35" spans="2:8" x14ac:dyDescent="0.2">
      <c r="B35" s="4" t="str" cm="1">
        <f t="array" ref="B35:B36">'[2]Data Sheet'!B105:B106</f>
        <v>Accounts Receivable</v>
      </c>
      <c r="C35" s="224">
        <f>'[2]Data Sheet'!C105</f>
        <v>16120</v>
      </c>
      <c r="D35" s="224">
        <f>'[2]Data Sheet'!D105</f>
        <v>26278</v>
      </c>
      <c r="E35" s="224">
        <f>'[2]Data Sheet'!E105</f>
        <v>28184</v>
      </c>
      <c r="F35" s="224">
        <f>'[2]Data Sheet'!F105</f>
        <v>29508</v>
      </c>
      <c r="G35" s="224">
        <f>'[2]Data Sheet'!G105</f>
        <v>33410</v>
      </c>
      <c r="H35" s="224">
        <f>'[2]Data Sheet'!H105</f>
        <v>29639</v>
      </c>
    </row>
    <row r="36" spans="2:8" x14ac:dyDescent="0.2">
      <c r="B36" s="4" t="str">
        <v>Other Receivables</v>
      </c>
      <c r="C36" s="224">
        <f>'[2]Data Sheet'!C106</f>
        <v>21325</v>
      </c>
      <c r="D36" s="224">
        <f>'[2]Data Sheet'!D106</f>
        <v>25228</v>
      </c>
      <c r="E36" s="224">
        <f>'[2]Data Sheet'!E106</f>
        <v>32748</v>
      </c>
      <c r="F36" s="224">
        <f>'[2]Data Sheet'!F106</f>
        <v>31477</v>
      </c>
      <c r="G36" s="224">
        <f>'[2]Data Sheet'!G106</f>
        <v>32833</v>
      </c>
      <c r="H36" s="224">
        <f>'[2]Data Sheet'!H106</f>
        <v>29667</v>
      </c>
    </row>
    <row r="37" spans="2:8" x14ac:dyDescent="0.2">
      <c r="B37" s="4" t="str">
        <f>'[2]Data Sheet'!B118</f>
        <v>Deferred Tax Assets, LT</v>
      </c>
      <c r="C37" s="224" t="str">
        <f>'[2]Data Sheet'!C118</f>
        <v>-</v>
      </c>
      <c r="D37" s="224" t="str">
        <f>'[2]Data Sheet'!D118</f>
        <v>-</v>
      </c>
      <c r="E37" s="224" t="str">
        <f>'[2]Data Sheet'!E118</f>
        <v>-</v>
      </c>
      <c r="F37" s="224">
        <f>'[2]Data Sheet'!F118</f>
        <v>17852</v>
      </c>
      <c r="G37" s="224">
        <f>'[2]Data Sheet'!G118</f>
        <v>19499</v>
      </c>
      <c r="H37" s="224" t="str">
        <f>'[2]Data Sheet'!H118</f>
        <v>-</v>
      </c>
    </row>
    <row r="38" spans="2:8" x14ac:dyDescent="0.2">
      <c r="B38" t="str">
        <f>'[2]Data Sheet'!B119</f>
        <v>Other Long-Term Assets</v>
      </c>
      <c r="C38" s="226">
        <f>'[2]Data Sheet'!C119</f>
        <v>33952</v>
      </c>
      <c r="D38" s="226">
        <f>'[2]Data Sheet'!D119</f>
        <v>38762</v>
      </c>
      <c r="E38" s="226">
        <f>'[2]Data Sheet'!E119</f>
        <v>44011</v>
      </c>
      <c r="F38" s="226">
        <f>'[2]Data Sheet'!F119</f>
        <v>46906</v>
      </c>
      <c r="G38" s="226">
        <f>'[2]Data Sheet'!G119</f>
        <v>55335</v>
      </c>
      <c r="H38" s="226">
        <f>'[2]Data Sheet'!H119</f>
        <v>77183</v>
      </c>
    </row>
    <row r="39" spans="2:8" ht="16" thickBot="1" x14ac:dyDescent="0.25">
      <c r="B39" s="235" t="s">
        <v>226</v>
      </c>
      <c r="C39" s="236">
        <f>'[2]Data Sheet'!C120</f>
        <v>323888</v>
      </c>
      <c r="D39" s="236">
        <f>'[2]Data Sheet'!D120</f>
        <v>351002</v>
      </c>
      <c r="E39" s="236">
        <f>'[2]Data Sheet'!E120</f>
        <v>352755</v>
      </c>
      <c r="F39" s="236">
        <f>'[2]Data Sheet'!F120</f>
        <v>352583</v>
      </c>
      <c r="G39" s="236">
        <f>'[2]Data Sheet'!G120</f>
        <v>364980</v>
      </c>
      <c r="H39" s="236">
        <f>'[2]Data Sheet'!H120</f>
        <v>344085</v>
      </c>
    </row>
    <row r="40" spans="2:8" ht="16" thickTop="1" x14ac:dyDescent="0.2"/>
    <row r="42" spans="2:8" x14ac:dyDescent="0.2">
      <c r="B42" s="1" t="s">
        <v>532</v>
      </c>
      <c r="C42" s="205">
        <v>44075</v>
      </c>
      <c r="D42" s="205">
        <v>44440</v>
      </c>
      <c r="E42" s="205">
        <v>44805</v>
      </c>
      <c r="F42" s="205">
        <v>45170</v>
      </c>
      <c r="G42" s="205">
        <v>45536</v>
      </c>
      <c r="H42" s="344" t="s">
        <v>173</v>
      </c>
    </row>
    <row r="43" spans="2:8" x14ac:dyDescent="0.2">
      <c r="B43" s="347"/>
      <c r="C43" s="348"/>
      <c r="D43" s="348"/>
      <c r="E43" s="348"/>
      <c r="F43" s="348"/>
      <c r="G43" s="348"/>
      <c r="H43" s="348"/>
    </row>
    <row r="44" spans="2:8" x14ac:dyDescent="0.2">
      <c r="B44" s="228" t="str">
        <f>'[2]Data Sheet'!B183</f>
        <v xml:space="preserve">  Cash from Ops.</v>
      </c>
      <c r="C44" s="229">
        <f>'[2]Data Sheet'!C183</f>
        <v>80674</v>
      </c>
      <c r="D44" s="229">
        <f>'[2]Data Sheet'!D183</f>
        <v>104038</v>
      </c>
      <c r="E44" s="229">
        <f>'[2]Data Sheet'!E183</f>
        <v>122151</v>
      </c>
      <c r="F44" s="229">
        <f>'[2]Data Sheet'!F183</f>
        <v>110543</v>
      </c>
      <c r="G44" s="229">
        <f>'[2]Data Sheet'!G183</f>
        <v>118254</v>
      </c>
      <c r="H44" s="229">
        <f>'[2]Data Sheet'!H183</f>
        <v>108294</v>
      </c>
    </row>
    <row r="45" spans="2:8" x14ac:dyDescent="0.2">
      <c r="B45" s="16" t="str">
        <f>'[2]Data Sheet'!B172</f>
        <v>Net Income</v>
      </c>
      <c r="C45" s="226">
        <f>'[2]Data Sheet'!C172</f>
        <v>57411</v>
      </c>
      <c r="D45" s="226">
        <f>'[2]Data Sheet'!D172</f>
        <v>94680</v>
      </c>
      <c r="E45" s="226">
        <f>'[2]Data Sheet'!E172</f>
        <v>99803</v>
      </c>
      <c r="F45" s="226">
        <f>'[2]Data Sheet'!F172</f>
        <v>96995</v>
      </c>
      <c r="G45" s="226">
        <f>'[2]Data Sheet'!G172</f>
        <v>93736</v>
      </c>
      <c r="H45" s="226">
        <f>'[2]Data Sheet'!H172</f>
        <v>96150</v>
      </c>
    </row>
    <row r="46" spans="2:8" x14ac:dyDescent="0.2">
      <c r="B46" s="201" t="str">
        <f>'[2]Data Sheet'!B173</f>
        <v>Depreciation &amp; Amort.</v>
      </c>
      <c r="C46" s="224">
        <f>'[2]Data Sheet'!C173</f>
        <v>11056</v>
      </c>
      <c r="D46" s="224">
        <f>'[2]Data Sheet'!D173</f>
        <v>11284</v>
      </c>
      <c r="E46" s="224">
        <f>'[2]Data Sheet'!E173</f>
        <v>11104</v>
      </c>
      <c r="F46" s="224">
        <f>'[2]Data Sheet'!F173</f>
        <v>11519</v>
      </c>
      <c r="G46" s="224">
        <f>'[2]Data Sheet'!G173</f>
        <v>11445</v>
      </c>
      <c r="H46" s="224">
        <f>'[2]Data Sheet'!H173</f>
        <v>11677</v>
      </c>
    </row>
    <row r="47" spans="2:8" x14ac:dyDescent="0.2">
      <c r="B47" s="4" t="str">
        <f>'[2]Data Sheet'!B176</f>
        <v>Stock-Based Compensation</v>
      </c>
      <c r="C47" s="224">
        <f>'[2]Data Sheet'!C176</f>
        <v>6829</v>
      </c>
      <c r="D47" s="224">
        <f>'[2]Data Sheet'!D176</f>
        <v>7906</v>
      </c>
      <c r="E47" s="224">
        <f>'[2]Data Sheet'!E176</f>
        <v>9038</v>
      </c>
      <c r="F47" s="224">
        <f>'[2]Data Sheet'!F176</f>
        <v>10833</v>
      </c>
      <c r="G47" s="224">
        <f>'[2]Data Sheet'!G176</f>
        <v>11688</v>
      </c>
      <c r="H47" s="224">
        <f>'[2]Data Sheet'!H176</f>
        <v>11977</v>
      </c>
    </row>
    <row r="48" spans="2:8" x14ac:dyDescent="0.2">
      <c r="B48" s="4" t="str">
        <f>'[2]Data Sheet'!B177</f>
        <v>Other Operating Activities</v>
      </c>
      <c r="C48" s="224">
        <f>'[2]Data Sheet'!C177</f>
        <v>-312</v>
      </c>
      <c r="D48" s="224">
        <f>'[2]Data Sheet'!D177</f>
        <v>-4921</v>
      </c>
      <c r="E48" s="224">
        <f>'[2]Data Sheet'!E177</f>
        <v>1006</v>
      </c>
      <c r="F48" s="224">
        <f>'[2]Data Sheet'!F177</f>
        <v>-2227</v>
      </c>
      <c r="G48" s="224">
        <f>'[2]Data Sheet'!G177</f>
        <v>-2266</v>
      </c>
      <c r="H48" s="224">
        <f>'[2]Data Sheet'!H177</f>
        <v>-3286</v>
      </c>
    </row>
    <row r="49" spans="2:8" x14ac:dyDescent="0.2">
      <c r="B49" s="4" t="str">
        <f>'[2]Data Sheet'!B178</f>
        <v>Change in Acc. Receivable</v>
      </c>
      <c r="C49" s="224">
        <f>'[2]Data Sheet'!C178</f>
        <v>6917</v>
      </c>
      <c r="D49" s="224">
        <f>'[2]Data Sheet'!D178</f>
        <v>-10125</v>
      </c>
      <c r="E49" s="224">
        <f>'[2]Data Sheet'!E178</f>
        <v>-1823</v>
      </c>
      <c r="F49" s="224">
        <f>'[2]Data Sheet'!F178</f>
        <v>-1688</v>
      </c>
      <c r="G49" s="224">
        <f>'[2]Data Sheet'!G178</f>
        <v>-3788</v>
      </c>
      <c r="H49" s="224">
        <f>'[2]Data Sheet'!H178</f>
        <v>-6746</v>
      </c>
    </row>
    <row r="50" spans="2:8" x14ac:dyDescent="0.2">
      <c r="B50" s="4" t="str">
        <f>'[2]Data Sheet'!B179</f>
        <v>Change In Inventories</v>
      </c>
      <c r="C50" s="224">
        <f>'[2]Data Sheet'!C179</f>
        <v>-127</v>
      </c>
      <c r="D50" s="224">
        <f>'[2]Data Sheet'!D179</f>
        <v>-2642</v>
      </c>
      <c r="E50" s="224">
        <f>'[2]Data Sheet'!E179</f>
        <v>1484</v>
      </c>
      <c r="F50" s="224">
        <f>'[2]Data Sheet'!F179</f>
        <v>-1618</v>
      </c>
      <c r="G50" s="224">
        <f>'[2]Data Sheet'!G179</f>
        <v>-1046</v>
      </c>
      <c r="H50" s="224">
        <f>'[2]Data Sheet'!H179</f>
        <v>-694</v>
      </c>
    </row>
    <row r="51" spans="2:8" x14ac:dyDescent="0.2">
      <c r="B51" s="4" t="str">
        <f>'[2]Data Sheet'!B180</f>
        <v>Change in Acc. Payable</v>
      </c>
      <c r="C51" s="224">
        <f>'[2]Data Sheet'!C180</f>
        <v>-4062</v>
      </c>
      <c r="D51" s="224">
        <f>'[2]Data Sheet'!D180</f>
        <v>12326</v>
      </c>
      <c r="E51" s="224">
        <f>'[2]Data Sheet'!E180</f>
        <v>9448</v>
      </c>
      <c r="F51" s="224">
        <f>'[2]Data Sheet'!F180</f>
        <v>-1889</v>
      </c>
      <c r="G51" s="224">
        <f>'[2]Data Sheet'!G180</f>
        <v>6020</v>
      </c>
      <c r="H51" s="224">
        <f>'[2]Data Sheet'!H180</f>
        <v>3891</v>
      </c>
    </row>
    <row r="52" spans="2:8" x14ac:dyDescent="0.2">
      <c r="B52" s="4" t="str">
        <f>'[2]Data Sheet'!B181</f>
        <v>Change in Unearned Rev.</v>
      </c>
      <c r="C52" s="224">
        <f>'[2]Data Sheet'!C181</f>
        <v>2081</v>
      </c>
      <c r="D52" s="224" t="str">
        <f>'[2]Data Sheet'!D181</f>
        <v>-</v>
      </c>
      <c r="E52" s="224" t="str">
        <f>'[2]Data Sheet'!E181</f>
        <v>-</v>
      </c>
      <c r="F52" s="224" t="str">
        <f>'[2]Data Sheet'!F181</f>
        <v>-</v>
      </c>
      <c r="G52" s="224" t="str">
        <f>'[2]Data Sheet'!G181</f>
        <v>-</v>
      </c>
      <c r="H52" s="224" t="str">
        <f>'[2]Data Sheet'!H181</f>
        <v>-</v>
      </c>
    </row>
    <row r="53" spans="2:8" x14ac:dyDescent="0.2">
      <c r="B53" s="4" t="str">
        <f>'[2]Data Sheet'!B182</f>
        <v>Change in Other Net Operating Assets</v>
      </c>
      <c r="C53" s="224">
        <f>'[2]Data Sheet'!C182</f>
        <v>881</v>
      </c>
      <c r="D53" s="224">
        <f>'[2]Data Sheet'!D182</f>
        <v>-4470</v>
      </c>
      <c r="E53" s="224">
        <f>'[2]Data Sheet'!E182</f>
        <v>-7909</v>
      </c>
      <c r="F53" s="224">
        <f>'[2]Data Sheet'!F182</f>
        <v>-1382</v>
      </c>
      <c r="G53" s="224">
        <f>'[2]Data Sheet'!G182</f>
        <v>2465</v>
      </c>
      <c r="H53" s="224">
        <f>'[2]Data Sheet'!H182</f>
        <v>-4675</v>
      </c>
    </row>
    <row r="54" spans="2:8" x14ac:dyDescent="0.2">
      <c r="C54" s="226"/>
      <c r="D54" s="226"/>
      <c r="E54" s="226"/>
      <c r="F54" s="226"/>
      <c r="G54" s="226"/>
      <c r="H54" s="226"/>
    </row>
    <row r="55" spans="2:8" x14ac:dyDescent="0.2">
      <c r="B55" s="228" t="str">
        <f>'[2]Data Sheet'!B191</f>
        <v xml:space="preserve">  Cash from Investing</v>
      </c>
      <c r="C55" s="229">
        <f>'[2]Data Sheet'!C191</f>
        <v>-4289</v>
      </c>
      <c r="D55" s="229">
        <f>'[2]Data Sheet'!D191</f>
        <v>-14545</v>
      </c>
      <c r="E55" s="229">
        <f>'[2]Data Sheet'!E191</f>
        <v>-22354</v>
      </c>
      <c r="F55" s="229">
        <f>'[2]Data Sheet'!F191</f>
        <v>3705</v>
      </c>
      <c r="G55" s="229">
        <f>'[2]Data Sheet'!G191</f>
        <v>2935</v>
      </c>
      <c r="H55" s="229">
        <f>'[2]Data Sheet'!H191</f>
        <v>10800</v>
      </c>
    </row>
    <row r="56" spans="2:8" x14ac:dyDescent="0.2">
      <c r="B56" t="str">
        <f>'[2]Data Sheet'!B185</f>
        <v>Capital Expenditure</v>
      </c>
      <c r="C56" s="226">
        <f>'[2]Data Sheet'!C185</f>
        <v>-7309</v>
      </c>
      <c r="D56" s="226">
        <f>'[2]Data Sheet'!D185</f>
        <v>-11085</v>
      </c>
      <c r="E56" s="226">
        <f>'[2]Data Sheet'!E185</f>
        <v>-10708</v>
      </c>
      <c r="F56" s="226">
        <f>'[2]Data Sheet'!F185</f>
        <v>-10959</v>
      </c>
      <c r="G56" s="226">
        <f>'[2]Data Sheet'!G185</f>
        <v>-9447</v>
      </c>
      <c r="H56" s="226">
        <f>'[2]Data Sheet'!H185</f>
        <v>-9995</v>
      </c>
    </row>
    <row r="57" spans="2:8" x14ac:dyDescent="0.2">
      <c r="B57" s="4" t="str">
        <f>'[2]Data Sheet'!B186</f>
        <v>Cash Acquisitions</v>
      </c>
      <c r="C57" s="224">
        <f>'[2]Data Sheet'!C186</f>
        <v>-1524</v>
      </c>
      <c r="D57" s="224" t="str">
        <f>'[2]Data Sheet'!D186</f>
        <v>-</v>
      </c>
      <c r="E57" s="224" t="str">
        <f>'[2]Data Sheet'!E186</f>
        <v>-</v>
      </c>
      <c r="F57" s="224" t="str">
        <f>'[2]Data Sheet'!F186</f>
        <v>-</v>
      </c>
      <c r="G57" s="224" t="str">
        <f>'[2]Data Sheet'!G186</f>
        <v>-</v>
      </c>
      <c r="H57" s="224" t="str">
        <f>'[2]Data Sheet'!H186</f>
        <v>-</v>
      </c>
    </row>
    <row r="58" spans="2:8" x14ac:dyDescent="0.2">
      <c r="B58" s="4" t="str">
        <f>'[2]Data Sheet'!B187</f>
        <v>Divestitures</v>
      </c>
      <c r="C58" s="224" t="str">
        <f>'[2]Data Sheet'!C187</f>
        <v>-</v>
      </c>
      <c r="D58" s="224" t="str">
        <f>'[2]Data Sheet'!D187</f>
        <v>-</v>
      </c>
      <c r="E58" s="224" t="str">
        <f>'[2]Data Sheet'!E187</f>
        <v>-</v>
      </c>
      <c r="F58" s="224" t="str">
        <f>'[2]Data Sheet'!F187</f>
        <v>-</v>
      </c>
      <c r="G58" s="224" t="str">
        <f>'[2]Data Sheet'!G187</f>
        <v>-</v>
      </c>
      <c r="H58" s="224" t="str">
        <f>'[2]Data Sheet'!H187</f>
        <v>-</v>
      </c>
    </row>
    <row r="59" spans="2:8" x14ac:dyDescent="0.2">
      <c r="B59" s="4" t="str">
        <f>'[2]Data Sheet'!B188</f>
        <v>Invest. in Marketable &amp; Equity Securt.</v>
      </c>
      <c r="C59" s="224">
        <f>'[2]Data Sheet'!C188</f>
        <v>5453</v>
      </c>
      <c r="D59" s="224">
        <f>'[2]Data Sheet'!D188</f>
        <v>-3075</v>
      </c>
      <c r="E59" s="224">
        <f>'[2]Data Sheet'!E188</f>
        <v>-9560</v>
      </c>
      <c r="F59" s="224">
        <f>'[2]Data Sheet'!F188</f>
        <v>16001</v>
      </c>
      <c r="G59" s="224">
        <f>'[2]Data Sheet'!G188</f>
        <v>13690</v>
      </c>
      <c r="H59" s="224">
        <f>'[2]Data Sheet'!H188</f>
        <v>22422</v>
      </c>
    </row>
    <row r="60" spans="2:8" x14ac:dyDescent="0.2">
      <c r="B60" s="4" t="str">
        <f>'[2]Data Sheet'!B189</f>
        <v>Net (Inc.) Dec. in Loans Originated/Sold</v>
      </c>
      <c r="C60" s="224" t="str">
        <f>'[2]Data Sheet'!C189</f>
        <v>-</v>
      </c>
      <c r="D60" s="224" t="str">
        <f>'[2]Data Sheet'!D189</f>
        <v>-</v>
      </c>
      <c r="E60" s="224" t="str">
        <f>'[2]Data Sheet'!E189</f>
        <v>-</v>
      </c>
      <c r="F60" s="224" t="str">
        <f>'[2]Data Sheet'!F189</f>
        <v>-</v>
      </c>
      <c r="G60" s="224" t="str">
        <f>'[2]Data Sheet'!G189</f>
        <v>-</v>
      </c>
      <c r="H60" s="224" t="str">
        <f>'[2]Data Sheet'!H189</f>
        <v>-</v>
      </c>
    </row>
    <row r="61" spans="2:8" x14ac:dyDescent="0.2">
      <c r="B61" s="4" t="str">
        <f>'[2]Data Sheet'!B190</f>
        <v>Other Investing Activities</v>
      </c>
      <c r="C61" s="224">
        <f>'[2]Data Sheet'!C190</f>
        <v>-909</v>
      </c>
      <c r="D61" s="224">
        <f>'[2]Data Sheet'!D190</f>
        <v>-385</v>
      </c>
      <c r="E61" s="224">
        <f>'[2]Data Sheet'!E190</f>
        <v>-2086</v>
      </c>
      <c r="F61" s="224">
        <f>'[2]Data Sheet'!F190</f>
        <v>-1337</v>
      </c>
      <c r="G61" s="224">
        <f>'[2]Data Sheet'!G190</f>
        <v>-1308</v>
      </c>
      <c r="H61" s="224">
        <f>'[2]Data Sheet'!H190</f>
        <v>-1627</v>
      </c>
    </row>
    <row r="62" spans="2:8" x14ac:dyDescent="0.2">
      <c r="C62" s="226"/>
      <c r="D62" s="226"/>
      <c r="E62" s="226"/>
      <c r="F62" s="226"/>
      <c r="G62" s="226"/>
      <c r="H62" s="226"/>
    </row>
    <row r="63" spans="2:8" x14ac:dyDescent="0.2">
      <c r="B63" s="228" t="str">
        <f>'[2]Data Sheet'!B207</f>
        <v xml:space="preserve">  Cash from Financing</v>
      </c>
      <c r="C63" s="229">
        <f>'[2]Data Sheet'!C207</f>
        <v>-86820</v>
      </c>
      <c r="D63" s="229">
        <f>'[2]Data Sheet'!D207</f>
        <v>-93353</v>
      </c>
      <c r="E63" s="229">
        <f>'[2]Data Sheet'!E207</f>
        <v>-110749</v>
      </c>
      <c r="F63" s="229">
        <f>'[2]Data Sheet'!F207</f>
        <v>-108488</v>
      </c>
      <c r="G63" s="229">
        <f>'[2]Data Sheet'!G207</f>
        <v>-121983</v>
      </c>
      <c r="H63" s="229">
        <f>'[2]Data Sheet'!H207</f>
        <v>-130769</v>
      </c>
    </row>
    <row r="64" spans="2:8" x14ac:dyDescent="0.2">
      <c r="B64" t="str">
        <f>'[2]Data Sheet'!B195</f>
        <v>Total Debt Issued</v>
      </c>
      <c r="C64" s="226">
        <f>'[2]Data Sheet'!C195</f>
        <v>16091</v>
      </c>
      <c r="D64" s="226">
        <f>'[2]Data Sheet'!D195</f>
        <v>21415</v>
      </c>
      <c r="E64" s="226">
        <f>'[2]Data Sheet'!E195</f>
        <v>9420</v>
      </c>
      <c r="F64" s="226">
        <f>'[2]Data Sheet'!F195</f>
        <v>5228</v>
      </c>
      <c r="G64" s="226">
        <f>'[2]Data Sheet'!G195</f>
        <v>3960</v>
      </c>
      <c r="H64" s="226">
        <f>'[2]Data Sheet'!H195</f>
        <v>3960</v>
      </c>
    </row>
    <row r="65" spans="2:8" x14ac:dyDescent="0.2">
      <c r="B65" s="4" t="str">
        <f>'[2]Data Sheet'!B198</f>
        <v>Total Debt Repaid</v>
      </c>
      <c r="C65" s="224">
        <f>'[2]Data Sheet'!C198</f>
        <v>-13592</v>
      </c>
      <c r="D65" s="224">
        <f>'[2]Data Sheet'!D198</f>
        <v>-8750</v>
      </c>
      <c r="E65" s="224">
        <f>'[2]Data Sheet'!E198</f>
        <v>-9543</v>
      </c>
      <c r="F65" s="224">
        <f>'[2]Data Sheet'!F198</f>
        <v>-15129</v>
      </c>
      <c r="G65" s="224">
        <f>'[2]Data Sheet'!G198</f>
        <v>-9958</v>
      </c>
      <c r="H65" s="224">
        <f>'[2]Data Sheet'!H198</f>
        <v>-14927</v>
      </c>
    </row>
    <row r="66" spans="2:8" x14ac:dyDescent="0.2">
      <c r="B66" s="4" t="str">
        <f>'[2]Data Sheet'!B200</f>
        <v>Repurchase of Common Stock</v>
      </c>
      <c r="C66" s="224">
        <f>'[2]Data Sheet'!C200</f>
        <v>-75992</v>
      </c>
      <c r="D66" s="224">
        <f>'[2]Data Sheet'!D200</f>
        <v>-92527</v>
      </c>
      <c r="E66" s="224">
        <f>'[2]Data Sheet'!E200</f>
        <v>-95625</v>
      </c>
      <c r="F66" s="224">
        <f>'[2]Data Sheet'!F200</f>
        <v>-82981</v>
      </c>
      <c r="G66" s="224">
        <f>'[2]Data Sheet'!G200</f>
        <v>-100390</v>
      </c>
      <c r="H66" s="224">
        <f>'[2]Data Sheet'!H200</f>
        <v>-104187</v>
      </c>
    </row>
    <row r="67" spans="2:8" x14ac:dyDescent="0.2">
      <c r="B67" s="4" t="str">
        <f>'[2]Data Sheet'!B203</f>
        <v>Total Dividends Paid</v>
      </c>
      <c r="C67" s="224">
        <f>'[2]Data Sheet'!C203</f>
        <v>-14081</v>
      </c>
      <c r="D67" s="224">
        <f>'[2]Data Sheet'!D203</f>
        <v>-14467</v>
      </c>
      <c r="E67" s="224">
        <f>'[2]Data Sheet'!E203</f>
        <v>-14841</v>
      </c>
      <c r="F67" s="224">
        <f>'[2]Data Sheet'!F203</f>
        <v>-15025</v>
      </c>
      <c r="G67" s="224">
        <f>'[2]Data Sheet'!G203</f>
        <v>-15234</v>
      </c>
      <c r="H67" s="224">
        <f>'[2]Data Sheet'!H203</f>
        <v>-15265</v>
      </c>
    </row>
    <row r="68" spans="2:8" x14ac:dyDescent="0.2">
      <c r="B68" s="4" t="str">
        <f>'[2]Data Sheet'!B205</f>
        <v>Special Dividend Paid</v>
      </c>
      <c r="C68" s="224" t="str">
        <f>'[2]Data Sheet'!C205</f>
        <v>-</v>
      </c>
      <c r="D68" s="224" t="str">
        <f>'[2]Data Sheet'!D205</f>
        <v>-</v>
      </c>
      <c r="E68" s="224" t="str">
        <f>'[2]Data Sheet'!E205</f>
        <v>-</v>
      </c>
      <c r="F68" s="224" t="str">
        <f>'[2]Data Sheet'!F205</f>
        <v>-</v>
      </c>
      <c r="G68" s="224" t="str">
        <f>'[2]Data Sheet'!G205</f>
        <v>-</v>
      </c>
      <c r="H68" s="224" t="str">
        <f>'[2]Data Sheet'!H205</f>
        <v>-</v>
      </c>
    </row>
    <row r="69" spans="2:8" x14ac:dyDescent="0.2">
      <c r="B69" s="4" t="str">
        <f>'[2]Data Sheet'!B206</f>
        <v>Other Financing Activities</v>
      </c>
      <c r="C69" s="224">
        <f>'[2]Data Sheet'!C206</f>
        <v>754</v>
      </c>
      <c r="D69" s="224">
        <f>'[2]Data Sheet'!D206</f>
        <v>976</v>
      </c>
      <c r="E69" s="224">
        <f>'[2]Data Sheet'!E206</f>
        <v>-160</v>
      </c>
      <c r="F69" s="224">
        <f>'[2]Data Sheet'!F206</f>
        <v>-581</v>
      </c>
      <c r="G69" s="224">
        <f>'[2]Data Sheet'!G206</f>
        <v>-361</v>
      </c>
      <c r="H69" s="224">
        <f>'[2]Data Sheet'!H206</f>
        <v>-350</v>
      </c>
    </row>
    <row r="71" spans="2:8" ht="16" thickBot="1" x14ac:dyDescent="0.25">
      <c r="B71" s="349" t="s">
        <v>144</v>
      </c>
      <c r="C71" s="350">
        <f>'[2]Data Sheet'!C209</f>
        <v>-10435</v>
      </c>
      <c r="D71" s="350">
        <f>'[2]Data Sheet'!D209</f>
        <v>-3860</v>
      </c>
      <c r="E71" s="350">
        <f>'[2]Data Sheet'!E209</f>
        <v>-10952</v>
      </c>
      <c r="F71" s="350">
        <f>'[2]Data Sheet'!F209</f>
        <v>5760</v>
      </c>
      <c r="G71" s="350">
        <f>'[2]Data Sheet'!G209</f>
        <v>-794</v>
      </c>
      <c r="H71" s="350">
        <f>'[2]Data Sheet'!H209</f>
        <v>-11675</v>
      </c>
    </row>
    <row r="72" spans="2:8" ht="16" thickTop="1" x14ac:dyDescent="0.2"/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D4EFE-BC9A-2541-B2A7-EBC98EBC777A}">
  <dimension ref="B6:R56"/>
  <sheetViews>
    <sheetView showGridLines="0" zoomScale="75" workbookViewId="0">
      <selection activeCell="V34" sqref="V34"/>
    </sheetView>
  </sheetViews>
  <sheetFormatPr baseColWidth="10" defaultRowHeight="15" x14ac:dyDescent="0.2"/>
  <cols>
    <col min="1" max="1" width="2" customWidth="1"/>
    <col min="2" max="2" width="40.1640625" customWidth="1"/>
  </cols>
  <sheetData>
    <row r="6" spans="2:18" ht="17" x14ac:dyDescent="0.2">
      <c r="B6" s="318" t="s">
        <v>540</v>
      </c>
      <c r="C6" s="339"/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</row>
    <row r="7" spans="2:18" x14ac:dyDescent="0.2"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  <c r="P7" s="339"/>
      <c r="Q7" s="339"/>
      <c r="R7" s="339"/>
    </row>
    <row r="8" spans="2:18" x14ac:dyDescent="0.2">
      <c r="B8" s="339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</row>
    <row r="9" spans="2:18" x14ac:dyDescent="0.2">
      <c r="B9" s="319" t="s">
        <v>541</v>
      </c>
      <c r="C9" s="319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319"/>
      <c r="P9" s="319"/>
      <c r="Q9" s="319"/>
      <c r="R9" s="319"/>
    </row>
    <row r="10" spans="2:18" x14ac:dyDescent="0.2">
      <c r="B10" s="351" t="s">
        <v>542</v>
      </c>
      <c r="C10" s="352" t="s">
        <v>543</v>
      </c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</row>
    <row r="11" spans="2:18" x14ac:dyDescent="0.2">
      <c r="B11" s="351" t="s">
        <v>544</v>
      </c>
      <c r="C11" s="352" t="s">
        <v>545</v>
      </c>
      <c r="D11" s="339"/>
      <c r="E11" s="339"/>
      <c r="F11" s="339"/>
      <c r="G11" s="339"/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</row>
    <row r="12" spans="2:18" x14ac:dyDescent="0.2">
      <c r="B12" s="351" t="s">
        <v>546</v>
      </c>
      <c r="C12" s="353">
        <v>45725</v>
      </c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</row>
    <row r="13" spans="2:18" x14ac:dyDescent="0.2">
      <c r="B13" s="325"/>
      <c r="C13" s="339"/>
      <c r="D13" s="339"/>
      <c r="E13" s="339"/>
      <c r="F13" s="339"/>
      <c r="G13" s="339"/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</row>
    <row r="14" spans="2:18" x14ac:dyDescent="0.2">
      <c r="B14" s="339"/>
      <c r="C14" s="339"/>
      <c r="D14" s="339"/>
      <c r="E14" s="339"/>
      <c r="F14" s="339"/>
      <c r="G14" s="339"/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</row>
    <row r="15" spans="2:18" x14ac:dyDescent="0.2">
      <c r="B15" s="319" t="s">
        <v>547</v>
      </c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</row>
    <row r="16" spans="2:18" ht="36" x14ac:dyDescent="0.2">
      <c r="B16" s="354" t="s">
        <v>548</v>
      </c>
      <c r="C16" s="355" t="s">
        <v>549</v>
      </c>
      <c r="D16" s="355" t="s">
        <v>550</v>
      </c>
      <c r="E16" s="355" t="s">
        <v>551</v>
      </c>
      <c r="F16" s="355" t="s">
        <v>552</v>
      </c>
      <c r="G16" s="355" t="s">
        <v>553</v>
      </c>
      <c r="H16" s="355" t="s">
        <v>554</v>
      </c>
      <c r="I16" s="355" t="s">
        <v>555</v>
      </c>
      <c r="J16" s="355" t="s">
        <v>556</v>
      </c>
      <c r="K16" s="356" t="s">
        <v>557</v>
      </c>
      <c r="L16" s="355" t="s">
        <v>558</v>
      </c>
      <c r="M16" s="355" t="s">
        <v>559</v>
      </c>
      <c r="N16" s="355" t="s">
        <v>560</v>
      </c>
      <c r="O16" s="355" t="s">
        <v>561</v>
      </c>
      <c r="P16" s="355" t="s">
        <v>562</v>
      </c>
      <c r="Q16" s="355" t="s">
        <v>563</v>
      </c>
      <c r="R16" s="355" t="s">
        <v>564</v>
      </c>
    </row>
    <row r="17" spans="2:18" x14ac:dyDescent="0.2">
      <c r="B17" s="354" t="s">
        <v>565</v>
      </c>
      <c r="C17" s="357">
        <v>173.86</v>
      </c>
      <c r="D17" s="358">
        <v>12190</v>
      </c>
      <c r="E17" s="358">
        <v>2129742.7000000002</v>
      </c>
      <c r="F17" s="358">
        <v>-67520</v>
      </c>
      <c r="G17" s="359" t="s">
        <v>120</v>
      </c>
      <c r="H17" s="359" t="s">
        <v>120</v>
      </c>
      <c r="I17" s="358">
        <v>2062222.7</v>
      </c>
      <c r="J17" s="357">
        <v>24.01</v>
      </c>
      <c r="K17" s="360">
        <v>45693</v>
      </c>
      <c r="L17" s="358">
        <v>350018</v>
      </c>
      <c r="M17" s="358">
        <v>129497</v>
      </c>
      <c r="N17" s="358">
        <v>114186</v>
      </c>
      <c r="O17" s="357">
        <v>8.0399999999999991</v>
      </c>
      <c r="P17" s="357">
        <v>390002.1</v>
      </c>
      <c r="Q17" s="357">
        <v>172891.41</v>
      </c>
      <c r="R17" s="357">
        <v>8.99</v>
      </c>
    </row>
    <row r="18" spans="2:18" x14ac:dyDescent="0.2">
      <c r="B18" s="354" t="s">
        <v>566</v>
      </c>
      <c r="C18" s="357">
        <v>112.69</v>
      </c>
      <c r="D18" s="358">
        <v>24400</v>
      </c>
      <c r="E18" s="358">
        <v>2749636</v>
      </c>
      <c r="F18" s="358">
        <v>-32940</v>
      </c>
      <c r="G18" s="359" t="s">
        <v>120</v>
      </c>
      <c r="H18" s="359" t="s">
        <v>120</v>
      </c>
      <c r="I18" s="358">
        <v>2716696</v>
      </c>
      <c r="J18" s="357">
        <v>3</v>
      </c>
      <c r="K18" s="360">
        <v>45714</v>
      </c>
      <c r="L18" s="358">
        <v>130497</v>
      </c>
      <c r="M18" s="358">
        <v>83317</v>
      </c>
      <c r="N18" s="358">
        <v>81453</v>
      </c>
      <c r="O18" s="357">
        <v>2.94</v>
      </c>
      <c r="P18" s="357">
        <v>204100.85</v>
      </c>
      <c r="Q18" s="357">
        <v>129364.34</v>
      </c>
      <c r="R18" s="357">
        <v>4.5</v>
      </c>
    </row>
    <row r="19" spans="2:18" x14ac:dyDescent="0.2">
      <c r="B19" s="354" t="s">
        <v>567</v>
      </c>
      <c r="C19" s="357">
        <v>91.46</v>
      </c>
      <c r="D19" s="358">
        <v>697.7</v>
      </c>
      <c r="E19" s="358">
        <v>63812.1</v>
      </c>
      <c r="F19" s="358">
        <v>20934</v>
      </c>
      <c r="G19" s="359" t="s">
        <v>120</v>
      </c>
      <c r="H19" s="357">
        <v>95</v>
      </c>
      <c r="I19" s="358">
        <v>84841.1</v>
      </c>
      <c r="J19" s="357">
        <v>-36.450000000000003</v>
      </c>
      <c r="K19" s="360">
        <v>45715</v>
      </c>
      <c r="L19" s="358">
        <v>95567</v>
      </c>
      <c r="M19" s="358">
        <v>6904</v>
      </c>
      <c r="N19" s="358">
        <v>6237</v>
      </c>
      <c r="O19" s="357">
        <v>6.38</v>
      </c>
      <c r="P19" s="357">
        <v>103473.19</v>
      </c>
      <c r="Q19" s="357">
        <v>12159.94</v>
      </c>
      <c r="R19" s="357">
        <v>9.41</v>
      </c>
    </row>
    <row r="20" spans="2:18" x14ac:dyDescent="0.2">
      <c r="B20" s="354" t="s">
        <v>568</v>
      </c>
      <c r="C20" s="357">
        <v>161.22</v>
      </c>
      <c r="D20" s="358">
        <v>1105.4000000000001</v>
      </c>
      <c r="E20" s="358">
        <v>178211.20000000001</v>
      </c>
      <c r="F20" s="358">
        <v>272</v>
      </c>
      <c r="G20" s="359" t="s">
        <v>120</v>
      </c>
      <c r="H20" s="359" t="s">
        <v>120</v>
      </c>
      <c r="I20" s="358">
        <v>178483.20000000001</v>
      </c>
      <c r="J20" s="357">
        <v>13.34</v>
      </c>
      <c r="K20" s="360">
        <v>45693</v>
      </c>
      <c r="L20" s="358">
        <v>40696</v>
      </c>
      <c r="M20" s="358">
        <v>12585</v>
      </c>
      <c r="N20" s="358">
        <v>10880</v>
      </c>
      <c r="O20" s="357">
        <v>9.27</v>
      </c>
      <c r="P20" s="357">
        <v>43580.49</v>
      </c>
      <c r="Q20" s="357">
        <v>16755.14</v>
      </c>
      <c r="R20" s="357">
        <v>11.7</v>
      </c>
    </row>
    <row r="21" spans="2:18" x14ac:dyDescent="0.2">
      <c r="B21" s="354" t="s">
        <v>569</v>
      </c>
      <c r="C21" s="357">
        <v>30.54</v>
      </c>
      <c r="D21" s="358">
        <v>942.7</v>
      </c>
      <c r="E21" s="358">
        <v>28790.2</v>
      </c>
      <c r="F21" s="358">
        <v>8009</v>
      </c>
      <c r="G21" s="359" t="s">
        <v>120</v>
      </c>
      <c r="H21" s="359" t="s">
        <v>120</v>
      </c>
      <c r="I21" s="358">
        <v>36799.199999999997</v>
      </c>
      <c r="J21" s="357">
        <v>-11.56</v>
      </c>
      <c r="K21" s="360">
        <v>45716</v>
      </c>
      <c r="L21" s="358">
        <v>53878</v>
      </c>
      <c r="M21" s="358">
        <v>4934</v>
      </c>
      <c r="N21" s="358">
        <v>4112</v>
      </c>
      <c r="O21" s="357">
        <v>2.78</v>
      </c>
      <c r="P21" s="359" t="s">
        <v>120</v>
      </c>
      <c r="Q21" s="357">
        <v>5165.62</v>
      </c>
      <c r="R21" s="357">
        <v>3.69</v>
      </c>
    </row>
    <row r="22" spans="2:18" x14ac:dyDescent="0.2">
      <c r="B22" s="354" t="s">
        <v>570</v>
      </c>
      <c r="C22" s="357">
        <v>93.77</v>
      </c>
      <c r="D22" s="358">
        <v>203.4</v>
      </c>
      <c r="E22" s="358">
        <v>19073.900000000001</v>
      </c>
      <c r="F22" s="358">
        <v>-18</v>
      </c>
      <c r="G22" s="359" t="s">
        <v>120</v>
      </c>
      <c r="H22" s="359" t="s">
        <v>120</v>
      </c>
      <c r="I22" s="358">
        <v>19055.900000000001</v>
      </c>
      <c r="J22" s="357">
        <v>-8.75</v>
      </c>
      <c r="K22" s="360">
        <v>45715</v>
      </c>
      <c r="L22" s="358">
        <v>6508</v>
      </c>
      <c r="M22" s="358">
        <v>1619</v>
      </c>
      <c r="N22" s="358">
        <v>1398</v>
      </c>
      <c r="O22" s="357">
        <v>5.4</v>
      </c>
      <c r="P22" s="357">
        <v>6773.25</v>
      </c>
      <c r="Q22" s="357">
        <v>2154.92</v>
      </c>
      <c r="R22" s="357">
        <v>7.52</v>
      </c>
    </row>
    <row r="23" spans="2:18" x14ac:dyDescent="0.2">
      <c r="B23" s="354" t="s">
        <v>571</v>
      </c>
      <c r="C23" s="357">
        <v>41.7</v>
      </c>
      <c r="D23" s="358">
        <v>347.8</v>
      </c>
      <c r="E23" s="358">
        <v>14504.3</v>
      </c>
      <c r="F23" s="358">
        <v>5418</v>
      </c>
      <c r="G23" s="357">
        <v>229</v>
      </c>
      <c r="H23" s="359" t="s">
        <v>120</v>
      </c>
      <c r="I23" s="358">
        <v>20151.3</v>
      </c>
      <c r="J23" s="357">
        <v>6.64</v>
      </c>
      <c r="K23" s="360">
        <v>45688</v>
      </c>
      <c r="L23" s="358">
        <v>15601</v>
      </c>
      <c r="M23" s="358">
        <v>2996</v>
      </c>
      <c r="N23" s="358">
        <v>2463</v>
      </c>
      <c r="O23" s="357">
        <v>3.54</v>
      </c>
      <c r="P23" s="357">
        <v>10501.4</v>
      </c>
      <c r="Q23" s="357">
        <v>2783.89</v>
      </c>
      <c r="R23" s="357">
        <v>5.13</v>
      </c>
    </row>
    <row r="24" spans="2:18" x14ac:dyDescent="0.2">
      <c r="B24" s="354" t="s">
        <v>572</v>
      </c>
      <c r="C24" s="357">
        <v>15.81</v>
      </c>
      <c r="D24" s="358">
        <v>1313.6</v>
      </c>
      <c r="E24" s="358">
        <v>20767.7</v>
      </c>
      <c r="F24" s="358">
        <v>5268</v>
      </c>
      <c r="G24" s="359" t="s">
        <v>120</v>
      </c>
      <c r="H24" s="357">
        <v>58</v>
      </c>
      <c r="I24" s="358">
        <v>26093.7</v>
      </c>
      <c r="J24" s="357">
        <v>5.05</v>
      </c>
      <c r="K24" s="360">
        <v>45723</v>
      </c>
      <c r="L24" s="358">
        <v>31226</v>
      </c>
      <c r="M24" s="358">
        <v>4958</v>
      </c>
      <c r="N24" s="358">
        <v>2452</v>
      </c>
      <c r="O24" s="357">
        <v>2.08</v>
      </c>
      <c r="P24" s="357">
        <v>33034.65</v>
      </c>
      <c r="Q24" s="357">
        <v>5271.65</v>
      </c>
      <c r="R24" s="357">
        <v>1.8</v>
      </c>
    </row>
    <row r="25" spans="2:18" x14ac:dyDescent="0.2">
      <c r="B25" s="354" t="s">
        <v>573</v>
      </c>
      <c r="C25" s="357">
        <v>37.1</v>
      </c>
      <c r="D25" s="358">
        <v>6735.6</v>
      </c>
      <c r="E25" s="358">
        <v>245246.5</v>
      </c>
      <c r="F25" s="358">
        <v>-64467.8</v>
      </c>
      <c r="G25" s="359" t="s">
        <v>120</v>
      </c>
      <c r="H25" s="357">
        <v>7256.62</v>
      </c>
      <c r="I25" s="358">
        <v>188035.3</v>
      </c>
      <c r="J25" s="357">
        <v>37.61</v>
      </c>
      <c r="K25" s="360">
        <v>45706</v>
      </c>
      <c r="L25" s="358">
        <v>207845.5</v>
      </c>
      <c r="M25" s="358">
        <v>51217.1</v>
      </c>
      <c r="N25" s="358">
        <v>22607.5</v>
      </c>
      <c r="O25" s="357">
        <v>3.42</v>
      </c>
      <c r="P25" s="357">
        <v>220489.57</v>
      </c>
      <c r="Q25" s="357">
        <v>53781.23</v>
      </c>
      <c r="R25" s="357">
        <v>3.05</v>
      </c>
    </row>
    <row r="26" spans="2:18" x14ac:dyDescent="0.2">
      <c r="B26" s="354" t="s">
        <v>574</v>
      </c>
      <c r="C26" s="357">
        <v>2.14</v>
      </c>
      <c r="D26" s="358">
        <v>4.9000000000000004</v>
      </c>
      <c r="E26" s="358">
        <v>10.4</v>
      </c>
      <c r="F26" s="358">
        <v>-9.1</v>
      </c>
      <c r="G26" s="359" t="s">
        <v>120</v>
      </c>
      <c r="H26" s="359" t="s">
        <v>120</v>
      </c>
      <c r="I26" s="358">
        <v>1.4</v>
      </c>
      <c r="J26" s="357">
        <v>3.15</v>
      </c>
      <c r="K26" s="360">
        <v>45609</v>
      </c>
      <c r="L26" s="358">
        <v>56.7</v>
      </c>
      <c r="M26" s="358">
        <v>-9.5</v>
      </c>
      <c r="N26" s="358">
        <v>-12.8</v>
      </c>
      <c r="O26" s="357">
        <v>-2.99</v>
      </c>
      <c r="P26" s="359" t="s">
        <v>120</v>
      </c>
      <c r="Q26" s="359" t="s">
        <v>120</v>
      </c>
      <c r="R26" s="359" t="s">
        <v>120</v>
      </c>
    </row>
    <row r="27" spans="2:18" x14ac:dyDescent="0.2">
      <c r="B27" s="361"/>
      <c r="C27" s="361"/>
      <c r="D27" s="361"/>
      <c r="E27" s="361"/>
      <c r="F27" s="361"/>
      <c r="G27" s="361"/>
      <c r="H27" s="361"/>
      <c r="I27" s="361"/>
      <c r="J27" s="361"/>
      <c r="K27" s="361"/>
      <c r="L27" s="361"/>
      <c r="M27" s="361"/>
      <c r="N27" s="361"/>
      <c r="O27" s="361"/>
      <c r="P27" s="361"/>
      <c r="Q27" s="361"/>
      <c r="R27" s="361"/>
    </row>
    <row r="28" spans="2:18" x14ac:dyDescent="0.2">
      <c r="B28" s="362"/>
      <c r="C28" s="362"/>
      <c r="D28" s="362"/>
      <c r="E28" s="362"/>
      <c r="F28" s="362"/>
      <c r="G28" s="362"/>
      <c r="H28" s="362"/>
      <c r="I28" s="362"/>
      <c r="J28" s="362"/>
      <c r="K28" s="362"/>
      <c r="L28" s="362"/>
      <c r="M28" s="362"/>
      <c r="N28" s="362"/>
      <c r="O28" s="362"/>
      <c r="P28" s="362"/>
      <c r="Q28" s="362"/>
      <c r="R28" s="362"/>
    </row>
    <row r="29" spans="2:18" x14ac:dyDescent="0.2">
      <c r="B29" s="354" t="s">
        <v>575</v>
      </c>
      <c r="C29" s="357">
        <v>239.07</v>
      </c>
      <c r="D29" s="358">
        <v>15022.1</v>
      </c>
      <c r="E29" s="358">
        <v>3591327</v>
      </c>
      <c r="F29" s="358">
        <v>-44569</v>
      </c>
      <c r="G29" s="359" t="s">
        <v>120</v>
      </c>
      <c r="H29" s="359" t="s">
        <v>120</v>
      </c>
      <c r="I29" s="358">
        <v>3546758</v>
      </c>
      <c r="J29" s="357">
        <v>4.4400000000000004</v>
      </c>
      <c r="K29" s="360">
        <v>45688</v>
      </c>
      <c r="L29" s="358">
        <v>395760</v>
      </c>
      <c r="M29" s="358">
        <v>137352</v>
      </c>
      <c r="N29" s="358">
        <v>125675</v>
      </c>
      <c r="O29" s="357">
        <v>6.28</v>
      </c>
      <c r="P29" s="357">
        <v>417117</v>
      </c>
      <c r="Q29" s="357">
        <v>144538.73000000001</v>
      </c>
      <c r="R29" s="357">
        <v>7.55</v>
      </c>
    </row>
    <row r="33" spans="2:14" ht="17" x14ac:dyDescent="0.2">
      <c r="B33" s="318" t="s">
        <v>576</v>
      </c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</row>
    <row r="34" spans="2:14" x14ac:dyDescent="0.2">
      <c r="B34" s="339"/>
      <c r="C34" s="339"/>
      <c r="D34" s="339"/>
      <c r="E34" s="339"/>
      <c r="F34" s="339"/>
      <c r="G34" s="339"/>
      <c r="H34" s="339"/>
      <c r="I34" s="339"/>
      <c r="J34" s="339"/>
      <c r="K34" s="339"/>
      <c r="L34" s="339"/>
      <c r="M34" s="339"/>
      <c r="N34" s="339"/>
    </row>
    <row r="35" spans="2:14" x14ac:dyDescent="0.2">
      <c r="B35" s="339"/>
      <c r="C35" s="339"/>
      <c r="D35" s="339"/>
      <c r="E35" s="339"/>
      <c r="F35" s="339"/>
      <c r="G35" s="339"/>
      <c r="H35" s="339"/>
      <c r="I35" s="339"/>
      <c r="J35" s="339"/>
      <c r="K35" s="339"/>
      <c r="L35" s="339"/>
      <c r="M35" s="339"/>
      <c r="N35" s="339"/>
    </row>
    <row r="36" spans="2:14" x14ac:dyDescent="0.2">
      <c r="B36" s="319" t="s">
        <v>541</v>
      </c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</row>
    <row r="37" spans="2:14" x14ac:dyDescent="0.2">
      <c r="B37" s="351" t="s">
        <v>542</v>
      </c>
      <c r="C37" s="352" t="s">
        <v>543</v>
      </c>
      <c r="D37" s="339"/>
      <c r="E37" s="339"/>
      <c r="F37" s="339"/>
      <c r="G37" s="339"/>
      <c r="H37" s="339"/>
      <c r="I37" s="339"/>
      <c r="J37" s="339"/>
      <c r="K37" s="339"/>
      <c r="L37" s="339"/>
      <c r="M37" s="339"/>
      <c r="N37" s="339"/>
    </row>
    <row r="38" spans="2:14" x14ac:dyDescent="0.2">
      <c r="B38" s="351" t="s">
        <v>544</v>
      </c>
      <c r="C38" s="352" t="s">
        <v>545</v>
      </c>
      <c r="D38" s="339"/>
      <c r="E38" s="339"/>
      <c r="F38" s="339"/>
      <c r="G38" s="339"/>
      <c r="H38" s="339"/>
      <c r="I38" s="339"/>
      <c r="J38" s="339"/>
      <c r="K38" s="339"/>
      <c r="L38" s="339"/>
      <c r="M38" s="339"/>
      <c r="N38" s="339"/>
    </row>
    <row r="39" spans="2:14" x14ac:dyDescent="0.2">
      <c r="B39" s="351" t="s">
        <v>546</v>
      </c>
      <c r="C39" s="353">
        <v>45725</v>
      </c>
      <c r="D39" s="339"/>
      <c r="E39" s="339"/>
      <c r="F39" s="339"/>
      <c r="G39" s="339"/>
      <c r="H39" s="339"/>
      <c r="I39" s="339"/>
      <c r="J39" s="339"/>
      <c r="K39" s="339"/>
      <c r="L39" s="339"/>
      <c r="M39" s="339"/>
      <c r="N39" s="339"/>
    </row>
    <row r="40" spans="2:14" x14ac:dyDescent="0.2">
      <c r="B40" s="325"/>
      <c r="C40" s="339"/>
      <c r="D40" s="339"/>
      <c r="E40" s="339"/>
      <c r="F40" s="339"/>
      <c r="G40" s="339"/>
      <c r="H40" s="339"/>
      <c r="I40" s="339"/>
      <c r="J40" s="339"/>
      <c r="K40" s="339"/>
      <c r="L40" s="339"/>
      <c r="M40" s="339"/>
      <c r="N40" s="339"/>
    </row>
    <row r="41" spans="2:14" x14ac:dyDescent="0.2">
      <c r="B41" s="339"/>
      <c r="C41" s="339"/>
      <c r="D41" s="339"/>
      <c r="E41" s="339"/>
      <c r="F41" s="339"/>
      <c r="G41" s="339"/>
      <c r="H41" s="339"/>
      <c r="I41" s="339"/>
      <c r="J41" s="339"/>
      <c r="K41" s="339"/>
      <c r="L41" s="339"/>
      <c r="M41" s="339"/>
      <c r="N41" s="339"/>
    </row>
    <row r="42" spans="2:14" x14ac:dyDescent="0.2">
      <c r="B42" s="319" t="s">
        <v>547</v>
      </c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</row>
    <row r="43" spans="2:14" ht="36" x14ac:dyDescent="0.2">
      <c r="B43" s="354" t="s">
        <v>548</v>
      </c>
      <c r="C43" s="355" t="s">
        <v>577</v>
      </c>
      <c r="D43" s="355" t="s">
        <v>578</v>
      </c>
      <c r="E43" s="355" t="s">
        <v>579</v>
      </c>
      <c r="F43" s="355" t="s">
        <v>580</v>
      </c>
      <c r="G43" s="355" t="s">
        <v>581</v>
      </c>
      <c r="H43" s="355" t="s">
        <v>582</v>
      </c>
      <c r="I43" s="355" t="s">
        <v>583</v>
      </c>
      <c r="J43" s="355" t="s">
        <v>584</v>
      </c>
      <c r="K43" s="355" t="s">
        <v>585</v>
      </c>
      <c r="L43" s="355" t="s">
        <v>586</v>
      </c>
      <c r="M43" s="355" t="s">
        <v>587</v>
      </c>
      <c r="N43" s="355" t="s">
        <v>588</v>
      </c>
    </row>
    <row r="44" spans="2:14" x14ac:dyDescent="0.2">
      <c r="B44" s="354" t="s">
        <v>565</v>
      </c>
      <c r="C44" s="333">
        <v>0.58199999999999996</v>
      </c>
      <c r="D44" s="333">
        <v>0.37</v>
      </c>
      <c r="E44" s="333">
        <v>0.32600000000000001</v>
      </c>
      <c r="F44" s="363">
        <v>0.28599999999999998</v>
      </c>
      <c r="G44" s="363">
        <v>0.13869999999999999</v>
      </c>
      <c r="H44" s="363">
        <v>0.34560000000000002</v>
      </c>
      <c r="I44" s="363">
        <v>0.35460000000000003</v>
      </c>
      <c r="J44" s="363">
        <v>0.35670000000000002</v>
      </c>
      <c r="K44" s="363">
        <v>7.9699999999999993E-2</v>
      </c>
      <c r="L44" s="364">
        <v>0.2</v>
      </c>
      <c r="M44" s="363">
        <v>0.16470000000000001</v>
      </c>
      <c r="N44" s="357">
        <v>1.03</v>
      </c>
    </row>
    <row r="45" spans="2:14" x14ac:dyDescent="0.2">
      <c r="B45" s="354" t="s">
        <v>566</v>
      </c>
      <c r="C45" s="333">
        <v>0.75</v>
      </c>
      <c r="D45" s="333">
        <v>0.63800000000000001</v>
      </c>
      <c r="E45" s="333">
        <v>0.624</v>
      </c>
      <c r="F45" s="363">
        <v>0.5585</v>
      </c>
      <c r="G45" s="363">
        <v>1.1419999999999999</v>
      </c>
      <c r="H45" s="363">
        <v>1.4164000000000001</v>
      </c>
      <c r="I45" s="363">
        <v>1.4703999999999999</v>
      </c>
      <c r="J45" s="363">
        <v>1.4489000000000001</v>
      </c>
      <c r="K45" s="363">
        <v>0.11459999999999999</v>
      </c>
      <c r="L45" s="364">
        <v>0.1</v>
      </c>
      <c r="M45" s="363">
        <v>0.34520000000000001</v>
      </c>
      <c r="N45" s="357">
        <v>1.76</v>
      </c>
    </row>
    <row r="46" spans="2:14" x14ac:dyDescent="0.2">
      <c r="B46" s="354" t="s">
        <v>567</v>
      </c>
      <c r="C46" s="333">
        <v>0.222</v>
      </c>
      <c r="D46" s="333">
        <v>7.1999999999999995E-2</v>
      </c>
      <c r="E46" s="333">
        <v>6.5000000000000002E-2</v>
      </c>
      <c r="F46" s="363">
        <v>4.8099999999999997E-2</v>
      </c>
      <c r="G46" s="363">
        <v>8.0799999999999997E-2</v>
      </c>
      <c r="H46" s="363">
        <v>-0.21060000000000001</v>
      </c>
      <c r="I46" s="363">
        <v>6.4500000000000002E-2</v>
      </c>
      <c r="J46" s="363">
        <v>0.43009999999999998</v>
      </c>
      <c r="K46" s="363">
        <v>1.0598000000000001</v>
      </c>
      <c r="L46" s="364">
        <v>3.6</v>
      </c>
      <c r="M46" s="363">
        <v>0.1295</v>
      </c>
      <c r="N46" s="357">
        <v>0.9</v>
      </c>
    </row>
    <row r="47" spans="2:14" x14ac:dyDescent="0.2">
      <c r="B47" s="354" t="s">
        <v>568</v>
      </c>
      <c r="C47" s="333">
        <v>0.56000000000000005</v>
      </c>
      <c r="D47" s="333">
        <v>0.309</v>
      </c>
      <c r="E47" s="333">
        <v>0.26700000000000002</v>
      </c>
      <c r="F47" s="363">
        <v>0.25940000000000002</v>
      </c>
      <c r="G47" s="363">
        <v>0.12130000000000001</v>
      </c>
      <c r="H47" s="363">
        <v>0.15659999999999999</v>
      </c>
      <c r="I47" s="363">
        <v>0.20449999999999999</v>
      </c>
      <c r="J47" s="363">
        <v>0.35949999999999999</v>
      </c>
      <c r="K47" s="363">
        <v>0.35160000000000002</v>
      </c>
      <c r="L47" s="364">
        <v>1.1000000000000001</v>
      </c>
      <c r="M47" s="363">
        <v>7.6999999999999999E-2</v>
      </c>
      <c r="N47" s="357">
        <v>1.29</v>
      </c>
    </row>
    <row r="48" spans="2:14" x14ac:dyDescent="0.2">
      <c r="B48" s="354" t="s">
        <v>569</v>
      </c>
      <c r="C48" s="333">
        <v>0.218</v>
      </c>
      <c r="D48" s="333">
        <v>9.1999999999999998E-2</v>
      </c>
      <c r="E48" s="333">
        <v>7.5999999999999998E-2</v>
      </c>
      <c r="F48" s="363">
        <v>5.04E-2</v>
      </c>
      <c r="G48" s="363">
        <v>1.46E-2</v>
      </c>
      <c r="H48" s="363">
        <v>-5.7000000000000002E-2</v>
      </c>
      <c r="I48" s="363">
        <v>-6.25E-2</v>
      </c>
      <c r="J48" s="363">
        <v>-0.20430000000000001</v>
      </c>
      <c r="K48" s="363">
        <v>1.109</v>
      </c>
      <c r="L48" s="364">
        <v>2.1</v>
      </c>
      <c r="M48" s="363">
        <v>1.55E-2</v>
      </c>
      <c r="N48" s="357">
        <v>1.1100000000000001</v>
      </c>
    </row>
    <row r="49" spans="2:14" x14ac:dyDescent="0.2">
      <c r="B49" s="354" t="s">
        <v>570</v>
      </c>
      <c r="C49" s="333">
        <v>0.70599999999999996</v>
      </c>
      <c r="D49" s="333">
        <v>0.249</v>
      </c>
      <c r="E49" s="333">
        <v>0.215</v>
      </c>
      <c r="F49" s="363">
        <v>0.17469999999999999</v>
      </c>
      <c r="G49" s="363">
        <v>5.2900000000000003E-2</v>
      </c>
      <c r="H49" s="363">
        <v>0.1212</v>
      </c>
      <c r="I49" s="363">
        <v>0.14219999999999999</v>
      </c>
      <c r="J49" s="363">
        <v>0.20960000000000001</v>
      </c>
      <c r="K49" s="363">
        <v>0.69340000000000002</v>
      </c>
      <c r="L49" s="364">
        <v>1.3</v>
      </c>
      <c r="M49" s="363">
        <v>8.5800000000000001E-2</v>
      </c>
      <c r="N49" s="357">
        <v>1.23</v>
      </c>
    </row>
    <row r="50" spans="2:14" x14ac:dyDescent="0.2">
      <c r="B50" s="354" t="s">
        <v>571</v>
      </c>
      <c r="C50" s="333">
        <v>0.34599999999999997</v>
      </c>
      <c r="D50" s="333">
        <v>0.192</v>
      </c>
      <c r="E50" s="333">
        <v>0.158</v>
      </c>
      <c r="F50" s="363">
        <v>8.0799999999999997E-2</v>
      </c>
      <c r="G50" s="363">
        <v>0.38590000000000002</v>
      </c>
      <c r="H50" s="359" t="s">
        <v>120</v>
      </c>
      <c r="I50" s="359" t="s">
        <v>120</v>
      </c>
      <c r="J50" s="359" t="s">
        <v>120</v>
      </c>
      <c r="K50" s="363">
        <v>0.38440000000000002</v>
      </c>
      <c r="L50" s="364">
        <v>2.5</v>
      </c>
      <c r="M50" s="359" t="s">
        <v>120</v>
      </c>
      <c r="N50" s="357">
        <v>1.46</v>
      </c>
    </row>
    <row r="51" spans="2:14" x14ac:dyDescent="0.2">
      <c r="B51" s="354" t="s">
        <v>572</v>
      </c>
      <c r="C51" s="333">
        <v>0.311</v>
      </c>
      <c r="D51" s="333">
        <v>0.159</v>
      </c>
      <c r="E51" s="333">
        <v>7.9000000000000001E-2</v>
      </c>
      <c r="F51" s="363">
        <v>9.0300000000000005E-2</v>
      </c>
      <c r="G51" s="363">
        <v>0.112</v>
      </c>
      <c r="H51" s="363">
        <v>3.0000000000000001E-3</v>
      </c>
      <c r="I51" s="363">
        <v>5.4199999999999998E-2</v>
      </c>
      <c r="J51" s="363">
        <v>0.47510000000000002</v>
      </c>
      <c r="K51" s="363">
        <v>0.4148</v>
      </c>
      <c r="L51" s="364">
        <v>3.5</v>
      </c>
      <c r="M51" s="363">
        <v>3.7199999999999997E-2</v>
      </c>
      <c r="N51" s="357">
        <v>1.23</v>
      </c>
    </row>
    <row r="52" spans="2:14" x14ac:dyDescent="0.2">
      <c r="B52" s="354" t="s">
        <v>573</v>
      </c>
      <c r="C52" s="333">
        <v>0.38</v>
      </c>
      <c r="D52" s="333">
        <v>0.246</v>
      </c>
      <c r="E52" s="333">
        <v>0.109</v>
      </c>
      <c r="F52" s="363">
        <v>0.11169999999999999</v>
      </c>
      <c r="G52" s="363">
        <v>0.16200000000000001</v>
      </c>
      <c r="H52" s="363">
        <v>0.68369999999999997</v>
      </c>
      <c r="I52" s="363">
        <v>3.9834000000000001</v>
      </c>
      <c r="J52" s="363">
        <v>1.323</v>
      </c>
      <c r="K52" s="363">
        <v>4.5900000000000003E-2</v>
      </c>
      <c r="L52" s="364">
        <v>0.3</v>
      </c>
      <c r="M52" s="363">
        <v>0.30969999999999998</v>
      </c>
      <c r="N52" s="357">
        <v>0.74</v>
      </c>
    </row>
    <row r="53" spans="2:14" x14ac:dyDescent="0.2">
      <c r="B53" s="354" t="s">
        <v>574</v>
      </c>
      <c r="C53" s="333">
        <v>0.21199999999999999</v>
      </c>
      <c r="D53" s="333">
        <v>-0.16700000000000001</v>
      </c>
      <c r="E53" s="333">
        <v>-0.22500000000000001</v>
      </c>
      <c r="F53" s="363">
        <v>-0.2359</v>
      </c>
      <c r="G53" s="363">
        <v>-0.45610000000000001</v>
      </c>
      <c r="H53" s="359" t="s">
        <v>120</v>
      </c>
      <c r="I53" s="359" t="s">
        <v>120</v>
      </c>
      <c r="J53" s="359" t="s">
        <v>120</v>
      </c>
      <c r="K53" s="359" t="s">
        <v>120</v>
      </c>
      <c r="L53" s="359" t="s">
        <v>120</v>
      </c>
      <c r="M53" s="359" t="s">
        <v>120</v>
      </c>
      <c r="N53" s="357">
        <v>2.54</v>
      </c>
    </row>
    <row r="54" spans="2:14" x14ac:dyDescent="0.2"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</row>
    <row r="55" spans="2:14" x14ac:dyDescent="0.2">
      <c r="B55" s="362"/>
      <c r="C55" s="362"/>
      <c r="D55" s="362"/>
      <c r="E55" s="362"/>
      <c r="F55" s="362"/>
      <c r="G55" s="362"/>
      <c r="H55" s="362"/>
      <c r="I55" s="362"/>
      <c r="J55" s="362"/>
      <c r="K55" s="362"/>
      <c r="L55" s="362"/>
      <c r="M55" s="362"/>
      <c r="N55" s="362"/>
    </row>
    <row r="56" spans="2:14" x14ac:dyDescent="0.2">
      <c r="B56" s="354" t="s">
        <v>575</v>
      </c>
      <c r="C56" s="333">
        <v>0.46500000000000002</v>
      </c>
      <c r="D56" s="333">
        <v>0.34699999999999998</v>
      </c>
      <c r="E56" s="333">
        <v>0.318</v>
      </c>
      <c r="F56" s="363">
        <v>0.24299999999999999</v>
      </c>
      <c r="G56" s="363">
        <v>2.6100000000000002E-2</v>
      </c>
      <c r="H56" s="363">
        <v>5.57E-2</v>
      </c>
      <c r="I56" s="363">
        <v>5.91E-2</v>
      </c>
      <c r="J56" s="363">
        <v>-4.7199999999999999E-2</v>
      </c>
      <c r="K56" s="363">
        <v>0.59179999999999999</v>
      </c>
      <c r="L56" s="364">
        <v>0.6</v>
      </c>
      <c r="M56" s="363">
        <v>0.1067</v>
      </c>
      <c r="N56" s="357">
        <v>1.18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32FF9-7D76-5947-842B-C6BD365450B7}">
  <dimension ref="B3:F31"/>
  <sheetViews>
    <sheetView showGridLines="0" workbookViewId="0">
      <selection activeCell="K37" sqref="K37"/>
    </sheetView>
  </sheetViews>
  <sheetFormatPr baseColWidth="10" defaultRowHeight="15" x14ac:dyDescent="0.2"/>
  <cols>
    <col min="1" max="1" width="2" customWidth="1"/>
    <col min="3" max="3" width="14.5" bestFit="1" customWidth="1"/>
    <col min="5" max="5" width="15.83203125" customWidth="1"/>
  </cols>
  <sheetData>
    <row r="3" spans="2:6" x14ac:dyDescent="0.2">
      <c r="B3" s="370" t="s">
        <v>589</v>
      </c>
      <c r="C3" s="370"/>
    </row>
    <row r="4" spans="2:6" ht="16" x14ac:dyDescent="0.2">
      <c r="B4" s="373" t="s">
        <v>590</v>
      </c>
      <c r="C4" s="365"/>
    </row>
    <row r="5" spans="2:6" ht="16" x14ac:dyDescent="0.2">
      <c r="B5" s="373"/>
      <c r="C5" s="365" t="s">
        <v>591</v>
      </c>
    </row>
    <row r="6" spans="2:6" ht="16" x14ac:dyDescent="0.2">
      <c r="B6" s="366">
        <v>2025</v>
      </c>
      <c r="C6" s="367">
        <v>-4.5400000000000003E-2</v>
      </c>
      <c r="E6" t="s">
        <v>286</v>
      </c>
      <c r="F6" s="67">
        <f>AVERAGE(C6:C31)</f>
        <v>6.8726923076923074E-2</v>
      </c>
    </row>
    <row r="7" spans="2:6" ht="16" x14ac:dyDescent="0.2">
      <c r="B7" s="366">
        <v>2024</v>
      </c>
      <c r="C7" s="368">
        <v>0.2331</v>
      </c>
      <c r="E7" t="s">
        <v>592</v>
      </c>
      <c r="F7" s="369">
        <v>1.2970000000000001E-2</v>
      </c>
    </row>
    <row r="8" spans="2:6" ht="16" x14ac:dyDescent="0.2">
      <c r="B8" s="366">
        <v>2023</v>
      </c>
      <c r="C8" s="368">
        <v>0.24229999999999999</v>
      </c>
      <c r="E8" t="s">
        <v>593</v>
      </c>
      <c r="F8" s="67">
        <f>SUM(F6:F7)</f>
        <v>8.169692307692307E-2</v>
      </c>
    </row>
    <row r="9" spans="2:6" ht="16" x14ac:dyDescent="0.2">
      <c r="B9" s="366">
        <v>2022</v>
      </c>
      <c r="C9" s="367">
        <v>-0.19439999999999999</v>
      </c>
    </row>
    <row r="10" spans="2:6" ht="16" x14ac:dyDescent="0.2">
      <c r="B10" s="366">
        <v>2021</v>
      </c>
      <c r="C10" s="368">
        <v>0.26889999999999997</v>
      </c>
    </row>
    <row r="11" spans="2:6" ht="16" x14ac:dyDescent="0.2">
      <c r="B11" s="366">
        <v>2020</v>
      </c>
      <c r="C11" s="368">
        <v>0.16259999999999999</v>
      </c>
    </row>
    <row r="12" spans="2:6" ht="16" x14ac:dyDescent="0.2">
      <c r="B12" s="366">
        <v>2019</v>
      </c>
      <c r="C12" s="368">
        <v>0.2888</v>
      </c>
    </row>
    <row r="13" spans="2:6" ht="16" x14ac:dyDescent="0.2">
      <c r="B13" s="366">
        <v>2018</v>
      </c>
      <c r="C13" s="367">
        <v>-6.2399999999999997E-2</v>
      </c>
    </row>
    <row r="14" spans="2:6" ht="16" x14ac:dyDescent="0.2">
      <c r="B14" s="366">
        <v>2017</v>
      </c>
      <c r="C14" s="368">
        <v>0.19420000000000001</v>
      </c>
    </row>
    <row r="15" spans="2:6" ht="16" x14ac:dyDescent="0.2">
      <c r="B15" s="366">
        <v>2016</v>
      </c>
      <c r="C15" s="368">
        <v>9.5399999999999999E-2</v>
      </c>
    </row>
    <row r="16" spans="2:6" ht="16" x14ac:dyDescent="0.2">
      <c r="B16" s="366">
        <v>2015</v>
      </c>
      <c r="C16" s="367">
        <v>-7.3000000000000001E-3</v>
      </c>
    </row>
    <row r="17" spans="2:3" ht="16" x14ac:dyDescent="0.2">
      <c r="B17" s="366">
        <v>2014</v>
      </c>
      <c r="C17" s="368">
        <v>0.1139</v>
      </c>
    </row>
    <row r="18" spans="2:3" ht="16" x14ac:dyDescent="0.2">
      <c r="B18" s="366">
        <v>2013</v>
      </c>
      <c r="C18" s="368">
        <v>0.29599999999999999</v>
      </c>
    </row>
    <row r="19" spans="2:3" ht="16" x14ac:dyDescent="0.2">
      <c r="B19" s="366">
        <v>2012</v>
      </c>
      <c r="C19" s="368">
        <v>0.1341</v>
      </c>
    </row>
    <row r="20" spans="2:3" ht="16" x14ac:dyDescent="0.2">
      <c r="B20" s="366">
        <v>2011</v>
      </c>
      <c r="C20" s="367">
        <v>0</v>
      </c>
    </row>
    <row r="21" spans="2:3" ht="16" x14ac:dyDescent="0.2">
      <c r="B21" s="366">
        <v>2010</v>
      </c>
      <c r="C21" s="368">
        <v>0.1278</v>
      </c>
    </row>
    <row r="22" spans="2:3" ht="16" x14ac:dyDescent="0.2">
      <c r="B22" s="366">
        <v>2009</v>
      </c>
      <c r="C22" s="368">
        <v>0.23449999999999999</v>
      </c>
    </row>
    <row r="23" spans="2:3" ht="16" x14ac:dyDescent="0.2">
      <c r="B23" s="366">
        <v>2008</v>
      </c>
      <c r="C23" s="367">
        <v>-0.38490000000000002</v>
      </c>
    </row>
    <row r="24" spans="2:3" ht="16" x14ac:dyDescent="0.2">
      <c r="B24" s="366">
        <v>2007</v>
      </c>
      <c r="C24" s="368">
        <v>3.5299999999999998E-2</v>
      </c>
    </row>
    <row r="25" spans="2:3" ht="16" x14ac:dyDescent="0.2">
      <c r="B25" s="366">
        <v>2006</v>
      </c>
      <c r="C25" s="368">
        <v>0.13619999999999999</v>
      </c>
    </row>
    <row r="26" spans="2:3" ht="16" x14ac:dyDescent="0.2">
      <c r="B26" s="366">
        <v>2005</v>
      </c>
      <c r="C26" s="368">
        <v>0.03</v>
      </c>
    </row>
    <row r="27" spans="2:3" ht="16" x14ac:dyDescent="0.2">
      <c r="B27" s="366">
        <v>2004</v>
      </c>
      <c r="C27" s="368">
        <v>8.9899999999999994E-2</v>
      </c>
    </row>
    <row r="28" spans="2:3" ht="16" x14ac:dyDescent="0.2">
      <c r="B28" s="366">
        <v>2003</v>
      </c>
      <c r="C28" s="368">
        <v>0.26379999999999998</v>
      </c>
    </row>
    <row r="29" spans="2:3" ht="16" x14ac:dyDescent="0.2">
      <c r="B29" s="366">
        <v>2002</v>
      </c>
      <c r="C29" s="367">
        <v>-0.23369999999999999</v>
      </c>
    </row>
    <row r="30" spans="2:3" ht="16" x14ac:dyDescent="0.2">
      <c r="B30" s="366">
        <v>2001</v>
      </c>
      <c r="C30" s="367">
        <v>-0.13039999999999999</v>
      </c>
    </row>
    <row r="31" spans="2:3" ht="16" x14ac:dyDescent="0.2">
      <c r="B31" s="366">
        <v>2000</v>
      </c>
      <c r="C31" s="367">
        <v>-0.1014</v>
      </c>
    </row>
  </sheetData>
  <mergeCells count="2">
    <mergeCell ref="B3:C3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E13CC-5494-0F4D-B0D6-57466BCCE31C}">
  <sheetPr>
    <tabColor theme="3" tint="9.9978637043366805E-2"/>
  </sheetPr>
  <dimension ref="A1"/>
  <sheetViews>
    <sheetView showGridLines="0" workbookViewId="0">
      <selection activeCell="H39" sqref="H39"/>
    </sheetView>
  </sheetViews>
  <sheetFormatPr baseColWidth="10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04E4D-449D-F248-89F4-78D9B2FAAC96}">
  <sheetPr>
    <pageSetUpPr fitToPage="1"/>
  </sheetPr>
  <dimension ref="A4:P285"/>
  <sheetViews>
    <sheetView showGridLines="0" topLeftCell="A4" zoomScale="85" workbookViewId="0">
      <selection activeCell="D305" sqref="D305"/>
    </sheetView>
  </sheetViews>
  <sheetFormatPr baseColWidth="10" defaultColWidth="15.83203125" defaultRowHeight="15" outlineLevelRow="1" x14ac:dyDescent="0.2"/>
  <cols>
    <col min="1" max="1" width="2" customWidth="1"/>
    <col min="2" max="2" width="31" bestFit="1" customWidth="1"/>
  </cols>
  <sheetData>
    <row r="4" spans="1:16" s="27" customFormat="1" ht="21" x14ac:dyDescent="0.25">
      <c r="B4" s="157" t="s">
        <v>170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</row>
    <row r="6" spans="1:16" x14ac:dyDescent="0.2">
      <c r="A6" t="s">
        <v>0</v>
      </c>
      <c r="B6" s="1" t="s">
        <v>39</v>
      </c>
      <c r="C6" s="36"/>
      <c r="D6" s="36"/>
      <c r="E6" s="36"/>
      <c r="F6" s="36"/>
      <c r="G6" s="36"/>
      <c r="H6" s="36"/>
      <c r="I6" s="36"/>
      <c r="J6" s="36"/>
      <c r="K6" s="36"/>
      <c r="L6" s="37"/>
      <c r="M6" s="37"/>
      <c r="N6" s="37"/>
      <c r="O6" s="37"/>
      <c r="P6" s="37"/>
    </row>
    <row r="7" spans="1:16" ht="5" customHeight="1" outlineLevel="1" x14ac:dyDescent="0.2"/>
    <row r="8" spans="1:16" outlineLevel="1" x14ac:dyDescent="0.2">
      <c r="B8" t="s">
        <v>40</v>
      </c>
      <c r="E8" s="38" t="s">
        <v>41</v>
      </c>
      <c r="J8" s="16" t="s">
        <v>42</v>
      </c>
      <c r="K8" s="39">
        <f ca="1">K285</f>
        <v>0.21538396630042689</v>
      </c>
    </row>
    <row r="9" spans="1:16" outlineLevel="1" x14ac:dyDescent="0.2">
      <c r="B9" t="s">
        <v>43</v>
      </c>
      <c r="E9" s="38">
        <v>2</v>
      </c>
      <c r="F9" s="40" t="str">
        <f>IF(E9=1,"Conservative","Management")</f>
        <v>Management</v>
      </c>
      <c r="J9" s="16" t="s">
        <v>44</v>
      </c>
      <c r="K9" s="41" t="str">
        <f ca="1">G222</f>
        <v>OK</v>
      </c>
    </row>
    <row r="11" spans="1:16" x14ac:dyDescent="0.2">
      <c r="A11" t="s">
        <v>0</v>
      </c>
      <c r="B11" s="1" t="s">
        <v>45</v>
      </c>
      <c r="C11" s="36"/>
      <c r="D11" s="36"/>
      <c r="E11" s="36"/>
      <c r="F11" s="36"/>
      <c r="G11" s="36"/>
      <c r="H11" s="36"/>
      <c r="I11" s="36"/>
      <c r="J11" s="36"/>
      <c r="K11" s="36"/>
    </row>
    <row r="12" spans="1:16" ht="5" customHeight="1" outlineLevel="1" x14ac:dyDescent="0.2"/>
    <row r="13" spans="1:16" outlineLevel="1" x14ac:dyDescent="0.2">
      <c r="B13" s="2" t="s">
        <v>46</v>
      </c>
      <c r="C13" s="42"/>
      <c r="D13" s="42"/>
      <c r="E13" s="42"/>
      <c r="H13" s="2" t="s">
        <v>47</v>
      </c>
      <c r="I13" s="42"/>
      <c r="J13" s="42"/>
      <c r="K13" s="42"/>
    </row>
    <row r="14" spans="1:16" outlineLevel="1" x14ac:dyDescent="0.2">
      <c r="B14" t="s">
        <v>48</v>
      </c>
      <c r="E14" s="38" t="s">
        <v>49</v>
      </c>
      <c r="H14" s="16" t="s">
        <v>50</v>
      </c>
      <c r="K14" s="43">
        <v>24</v>
      </c>
    </row>
    <row r="15" spans="1:16" outlineLevel="1" x14ac:dyDescent="0.2">
      <c r="B15" t="s">
        <v>51</v>
      </c>
      <c r="E15" s="38" t="s">
        <v>52</v>
      </c>
      <c r="H15" s="17" t="s">
        <v>53</v>
      </c>
      <c r="K15" s="44">
        <f>K14/E16-1</f>
        <v>0.27253446447507956</v>
      </c>
    </row>
    <row r="16" spans="1:16" outlineLevel="1" x14ac:dyDescent="0.2">
      <c r="B16" t="s">
        <v>54</v>
      </c>
      <c r="E16" s="45">
        <v>18.86</v>
      </c>
    </row>
    <row r="17" spans="2:12" outlineLevel="1" x14ac:dyDescent="0.2">
      <c r="B17" t="s">
        <v>55</v>
      </c>
      <c r="E17" s="46">
        <v>40422</v>
      </c>
      <c r="H17" s="16" t="s">
        <v>56</v>
      </c>
      <c r="K17" s="47">
        <f>K18*K14</f>
        <v>3325.4114079999999</v>
      </c>
    </row>
    <row r="18" spans="2:12" outlineLevel="1" x14ac:dyDescent="0.2">
      <c r="E18" s="48"/>
      <c r="H18" t="s">
        <v>57</v>
      </c>
      <c r="K18" s="49">
        <f>'[1]Shares 2'!E16</f>
        <v>138.55880866666666</v>
      </c>
    </row>
    <row r="19" spans="2:12" outlineLevel="1" x14ac:dyDescent="0.2"/>
    <row r="20" spans="2:12" outlineLevel="1" x14ac:dyDescent="0.2">
      <c r="B20" s="2" t="s">
        <v>58</v>
      </c>
      <c r="C20" s="42"/>
      <c r="D20" s="42"/>
      <c r="E20" s="42"/>
      <c r="H20" s="17" t="s">
        <v>59</v>
      </c>
      <c r="K20" s="50">
        <f>E22</f>
        <v>755.4</v>
      </c>
    </row>
    <row r="21" spans="2:12" outlineLevel="1" x14ac:dyDescent="0.2">
      <c r="B21" t="s">
        <v>60</v>
      </c>
      <c r="E21" s="45">
        <f>F98</f>
        <v>444.59999999999962</v>
      </c>
      <c r="H21" s="17" t="s">
        <v>61</v>
      </c>
      <c r="K21" s="50">
        <f>E23</f>
        <v>187.6</v>
      </c>
    </row>
    <row r="22" spans="2:12" outlineLevel="1" x14ac:dyDescent="0.2">
      <c r="B22" t="s">
        <v>62</v>
      </c>
      <c r="E22" s="45">
        <f>667.7+93.3-5.6</f>
        <v>755.4</v>
      </c>
    </row>
    <row r="23" spans="2:12" outlineLevel="1" x14ac:dyDescent="0.2">
      <c r="B23" t="s">
        <v>61</v>
      </c>
      <c r="E23" s="45">
        <v>187.6</v>
      </c>
      <c r="H23" s="16" t="s">
        <v>63</v>
      </c>
      <c r="K23" s="47">
        <f>K17+K20-K21</f>
        <v>3893.2114080000001</v>
      </c>
    </row>
    <row r="24" spans="2:12" outlineLevel="1" x14ac:dyDescent="0.2">
      <c r="B24" t="s">
        <v>64</v>
      </c>
      <c r="E24" s="45">
        <f>E23-69.4</f>
        <v>118.19999999999999</v>
      </c>
      <c r="H24" t="s">
        <v>60</v>
      </c>
      <c r="K24" s="51">
        <f>E21</f>
        <v>444.59999999999962</v>
      </c>
    </row>
    <row r="25" spans="2:12" outlineLevel="1" x14ac:dyDescent="0.2">
      <c r="B25" t="s">
        <v>33</v>
      </c>
      <c r="E25" s="52">
        <f>K25</f>
        <v>8.7566608367071606</v>
      </c>
      <c r="H25" s="16" t="s">
        <v>65</v>
      </c>
      <c r="K25" s="53">
        <f>K23/K24</f>
        <v>8.7566608367071606</v>
      </c>
    </row>
    <row r="26" spans="2:12" outlineLevel="1" x14ac:dyDescent="0.2"/>
    <row r="27" spans="2:12" outlineLevel="1" x14ac:dyDescent="0.2">
      <c r="B27" s="2" t="s">
        <v>66</v>
      </c>
      <c r="C27" s="42"/>
      <c r="D27" s="42"/>
      <c r="E27" s="42"/>
      <c r="F27" s="42"/>
      <c r="G27" s="42"/>
      <c r="H27" s="42"/>
      <c r="I27" s="42"/>
      <c r="J27" s="42"/>
      <c r="K27" s="42"/>
    </row>
    <row r="28" spans="2:12" outlineLevel="1" x14ac:dyDescent="0.2">
      <c r="E28" s="54" t="s">
        <v>67</v>
      </c>
      <c r="F28" s="54" t="s">
        <v>68</v>
      </c>
      <c r="G28" s="54" t="s">
        <v>69</v>
      </c>
      <c r="H28" s="54" t="s">
        <v>70</v>
      </c>
      <c r="I28" s="54" t="s">
        <v>71</v>
      </c>
      <c r="J28" s="54" t="s">
        <v>72</v>
      </c>
      <c r="K28" s="54" t="s">
        <v>73</v>
      </c>
    </row>
    <row r="29" spans="2:12" outlineLevel="1" x14ac:dyDescent="0.2">
      <c r="B29" t="s">
        <v>25</v>
      </c>
      <c r="E29" s="55">
        <v>0</v>
      </c>
      <c r="F29" s="56">
        <f>E29/$E$21</f>
        <v>0</v>
      </c>
      <c r="G29" s="57">
        <v>4.4999999999999998E-2</v>
      </c>
      <c r="H29" s="58">
        <v>2.5000000000000001E-2</v>
      </c>
      <c r="I29" s="51">
        <f>E29*H29</f>
        <v>0</v>
      </c>
      <c r="J29" s="59">
        <v>5</v>
      </c>
      <c r="K29" s="51">
        <f>I29/J29</f>
        <v>0</v>
      </c>
    </row>
    <row r="30" spans="2:12" outlineLevel="1" x14ac:dyDescent="0.2">
      <c r="B30" t="s">
        <v>74</v>
      </c>
      <c r="E30" s="55">
        <v>1510</v>
      </c>
      <c r="F30" s="56">
        <f>E30/$E$21</f>
        <v>3.3963112910481361</v>
      </c>
      <c r="G30" s="57">
        <v>6.8199999999999997E-2</v>
      </c>
      <c r="H30" s="58">
        <v>2.7E-2</v>
      </c>
      <c r="I30" s="51">
        <f>E30*H30</f>
        <v>40.769999999999996</v>
      </c>
      <c r="J30" s="59">
        <v>6</v>
      </c>
      <c r="K30" s="51">
        <f>I30/J30</f>
        <v>6.794999999999999</v>
      </c>
    </row>
    <row r="31" spans="2:12" outlineLevel="1" x14ac:dyDescent="0.2">
      <c r="B31" t="s">
        <v>75</v>
      </c>
      <c r="E31" s="55">
        <v>334.2</v>
      </c>
      <c r="F31" s="56">
        <f t="shared" ref="F31:F33" si="0">E31/$E$21</f>
        <v>0.75168690958164708</v>
      </c>
      <c r="G31" s="57">
        <v>7.1099999999999997E-2</v>
      </c>
      <c r="H31" s="58">
        <v>2.5100000000000001E-2</v>
      </c>
      <c r="I31" s="51">
        <f t="shared" ref="I31:I33" si="1">E31*H31</f>
        <v>8.38842</v>
      </c>
      <c r="J31" s="59">
        <v>6</v>
      </c>
      <c r="K31" s="51">
        <f t="shared" ref="K31:K33" si="2">I31/J31</f>
        <v>1.3980699999999999</v>
      </c>
    </row>
    <row r="32" spans="2:12" outlineLevel="1" x14ac:dyDescent="0.2">
      <c r="B32" t="s">
        <v>76</v>
      </c>
      <c r="E32" s="55">
        <v>800</v>
      </c>
      <c r="F32" s="56">
        <f t="shared" si="0"/>
        <v>1.7993702204228534</v>
      </c>
      <c r="G32" s="57">
        <v>0.1019</v>
      </c>
      <c r="H32" s="58">
        <v>2.5051975000000015E-2</v>
      </c>
      <c r="I32" s="51">
        <f t="shared" si="1"/>
        <v>20.04158000000001</v>
      </c>
      <c r="J32" s="59">
        <v>8</v>
      </c>
      <c r="K32" s="51">
        <f t="shared" si="2"/>
        <v>2.5051975000000013</v>
      </c>
      <c r="L32" s="54" t="s">
        <v>77</v>
      </c>
    </row>
    <row r="33" spans="1:12" outlineLevel="1" x14ac:dyDescent="0.2">
      <c r="B33" t="s">
        <v>78</v>
      </c>
      <c r="E33" s="55">
        <v>0</v>
      </c>
      <c r="F33" s="56">
        <f t="shared" si="0"/>
        <v>0</v>
      </c>
      <c r="G33" s="57">
        <v>0.1</v>
      </c>
      <c r="H33" s="58">
        <v>2.5000000000000001E-2</v>
      </c>
      <c r="I33" s="51">
        <f t="shared" si="1"/>
        <v>0</v>
      </c>
      <c r="J33" s="59">
        <v>5</v>
      </c>
      <c r="K33" s="51">
        <f t="shared" si="2"/>
        <v>0</v>
      </c>
      <c r="L33" s="60">
        <v>0.05</v>
      </c>
    </row>
    <row r="34" spans="1:12" outlineLevel="1" x14ac:dyDescent="0.2">
      <c r="B34" s="61" t="s">
        <v>79</v>
      </c>
      <c r="C34" s="62"/>
      <c r="D34" s="62"/>
      <c r="E34" s="63">
        <f>SUM(E29:E33)</f>
        <v>2644.2</v>
      </c>
      <c r="F34" s="64">
        <f>SUM(F29:F33)</f>
        <v>5.9473684210526372</v>
      </c>
      <c r="G34" s="62"/>
      <c r="H34" s="62"/>
      <c r="I34" s="63">
        <f>SUM(I29:I33)</f>
        <v>69.2</v>
      </c>
      <c r="J34" s="62"/>
      <c r="K34" s="65">
        <f>SUM(K29:K33)</f>
        <v>10.6982675</v>
      </c>
    </row>
    <row r="36" spans="1:12" x14ac:dyDescent="0.2">
      <c r="A36" t="s">
        <v>0</v>
      </c>
      <c r="B36" s="1" t="s">
        <v>80</v>
      </c>
      <c r="C36" s="36"/>
      <c r="D36" s="36"/>
      <c r="E36" s="36"/>
      <c r="F36" s="36"/>
      <c r="G36" s="36"/>
      <c r="H36" s="36"/>
      <c r="I36" s="36"/>
      <c r="J36" s="36"/>
      <c r="K36" s="36"/>
    </row>
    <row r="37" spans="1:12" ht="5" customHeight="1" outlineLevel="1" x14ac:dyDescent="0.2"/>
    <row r="38" spans="1:12" outlineLevel="1" x14ac:dyDescent="0.2">
      <c r="B38" s="2" t="s">
        <v>81</v>
      </c>
      <c r="C38" s="42"/>
      <c r="D38" s="42"/>
      <c r="E38" s="42"/>
      <c r="H38" s="2" t="s">
        <v>82</v>
      </c>
      <c r="I38" s="42"/>
      <c r="J38" s="42"/>
      <c r="K38" s="42"/>
    </row>
    <row r="39" spans="1:12" outlineLevel="1" x14ac:dyDescent="0.2">
      <c r="C39" s="54" t="s">
        <v>84</v>
      </c>
      <c r="D39" s="54" t="s">
        <v>68</v>
      </c>
      <c r="E39" s="54" t="s">
        <v>85</v>
      </c>
      <c r="I39" s="54" t="s">
        <v>84</v>
      </c>
      <c r="J39" s="54" t="s">
        <v>68</v>
      </c>
      <c r="K39" s="54" t="s">
        <v>85</v>
      </c>
    </row>
    <row r="40" spans="1:12" outlineLevel="1" x14ac:dyDescent="0.2">
      <c r="B40" t="str">
        <f>B29</f>
        <v>Revolver</v>
      </c>
      <c r="C40" s="66">
        <f>E29</f>
        <v>0</v>
      </c>
      <c r="D40" s="56">
        <f>C40/$E$21</f>
        <v>0</v>
      </c>
      <c r="E40" s="67">
        <f t="shared" ref="E40:E46" si="3">C40/$C$48</f>
        <v>0</v>
      </c>
      <c r="I40" s="54"/>
      <c r="J40" s="54"/>
      <c r="K40" s="54"/>
    </row>
    <row r="41" spans="1:12" outlineLevel="1" x14ac:dyDescent="0.2">
      <c r="B41" t="str">
        <f>B30</f>
        <v>Secured Term Loan - USD Tranche</v>
      </c>
      <c r="C41" s="50">
        <f>E30</f>
        <v>1510</v>
      </c>
      <c r="D41" s="56">
        <f>C41/$E$21</f>
        <v>3.3963112910481361</v>
      </c>
      <c r="E41" s="67">
        <f t="shared" si="3"/>
        <v>0.35333208536128785</v>
      </c>
      <c r="H41" t="s">
        <v>86</v>
      </c>
      <c r="I41" s="50">
        <f>K17</f>
        <v>3325.4114079999999</v>
      </c>
      <c r="J41" s="56">
        <f>I41/$E$21</f>
        <v>7.4795578227620396</v>
      </c>
      <c r="K41" s="67">
        <f>I41/$I$48</f>
        <v>0.77812883938599764</v>
      </c>
    </row>
    <row r="42" spans="1:12" outlineLevel="1" x14ac:dyDescent="0.2">
      <c r="B42" t="str">
        <f>B31</f>
        <v>Secured Term Loan - EUR Tranche</v>
      </c>
      <c r="C42" s="50">
        <f>E31</f>
        <v>334.2</v>
      </c>
      <c r="D42" s="56">
        <f t="shared" ref="D42:D46" si="4">C42/$E$21</f>
        <v>0.75168690958164708</v>
      </c>
      <c r="E42" s="67">
        <f t="shared" si="3"/>
        <v>7.8201048296518152E-2</v>
      </c>
      <c r="H42" t="s">
        <v>87</v>
      </c>
      <c r="I42" s="50">
        <f>E22</f>
        <v>755.4</v>
      </c>
      <c r="J42" s="56">
        <f t="shared" ref="J42:J46" si="5">I42/$E$21</f>
        <v>1.6990553306342795</v>
      </c>
      <c r="K42" s="67">
        <f>I42/$I$48</f>
        <v>0.17675964058405089</v>
      </c>
    </row>
    <row r="43" spans="1:12" outlineLevel="1" x14ac:dyDescent="0.2">
      <c r="B43" t="str">
        <f>B32</f>
        <v>Senior Notes</v>
      </c>
      <c r="C43" s="50">
        <f>E32</f>
        <v>800</v>
      </c>
      <c r="D43" s="56">
        <f t="shared" si="4"/>
        <v>1.7993702204228534</v>
      </c>
      <c r="E43" s="67">
        <f t="shared" si="3"/>
        <v>0.18719580681392736</v>
      </c>
      <c r="H43" t="s">
        <v>88</v>
      </c>
      <c r="I43" s="68">
        <f>91.2</f>
        <v>91.2</v>
      </c>
      <c r="J43" s="56">
        <f t="shared" si="5"/>
        <v>0.20512820512820532</v>
      </c>
      <c r="K43" s="67">
        <f>I43/$I$48</f>
        <v>2.1340321976787719E-2</v>
      </c>
    </row>
    <row r="44" spans="1:12" outlineLevel="1" x14ac:dyDescent="0.2">
      <c r="B44" t="str">
        <f>B33</f>
        <v>Subordinated Notes</v>
      </c>
      <c r="C44" s="50">
        <f>E33</f>
        <v>0</v>
      </c>
      <c r="D44" s="56">
        <f t="shared" si="4"/>
        <v>0</v>
      </c>
      <c r="E44" s="67">
        <f t="shared" si="3"/>
        <v>0</v>
      </c>
      <c r="I44" s="68"/>
      <c r="J44" s="56"/>
      <c r="K44" s="67"/>
    </row>
    <row r="45" spans="1:12" outlineLevel="1" x14ac:dyDescent="0.2">
      <c r="B45" t="s">
        <v>89</v>
      </c>
      <c r="C45" s="51">
        <f>E23-E24</f>
        <v>69.400000000000006</v>
      </c>
      <c r="D45" s="56">
        <f t="shared" si="4"/>
        <v>0.15609536662168255</v>
      </c>
      <c r="E45" s="67">
        <f t="shared" si="3"/>
        <v>1.62392362411082E-2</v>
      </c>
      <c r="H45" t="s">
        <v>90</v>
      </c>
      <c r="I45" s="50">
        <f>I34</f>
        <v>69.2</v>
      </c>
      <c r="J45" s="56">
        <f t="shared" si="5"/>
        <v>0.15564552406657683</v>
      </c>
      <c r="K45" s="67">
        <f>I45/$I$48</f>
        <v>1.6192437289404716E-2</v>
      </c>
    </row>
    <row r="46" spans="1:12" outlineLevel="1" x14ac:dyDescent="0.2">
      <c r="B46" t="s">
        <v>91</v>
      </c>
      <c r="C46" s="51">
        <f>C48-SUM(C40:C45)</f>
        <v>1560.0000000000005</v>
      </c>
      <c r="D46" s="56">
        <f t="shared" si="4"/>
        <v>3.5087719298245652</v>
      </c>
      <c r="E46" s="67">
        <f t="shared" si="3"/>
        <v>0.36503182328715844</v>
      </c>
      <c r="F46" s="18"/>
      <c r="H46" t="s">
        <v>92</v>
      </c>
      <c r="I46" s="68">
        <v>32.38859199999979</v>
      </c>
      <c r="J46" s="56">
        <f t="shared" si="5"/>
        <v>7.2848834907781865E-2</v>
      </c>
      <c r="K46" s="67">
        <f>I46/$I$48</f>
        <v>7.5787607637588421E-3</v>
      </c>
    </row>
    <row r="47" spans="1:12" outlineLevel="1" x14ac:dyDescent="0.2">
      <c r="I47" s="51"/>
    </row>
    <row r="48" spans="1:12" outlineLevel="1" x14ac:dyDescent="0.2">
      <c r="B48" s="61" t="s">
        <v>79</v>
      </c>
      <c r="C48" s="63">
        <f>I48</f>
        <v>4273.6000000000004</v>
      </c>
      <c r="D48" s="64">
        <f>SUM(D40:D46)</f>
        <v>9.6122357174988853</v>
      </c>
      <c r="E48" s="69">
        <f>SUM(E40:E46)</f>
        <v>1</v>
      </c>
      <c r="G48" s="18"/>
      <c r="H48" s="61" t="s">
        <v>93</v>
      </c>
      <c r="I48" s="63">
        <f>SUM(I41:I46)</f>
        <v>4273.6000000000004</v>
      </c>
      <c r="J48" s="64">
        <f>SUM(J41:J46)</f>
        <v>9.6122357174988853</v>
      </c>
      <c r="K48" s="69">
        <f>SUM(K41:K46)</f>
        <v>0.99999999999999978</v>
      </c>
    </row>
    <row r="50" spans="1:13" x14ac:dyDescent="0.2">
      <c r="A50" t="s">
        <v>0</v>
      </c>
      <c r="B50" s="1" t="s">
        <v>94</v>
      </c>
      <c r="C50" s="36"/>
      <c r="D50" s="36"/>
      <c r="E50" s="36"/>
      <c r="F50" s="36"/>
      <c r="G50" s="36"/>
      <c r="H50" s="36"/>
      <c r="I50" s="36"/>
      <c r="J50" s="36"/>
      <c r="K50" s="36"/>
    </row>
    <row r="51" spans="1:13" ht="5" customHeight="1" outlineLevel="1" x14ac:dyDescent="0.2"/>
    <row r="52" spans="1:13" outlineLevel="1" x14ac:dyDescent="0.2">
      <c r="A52" t="s">
        <v>0</v>
      </c>
      <c r="B52" s="2" t="s">
        <v>45</v>
      </c>
      <c r="C52" s="42"/>
      <c r="D52" s="70">
        <f>2008</f>
        <v>2008</v>
      </c>
      <c r="E52" s="70">
        <f>D52+1</f>
        <v>2009</v>
      </c>
      <c r="F52" s="70">
        <f>E52+1</f>
        <v>2010</v>
      </c>
      <c r="G52" s="71">
        <f t="shared" ref="G52:K52" si="6">F52+1</f>
        <v>2011</v>
      </c>
      <c r="H52" s="71">
        <f t="shared" si="6"/>
        <v>2012</v>
      </c>
      <c r="I52" s="71">
        <f t="shared" si="6"/>
        <v>2013</v>
      </c>
      <c r="J52" s="71">
        <f t="shared" si="6"/>
        <v>2014</v>
      </c>
      <c r="K52" s="71">
        <f t="shared" si="6"/>
        <v>2015</v>
      </c>
      <c r="M52" s="72" t="s">
        <v>95</v>
      </c>
    </row>
    <row r="53" spans="1:13" ht="5" customHeight="1" outlineLevel="1" x14ac:dyDescent="0.2">
      <c r="B53" s="73"/>
      <c r="C53" s="37"/>
      <c r="D53" s="37"/>
      <c r="E53" s="37"/>
      <c r="F53" s="37"/>
      <c r="G53" s="37"/>
      <c r="H53" s="37"/>
      <c r="I53" s="37"/>
      <c r="J53" s="37"/>
      <c r="K53" s="37"/>
    </row>
    <row r="54" spans="1:13" outlineLevel="1" x14ac:dyDescent="0.2">
      <c r="B54" s="37" t="s">
        <v>96</v>
      </c>
      <c r="C54" s="74"/>
      <c r="D54" s="75" t="s">
        <v>97</v>
      </c>
      <c r="E54" s="76">
        <f>E61/D61-1</f>
        <v>3.3690471340693584E-2</v>
      </c>
      <c r="F54" s="76">
        <f>F61/E61-1</f>
        <v>-1.3872467880507666E-2</v>
      </c>
      <c r="G54" s="76">
        <f t="shared" ref="G54:K54" si="7">G61/F61-1</f>
        <v>2.8694748621213462E-2</v>
      </c>
      <c r="H54" s="76">
        <f t="shared" si="7"/>
        <v>-0.18337218337218342</v>
      </c>
      <c r="I54" s="76">
        <f t="shared" si="7"/>
        <v>-0.10371075166508092</v>
      </c>
      <c r="J54" s="76">
        <f t="shared" si="7"/>
        <v>1.3800424628450214E-2</v>
      </c>
      <c r="K54" s="76">
        <f t="shared" si="7"/>
        <v>5.9685863874345602E-2</v>
      </c>
      <c r="M54" s="77" t="s">
        <v>98</v>
      </c>
    </row>
    <row r="55" spans="1:13" outlineLevel="1" x14ac:dyDescent="0.2">
      <c r="B55" s="37" t="s">
        <v>99</v>
      </c>
      <c r="C55" s="74"/>
      <c r="D55" s="76">
        <f>D67/D61</f>
        <v>0.37344685704974129</v>
      </c>
      <c r="E55" s="76">
        <f t="shared" ref="E55:F55" si="8">E67/E61</f>
        <v>0.35221092456845593</v>
      </c>
      <c r="F55" s="76">
        <f t="shared" si="8"/>
        <v>0.35464790983934136</v>
      </c>
      <c r="G55" s="78">
        <f>F55</f>
        <v>0.35464790983934136</v>
      </c>
      <c r="H55" s="79">
        <f t="shared" ref="H55:K55" si="9">G55+$M$55</f>
        <v>0.37214790983934137</v>
      </c>
      <c r="I55" s="79">
        <f t="shared" si="9"/>
        <v>0.38964790983934139</v>
      </c>
      <c r="J55" s="79">
        <f t="shared" si="9"/>
        <v>0.4071479098393414</v>
      </c>
      <c r="K55" s="79">
        <f t="shared" si="9"/>
        <v>0.42464790983934142</v>
      </c>
      <c r="M55" s="77">
        <v>1.7500000000000002E-2</v>
      </c>
    </row>
    <row r="56" spans="1:13" outlineLevel="1" x14ac:dyDescent="0.2">
      <c r="B56" s="37" t="s">
        <v>100</v>
      </c>
      <c r="C56" s="74"/>
      <c r="D56" s="80">
        <f>D70/D61</f>
        <v>0.22915223856275718</v>
      </c>
      <c r="E56" s="80">
        <f t="shared" ref="E56:F56" si="10">E70/E61</f>
        <v>0.2184519586978797</v>
      </c>
      <c r="F56" s="80">
        <f t="shared" si="10"/>
        <v>0.22160498761090253</v>
      </c>
      <c r="G56" s="78">
        <f>F56</f>
        <v>0.22160498761090253</v>
      </c>
      <c r="H56" s="79">
        <f>G56-$M$56</f>
        <v>0.19960498761090253</v>
      </c>
      <c r="I56" s="79">
        <f t="shared" ref="I56:K56" si="11">H56-$M$56</f>
        <v>0.17760498761090254</v>
      </c>
      <c r="J56" s="79">
        <f t="shared" si="11"/>
        <v>0.15560498761090255</v>
      </c>
      <c r="K56" s="79">
        <f t="shared" si="11"/>
        <v>0.13360498761090256</v>
      </c>
      <c r="M56" s="77">
        <v>2.1999999999999999E-2</v>
      </c>
    </row>
    <row r="57" spans="1:13" outlineLevel="1" x14ac:dyDescent="0.2">
      <c r="B57" s="37" t="s">
        <v>101</v>
      </c>
      <c r="C57" s="74"/>
      <c r="D57" s="80">
        <f>D88/D85</f>
        <v>0.35290102389078526</v>
      </c>
      <c r="E57" s="80">
        <f t="shared" ref="E57:F57" si="12">E88/E85</f>
        <v>0.29740168539325834</v>
      </c>
      <c r="F57" s="80">
        <f t="shared" si="12"/>
        <v>0.34294759057333851</v>
      </c>
      <c r="G57" s="79">
        <f>F57-$M$57</f>
        <v>0.33794759057333851</v>
      </c>
      <c r="H57" s="79">
        <f t="shared" ref="H57:K57" si="13">G57-$M$57</f>
        <v>0.3329475905733385</v>
      </c>
      <c r="I57" s="79">
        <f t="shared" si="13"/>
        <v>0.3279475905733385</v>
      </c>
      <c r="J57" s="79">
        <f t="shared" si="13"/>
        <v>0.32294759057333849</v>
      </c>
      <c r="K57" s="79">
        <f t="shared" si="13"/>
        <v>0.31794759057333849</v>
      </c>
      <c r="M57" s="77">
        <v>5.0000000000000001E-3</v>
      </c>
    </row>
    <row r="59" spans="1:13" x14ac:dyDescent="0.2">
      <c r="A59" t="s">
        <v>0</v>
      </c>
      <c r="B59" s="81" t="s">
        <v>2</v>
      </c>
      <c r="C59" s="82"/>
      <c r="D59" s="70">
        <f>2008</f>
        <v>2008</v>
      </c>
      <c r="E59" s="70">
        <f>D59+1</f>
        <v>2009</v>
      </c>
      <c r="F59" s="70">
        <f>E59+1</f>
        <v>2010</v>
      </c>
      <c r="G59" s="71">
        <f t="shared" ref="G59:K59" si="14">F59+1</f>
        <v>2011</v>
      </c>
      <c r="H59" s="71">
        <f t="shared" si="14"/>
        <v>2012</v>
      </c>
      <c r="I59" s="71">
        <f t="shared" si="14"/>
        <v>2013</v>
      </c>
      <c r="J59" s="71">
        <f t="shared" si="14"/>
        <v>2014</v>
      </c>
      <c r="K59" s="71">
        <f t="shared" si="14"/>
        <v>2015</v>
      </c>
    </row>
    <row r="60" spans="1:13" ht="5" customHeight="1" outlineLevel="1" x14ac:dyDescent="0.2"/>
    <row r="61" spans="1:13" outlineLevel="1" x14ac:dyDescent="0.2">
      <c r="B61" t="s">
        <v>3</v>
      </c>
      <c r="D61" s="68">
        <v>2454.6999999999998</v>
      </c>
      <c r="E61" s="68">
        <v>2537.4</v>
      </c>
      <c r="F61" s="68">
        <v>2502.1999999999998</v>
      </c>
      <c r="G61" s="68">
        <v>2574</v>
      </c>
      <c r="H61" s="68">
        <v>2102</v>
      </c>
      <c r="I61" s="68">
        <v>1884</v>
      </c>
      <c r="J61" s="68">
        <v>1910</v>
      </c>
      <c r="K61" s="68">
        <v>2024</v>
      </c>
    </row>
    <row r="62" spans="1:13" outlineLevel="1" x14ac:dyDescent="0.2">
      <c r="B62" s="83" t="s">
        <v>4</v>
      </c>
      <c r="D62" s="84" t="str">
        <f>D54</f>
        <v>--</v>
      </c>
      <c r="E62" s="85">
        <f t="shared" ref="E62:K62" si="15">E54</f>
        <v>3.3690471340693584E-2</v>
      </c>
      <c r="F62" s="85">
        <f t="shared" si="15"/>
        <v>-1.3872467880507666E-2</v>
      </c>
      <c r="G62" s="85">
        <f t="shared" si="15"/>
        <v>2.8694748621213462E-2</v>
      </c>
      <c r="H62" s="85">
        <f t="shared" si="15"/>
        <v>-0.18337218337218342</v>
      </c>
      <c r="I62" s="85">
        <f t="shared" si="15"/>
        <v>-0.10371075166508092</v>
      </c>
      <c r="J62" s="85">
        <f t="shared" si="15"/>
        <v>1.3800424628450214E-2</v>
      </c>
      <c r="K62" s="85">
        <f t="shared" si="15"/>
        <v>5.9685863874345602E-2</v>
      </c>
    </row>
    <row r="63" spans="1:13" outlineLevel="1" x14ac:dyDescent="0.2"/>
    <row r="64" spans="1:13" outlineLevel="1" x14ac:dyDescent="0.2">
      <c r="B64" t="s">
        <v>5</v>
      </c>
      <c r="D64" s="68">
        <v>1538</v>
      </c>
      <c r="E64" s="68">
        <f>1643.7</f>
        <v>1643.7</v>
      </c>
      <c r="F64" s="68">
        <v>1614.8</v>
      </c>
      <c r="G64" s="86" t="str">
        <f>IF(CASE=2,"--",G61-G67)</f>
        <v>--</v>
      </c>
      <c r="H64" s="86" t="str">
        <f>IF(CASE=2,"--",H61-H67)</f>
        <v>--</v>
      </c>
      <c r="I64" s="86" t="str">
        <f>IF(CASE=2,"--",I61-I67)</f>
        <v>--</v>
      </c>
      <c r="J64" s="86" t="str">
        <f>IF(CASE=2,"--",J61-J67)</f>
        <v>--</v>
      </c>
      <c r="K64" s="86" t="str">
        <f>IF(CASE=2,"--",K61-K67)</f>
        <v>--</v>
      </c>
    </row>
    <row r="65" spans="2:11" outlineLevel="1" x14ac:dyDescent="0.2">
      <c r="B65" s="83" t="s">
        <v>102</v>
      </c>
      <c r="D65" s="87">
        <f>D64/D$61</f>
        <v>0.62655314295025877</v>
      </c>
      <c r="E65" s="87">
        <f>E64/E$61</f>
        <v>0.64778907543154407</v>
      </c>
      <c r="F65" s="87">
        <f>F64/F$61</f>
        <v>0.64535209016065864</v>
      </c>
      <c r="G65" s="87" t="str">
        <f>IF(CASE=2,"--",G64/G61)</f>
        <v>--</v>
      </c>
      <c r="H65" s="87" t="str">
        <f>IF(CASE=2,"--",H64/H61)</f>
        <v>--</v>
      </c>
      <c r="I65" s="87" t="str">
        <f>IF(CASE=2,"--",I64/I61)</f>
        <v>--</v>
      </c>
      <c r="J65" s="87" t="str">
        <f>IF(CASE=2,"--",J64/J61)</f>
        <v>--</v>
      </c>
      <c r="K65" s="87" t="str">
        <f>IF(CASE=2,"--",K64/K61)</f>
        <v>--</v>
      </c>
    </row>
    <row r="66" spans="2:11" outlineLevel="1" x14ac:dyDescent="0.2">
      <c r="G66" s="88"/>
      <c r="H66" s="88"/>
      <c r="I66" s="88"/>
      <c r="J66" s="88"/>
      <c r="K66" s="88"/>
    </row>
    <row r="67" spans="2:11" outlineLevel="1" x14ac:dyDescent="0.2">
      <c r="B67" t="s">
        <v>7</v>
      </c>
      <c r="D67" s="68">
        <f>D61-D64</f>
        <v>916.69999999999982</v>
      </c>
      <c r="E67" s="68">
        <f>E61-E64</f>
        <v>893.7</v>
      </c>
      <c r="F67" s="68">
        <f t="shared" ref="F67" si="16">F61-F64</f>
        <v>887.39999999999986</v>
      </c>
      <c r="G67" s="89" t="str">
        <f>IF(CASE=2,"--",G61*G68)</f>
        <v>--</v>
      </c>
      <c r="H67" s="89" t="str">
        <f>IF(CASE=2,"--",H61*H68)</f>
        <v>--</v>
      </c>
      <c r="I67" s="89" t="str">
        <f>IF(CASE=2,"--",I61*I68)</f>
        <v>--</v>
      </c>
      <c r="J67" s="89" t="str">
        <f>IF(CASE=2,"--",J61*J68)</f>
        <v>--</v>
      </c>
      <c r="K67" s="89" t="str">
        <f>IF(CASE=2,"--",K61*K68)</f>
        <v>--</v>
      </c>
    </row>
    <row r="68" spans="2:11" outlineLevel="1" x14ac:dyDescent="0.2">
      <c r="B68" s="83" t="s">
        <v>102</v>
      </c>
      <c r="D68" s="84">
        <f>D55</f>
        <v>0.37344685704974129</v>
      </c>
      <c r="E68" s="84">
        <f t="shared" ref="E68:F68" si="17">E55</f>
        <v>0.35221092456845593</v>
      </c>
      <c r="F68" s="84">
        <f t="shared" si="17"/>
        <v>0.35464790983934136</v>
      </c>
      <c r="G68" s="90" t="str">
        <f>IF(CASE=2,"--",G55)</f>
        <v>--</v>
      </c>
      <c r="H68" s="90" t="str">
        <f>IF(CASE=2,"--",H55)</f>
        <v>--</v>
      </c>
      <c r="I68" s="90" t="str">
        <f>IF(CASE=2,"--",I55)</f>
        <v>--</v>
      </c>
      <c r="J68" s="90" t="str">
        <f>IF(CASE=2,"--",J55)</f>
        <v>--</v>
      </c>
      <c r="K68" s="90" t="str">
        <f>IF(CASE=2,"--",K55)</f>
        <v>--</v>
      </c>
    </row>
    <row r="69" spans="2:11" outlineLevel="1" x14ac:dyDescent="0.2">
      <c r="G69" s="88"/>
      <c r="H69" s="88"/>
      <c r="I69" s="88"/>
      <c r="J69" s="88"/>
      <c r="K69" s="88"/>
    </row>
    <row r="70" spans="2:11" outlineLevel="1" x14ac:dyDescent="0.2">
      <c r="B70" t="s">
        <v>103</v>
      </c>
      <c r="D70" s="68">
        <v>562.5</v>
      </c>
      <c r="E70" s="68">
        <v>554.29999999999995</v>
      </c>
      <c r="F70" s="68">
        <v>554.50000000000023</v>
      </c>
      <c r="G70" s="89" t="str">
        <f>IF(CASE=2,"--",G61*G71)</f>
        <v>--</v>
      </c>
      <c r="H70" s="89" t="str">
        <f>IF(CASE=2,"--",H61*H71)</f>
        <v>--</v>
      </c>
      <c r="I70" s="89" t="str">
        <f>IF(CASE=2,"--",I61*I71)</f>
        <v>--</v>
      </c>
      <c r="J70" s="89" t="str">
        <f>IF(CASE=2,"--",J61*J71)</f>
        <v>--</v>
      </c>
      <c r="K70" s="89" t="str">
        <f>IF(CASE=2,"--",K61*K71)</f>
        <v>--</v>
      </c>
    </row>
    <row r="71" spans="2:11" outlineLevel="1" x14ac:dyDescent="0.2">
      <c r="B71" s="83" t="s">
        <v>102</v>
      </c>
      <c r="D71" s="84">
        <f>D56</f>
        <v>0.22915223856275718</v>
      </c>
      <c r="E71" s="84">
        <f t="shared" ref="E71:F71" si="18">E56</f>
        <v>0.2184519586978797</v>
      </c>
      <c r="F71" s="84">
        <f t="shared" si="18"/>
        <v>0.22160498761090253</v>
      </c>
      <c r="G71" s="90" t="str">
        <f>IF(CASE=2,"--",G56)</f>
        <v>--</v>
      </c>
      <c r="H71" s="90" t="str">
        <f>IF(CASE=2,"--",H56)</f>
        <v>--</v>
      </c>
      <c r="I71" s="90" t="str">
        <f>IF(CASE=2,"--",I56)</f>
        <v>--</v>
      </c>
      <c r="J71" s="90" t="str">
        <f>IF(CASE=2,"--",J56)</f>
        <v>--</v>
      </c>
      <c r="K71" s="90" t="str">
        <f>IF(CASE=2,"--",K56)</f>
        <v>--</v>
      </c>
    </row>
    <row r="72" spans="2:11" outlineLevel="1" x14ac:dyDescent="0.2">
      <c r="D72" s="91"/>
      <c r="E72" s="91"/>
      <c r="F72" s="91"/>
      <c r="G72" s="88"/>
      <c r="H72" s="88"/>
      <c r="I72" s="88"/>
      <c r="J72" s="88"/>
      <c r="K72" s="88"/>
    </row>
    <row r="73" spans="2:11" outlineLevel="1" x14ac:dyDescent="0.2">
      <c r="B73" s="29" t="s">
        <v>9</v>
      </c>
      <c r="C73" s="30"/>
      <c r="D73" s="92">
        <f>D67-D70</f>
        <v>354.19999999999982</v>
      </c>
      <c r="E73" s="92">
        <f t="shared" ref="E73:F73" si="19">E67-E70</f>
        <v>339.40000000000009</v>
      </c>
      <c r="F73" s="92">
        <f t="shared" si="19"/>
        <v>332.89999999999964</v>
      </c>
      <c r="G73" s="93">
        <f>CHOOSE(CASE,G76,G79)</f>
        <v>351</v>
      </c>
      <c r="H73" s="93">
        <f>CHOOSE(CASE,H76,H79)</f>
        <v>426</v>
      </c>
      <c r="I73" s="93">
        <f>CHOOSE(CASE,I76,I79)</f>
        <v>465</v>
      </c>
      <c r="J73" s="93">
        <f>CHOOSE(CASE,J76,J79)</f>
        <v>528</v>
      </c>
      <c r="K73" s="94">
        <f>CHOOSE(CASE,K76,K79)</f>
        <v>589</v>
      </c>
    </row>
    <row r="74" spans="2:11" outlineLevel="1" x14ac:dyDescent="0.2">
      <c r="B74" s="95" t="s">
        <v>102</v>
      </c>
      <c r="C74" s="33"/>
      <c r="D74" s="96">
        <f>D73/D61</f>
        <v>0.14429461848698408</v>
      </c>
      <c r="E74" s="96">
        <f t="shared" ref="E74:F74" si="20">E73/E61</f>
        <v>0.1337589658705762</v>
      </c>
      <c r="F74" s="96">
        <f t="shared" si="20"/>
        <v>0.13304292222843883</v>
      </c>
      <c r="G74" s="97">
        <f>G73/G61</f>
        <v>0.13636363636363635</v>
      </c>
      <c r="H74" s="97">
        <f t="shared" ref="H74:K74" si="21">H73/H61</f>
        <v>0.20266412940057088</v>
      </c>
      <c r="I74" s="97">
        <f t="shared" si="21"/>
        <v>0.24681528662420382</v>
      </c>
      <c r="J74" s="97">
        <f t="shared" si="21"/>
        <v>0.27643979057591622</v>
      </c>
      <c r="K74" s="98">
        <f t="shared" si="21"/>
        <v>0.29100790513833991</v>
      </c>
    </row>
    <row r="75" spans="2:11" outlineLevel="1" x14ac:dyDescent="0.2"/>
    <row r="76" spans="2:11" outlineLevel="1" x14ac:dyDescent="0.2">
      <c r="B76" t="s">
        <v>104</v>
      </c>
      <c r="D76" s="51"/>
      <c r="E76" s="51"/>
      <c r="F76" s="51"/>
      <c r="G76" s="51">
        <f ca="1">IF(CASE=1,G67-G70,G76)</f>
        <v>342.45248181600164</v>
      </c>
      <c r="H76" s="51">
        <f ca="1">IF(CASE=1,H67-H70,H76)</f>
        <v>362.68522252417847</v>
      </c>
      <c r="I76" s="51">
        <f ca="1">IF(CASE=1,I67-I70,I76)</f>
        <v>399.48886547837878</v>
      </c>
      <c r="J76" s="51">
        <f ca="1">IF(CASE=1,J67-J70,J76)</f>
        <v>480.44698145631816</v>
      </c>
      <c r="K76" s="51">
        <f ca="1">IF(CASE=1,K67-K70,K76)</f>
        <v>589.07087459036029</v>
      </c>
    </row>
    <row r="77" spans="2:11" outlineLevel="1" x14ac:dyDescent="0.2">
      <c r="B77" s="83" t="s">
        <v>102</v>
      </c>
      <c r="D77" s="87"/>
      <c r="E77" s="87"/>
      <c r="F77" s="87"/>
      <c r="G77" s="99">
        <f ca="1">IF(CASE=1,G76/G61,G77)</f>
        <v>0.13304292222843886</v>
      </c>
      <c r="H77" s="99">
        <f ca="1">IF(CASE=1,H76/H61,H77)</f>
        <v>0.17254292222843887</v>
      </c>
      <c r="I77" s="99">
        <f ca="1">IF(CASE=1,I76/I61,I77)</f>
        <v>0.21204292222843885</v>
      </c>
      <c r="J77" s="99">
        <f ca="1">IF(CASE=1,J76/J61,J77)</f>
        <v>0.25154292222843883</v>
      </c>
      <c r="K77" s="99">
        <f ca="1">IF(CASE=1,K76/K61,K77)</f>
        <v>0.29104292222843886</v>
      </c>
    </row>
    <row r="78" spans="2:11" outlineLevel="1" x14ac:dyDescent="0.2"/>
    <row r="79" spans="2:11" outlineLevel="1" x14ac:dyDescent="0.2">
      <c r="B79" t="s">
        <v>105</v>
      </c>
      <c r="D79" s="51"/>
      <c r="E79" s="51"/>
      <c r="F79" s="51"/>
      <c r="G79" s="68">
        <v>351</v>
      </c>
      <c r="H79" s="68">
        <v>426</v>
      </c>
      <c r="I79" s="68">
        <v>465</v>
      </c>
      <c r="J79" s="68">
        <v>528</v>
      </c>
      <c r="K79" s="68">
        <v>589</v>
      </c>
    </row>
    <row r="80" spans="2:11" outlineLevel="1" x14ac:dyDescent="0.2">
      <c r="B80" s="83" t="s">
        <v>102</v>
      </c>
      <c r="D80" s="87"/>
      <c r="E80" s="87"/>
      <c r="F80" s="87"/>
      <c r="G80" s="87">
        <f>G79/G$61</f>
        <v>0.13636363636363635</v>
      </c>
      <c r="H80" s="87">
        <f>H79/H$61</f>
        <v>0.20266412940057088</v>
      </c>
      <c r="I80" s="87">
        <f t="shared" ref="I80:K80" si="22">I79/I$61</f>
        <v>0.24681528662420382</v>
      </c>
      <c r="J80" s="87">
        <f t="shared" si="22"/>
        <v>0.27643979057591622</v>
      </c>
      <c r="K80" s="87">
        <f t="shared" si="22"/>
        <v>0.29100790513833991</v>
      </c>
    </row>
    <row r="81" spans="2:11" outlineLevel="1" x14ac:dyDescent="0.2"/>
    <row r="82" spans="2:11" outlineLevel="1" x14ac:dyDescent="0.2">
      <c r="B82" t="s">
        <v>106</v>
      </c>
      <c r="D82" s="68">
        <v>67.099999999999994</v>
      </c>
      <c r="E82" s="68">
        <v>57.3</v>
      </c>
      <c r="F82" s="68">
        <v>49.6</v>
      </c>
      <c r="G82" s="50">
        <f ca="1">G271</f>
        <v>207.14074819148934</v>
      </c>
      <c r="H82" s="50">
        <f t="shared" ref="H82:K82" ca="1" si="23">H271</f>
        <v>203.73808819365672</v>
      </c>
      <c r="I82" s="50">
        <f t="shared" ca="1" si="23"/>
        <v>196.8889247376446</v>
      </c>
      <c r="J82" s="50">
        <f t="shared" ca="1" si="23"/>
        <v>185.8131159494672</v>
      </c>
      <c r="K82" s="50">
        <f t="shared" ca="1" si="23"/>
        <v>170.96973003550133</v>
      </c>
    </row>
    <row r="83" spans="2:11" outlineLevel="1" x14ac:dyDescent="0.2">
      <c r="B83" t="s">
        <v>107</v>
      </c>
      <c r="D83" s="68">
        <v>5.9</v>
      </c>
      <c r="E83" s="68">
        <v>2.7</v>
      </c>
      <c r="F83" s="68">
        <v>1</v>
      </c>
      <c r="G83" s="50">
        <f>G259</f>
        <v>0.63006396588486135</v>
      </c>
      <c r="H83" s="50">
        <f t="shared" ref="H83:K83" si="24">H259</f>
        <v>0.63006396588486135</v>
      </c>
      <c r="I83" s="50">
        <f t="shared" si="24"/>
        <v>0.63006396588486135</v>
      </c>
      <c r="J83" s="50">
        <f t="shared" si="24"/>
        <v>0.63006396588486135</v>
      </c>
      <c r="K83" s="50">
        <f t="shared" si="24"/>
        <v>0.63006396588486135</v>
      </c>
    </row>
    <row r="84" spans="2:11" outlineLevel="1" x14ac:dyDescent="0.2"/>
    <row r="85" spans="2:11" outlineLevel="1" x14ac:dyDescent="0.2">
      <c r="B85" t="s">
        <v>108</v>
      </c>
      <c r="D85" s="68">
        <f>D73-D82+D83</f>
        <v>292.99999999999977</v>
      </c>
      <c r="E85" s="68">
        <f t="shared" ref="E85:F85" si="25">E73-E82+E83</f>
        <v>284.80000000000007</v>
      </c>
      <c r="F85" s="68">
        <f t="shared" si="25"/>
        <v>284.29999999999961</v>
      </c>
      <c r="G85" s="51">
        <f ca="1">G73-G82+G83</f>
        <v>144.48931577439552</v>
      </c>
      <c r="H85" s="51">
        <f t="shared" ref="H85:K85" ca="1" si="26">H73-H82+H83</f>
        <v>222.89197577222814</v>
      </c>
      <c r="I85" s="51">
        <f t="shared" ca="1" si="26"/>
        <v>268.74113922824023</v>
      </c>
      <c r="J85" s="51">
        <f t="shared" ca="1" si="26"/>
        <v>342.81694801641765</v>
      </c>
      <c r="K85" s="51">
        <f t="shared" ca="1" si="26"/>
        <v>418.6603339303835</v>
      </c>
    </row>
    <row r="86" spans="2:11" outlineLevel="1" x14ac:dyDescent="0.2">
      <c r="B86" s="83" t="s">
        <v>102</v>
      </c>
      <c r="D86" s="87">
        <f>D85/D$61</f>
        <v>0.11936285493135609</v>
      </c>
      <c r="E86" s="87">
        <f>E85/E$61</f>
        <v>0.11224087648774338</v>
      </c>
      <c r="F86" s="87">
        <f>F85/F$61</f>
        <v>0.113620014387339</v>
      </c>
      <c r="G86" s="99">
        <f ca="1">G85/G61</f>
        <v>5.6134155312507976E-2</v>
      </c>
      <c r="H86" s="99">
        <f t="shared" ref="H86:K86" ca="1" si="27">H85/H61</f>
        <v>0.1060380474653797</v>
      </c>
      <c r="I86" s="99">
        <f t="shared" ca="1" si="27"/>
        <v>0.1426439167878133</v>
      </c>
      <c r="J86" s="99">
        <f t="shared" ca="1" si="27"/>
        <v>0.17948531309760088</v>
      </c>
      <c r="K86" s="99">
        <f t="shared" ca="1" si="27"/>
        <v>0.20684799107232388</v>
      </c>
    </row>
    <row r="87" spans="2:11" outlineLevel="1" x14ac:dyDescent="0.2"/>
    <row r="88" spans="2:11" outlineLevel="1" x14ac:dyDescent="0.2">
      <c r="B88" t="s">
        <v>14</v>
      </c>
      <c r="D88" s="68">
        <v>103.4</v>
      </c>
      <c r="E88" s="68">
        <v>84.7</v>
      </c>
      <c r="F88" s="68">
        <v>97.5</v>
      </c>
      <c r="G88" s="51">
        <f ca="1">G85*G89</f>
        <v>48.82981612954724</v>
      </c>
      <c r="H88" s="51">
        <f t="shared" ref="H88:K88" ca="1" si="28">H85*H89</f>
        <v>74.211346291494294</v>
      </c>
      <c r="I88" s="51">
        <f t="shared" ca="1" si="28"/>
        <v>88.133009097835483</v>
      </c>
      <c r="J88" s="51">
        <f t="shared" ca="1" si="28"/>
        <v>110.71190736960752</v>
      </c>
      <c r="K88" s="51">
        <f t="shared" ca="1" si="28"/>
        <v>133.11204444179475</v>
      </c>
    </row>
    <row r="89" spans="2:11" outlineLevel="1" x14ac:dyDescent="0.2">
      <c r="B89" s="83" t="s">
        <v>15</v>
      </c>
      <c r="D89" s="84">
        <f>D57</f>
        <v>0.35290102389078526</v>
      </c>
      <c r="E89" s="84">
        <f t="shared" ref="E89" si="29">E57</f>
        <v>0.29740168539325834</v>
      </c>
      <c r="F89" s="84">
        <f>F57</f>
        <v>0.34294759057333851</v>
      </c>
      <c r="G89" s="100">
        <f>G57</f>
        <v>0.33794759057333851</v>
      </c>
      <c r="H89" s="100">
        <f t="shared" ref="H89:K89" si="30">H57</f>
        <v>0.3329475905733385</v>
      </c>
      <c r="I89" s="100">
        <f t="shared" si="30"/>
        <v>0.3279475905733385</v>
      </c>
      <c r="J89" s="100">
        <f t="shared" si="30"/>
        <v>0.32294759057333849</v>
      </c>
      <c r="K89" s="100">
        <f t="shared" si="30"/>
        <v>0.31794759057333849</v>
      </c>
    </row>
    <row r="90" spans="2:11" outlineLevel="1" x14ac:dyDescent="0.2"/>
    <row r="91" spans="2:11" outlineLevel="1" x14ac:dyDescent="0.2">
      <c r="B91" s="29" t="s">
        <v>22</v>
      </c>
      <c r="C91" s="30"/>
      <c r="D91" s="92">
        <f>D85-D88</f>
        <v>189.59999999999977</v>
      </c>
      <c r="E91" s="92">
        <f t="shared" ref="E91:F91" si="31">E85-E88</f>
        <v>200.10000000000008</v>
      </c>
      <c r="F91" s="92">
        <f t="shared" si="31"/>
        <v>186.79999999999961</v>
      </c>
      <c r="G91" s="93">
        <f ca="1">G85-G88</f>
        <v>95.659499644848282</v>
      </c>
      <c r="H91" s="93">
        <f t="shared" ref="H91:K91" ca="1" si="32">H85-H88</f>
        <v>148.68062948073384</v>
      </c>
      <c r="I91" s="93">
        <f t="shared" ca="1" si="32"/>
        <v>180.60813013040473</v>
      </c>
      <c r="J91" s="93">
        <f t="shared" ca="1" si="32"/>
        <v>232.10504064681015</v>
      </c>
      <c r="K91" s="94">
        <f t="shared" ca="1" si="32"/>
        <v>285.54828948858875</v>
      </c>
    </row>
    <row r="92" spans="2:11" outlineLevel="1" x14ac:dyDescent="0.2">
      <c r="B92" s="95" t="s">
        <v>102</v>
      </c>
      <c r="C92" s="33"/>
      <c r="D92" s="96">
        <f>D91/D$61</f>
        <v>7.7239581211553263E-2</v>
      </c>
      <c r="E92" s="96">
        <f>E91/E$61</f>
        <v>7.8860250650271954E-2</v>
      </c>
      <c r="F92" s="96">
        <f>F91/F$61</f>
        <v>7.4654304212293035E-2</v>
      </c>
      <c r="G92" s="97">
        <f ca="1">G91/G61</f>
        <v>3.7163752775776333E-2</v>
      </c>
      <c r="H92" s="97">
        <f t="shared" ref="H92:K92" ca="1" si="33">H91/H61</f>
        <v>7.0732935052680232E-2</v>
      </c>
      <c r="I92" s="97">
        <f t="shared" ca="1" si="33"/>
        <v>9.5864187967306128E-2</v>
      </c>
      <c r="J92" s="97">
        <f t="shared" ca="1" si="33"/>
        <v>0.1215209636894294</v>
      </c>
      <c r="K92" s="98">
        <f t="shared" ca="1" si="33"/>
        <v>0.14108117069594306</v>
      </c>
    </row>
    <row r="93" spans="2:11" outlineLevel="1" x14ac:dyDescent="0.2"/>
    <row r="94" spans="2:11" outlineLevel="1" x14ac:dyDescent="0.2">
      <c r="B94" s="101" t="s">
        <v>109</v>
      </c>
    </row>
    <row r="95" spans="2:11" outlineLevel="1" x14ac:dyDescent="0.2">
      <c r="B95" t="s">
        <v>9</v>
      </c>
      <c r="D95" s="50">
        <f>D73</f>
        <v>354.19999999999982</v>
      </c>
      <c r="E95" s="50">
        <f t="shared" ref="E95:F95" si="34">E73</f>
        <v>339.40000000000009</v>
      </c>
      <c r="F95" s="50">
        <f t="shared" si="34"/>
        <v>332.89999999999964</v>
      </c>
    </row>
    <row r="96" spans="2:11" outlineLevel="1" x14ac:dyDescent="0.2">
      <c r="B96" t="s">
        <v>10</v>
      </c>
      <c r="D96" s="50">
        <f>D158</f>
        <v>95.6</v>
      </c>
      <c r="E96" s="50">
        <f t="shared" ref="E96:F96" si="35">E158</f>
        <v>98.1</v>
      </c>
      <c r="F96" s="50">
        <f t="shared" si="35"/>
        <v>111.7</v>
      </c>
    </row>
    <row r="97" spans="1:11" outlineLevel="1" x14ac:dyDescent="0.2">
      <c r="B97" t="s">
        <v>110</v>
      </c>
      <c r="D97" s="68">
        <f>0</f>
        <v>0</v>
      </c>
      <c r="E97" s="68">
        <f>3.5</f>
        <v>3.5</v>
      </c>
      <c r="F97" s="68">
        <f>0</f>
        <v>0</v>
      </c>
    </row>
    <row r="98" spans="1:11" outlineLevel="1" x14ac:dyDescent="0.2">
      <c r="B98" s="102" t="s">
        <v>11</v>
      </c>
      <c r="C98" s="102"/>
      <c r="D98" s="103">
        <f>SUM(D95:D97)</f>
        <v>449.79999999999984</v>
      </c>
      <c r="E98" s="103">
        <f>SUM(E95:E97)</f>
        <v>441.00000000000011</v>
      </c>
      <c r="F98" s="103">
        <f t="shared" ref="F98" si="36">SUM(F95:F97)</f>
        <v>444.59999999999962</v>
      </c>
      <c r="G98" s="104"/>
      <c r="H98" s="104"/>
      <c r="I98" s="104"/>
      <c r="J98" s="104"/>
      <c r="K98" s="104"/>
    </row>
    <row r="99" spans="1:11" outlineLevel="1" x14ac:dyDescent="0.2">
      <c r="B99" s="83" t="s">
        <v>102</v>
      </c>
      <c r="D99" s="87">
        <f>D98/D$61</f>
        <v>0.18324031449871669</v>
      </c>
      <c r="E99" s="87">
        <f>E98/E$61</f>
        <v>0.1737999527074959</v>
      </c>
      <c r="F99" s="87">
        <f>F98/F$61</f>
        <v>0.17768363839820944</v>
      </c>
    </row>
    <row r="100" spans="1:11" outlineLevel="1" x14ac:dyDescent="0.2"/>
    <row r="101" spans="1:11" outlineLevel="1" x14ac:dyDescent="0.2">
      <c r="B101" s="29" t="s">
        <v>11</v>
      </c>
      <c r="C101" s="105"/>
      <c r="D101" s="106">
        <f>D98</f>
        <v>449.79999999999984</v>
      </c>
      <c r="E101" s="106">
        <f t="shared" ref="E101:F102" si="37">E98</f>
        <v>441.00000000000011</v>
      </c>
      <c r="F101" s="106">
        <f t="shared" si="37"/>
        <v>444.59999999999962</v>
      </c>
      <c r="G101" s="93">
        <f>CHOOSE(CASE,G104,G107)</f>
        <v>464</v>
      </c>
      <c r="H101" s="93">
        <f>CHOOSE(CASE,H104,H107)</f>
        <v>518</v>
      </c>
      <c r="I101" s="93">
        <f>CHOOSE(CASE,I104,I107)</f>
        <v>563</v>
      </c>
      <c r="J101" s="93">
        <f>CHOOSE(CASE,J104,J107)</f>
        <v>620</v>
      </c>
      <c r="K101" s="94">
        <f>CHOOSE(CASE,K104,K107)</f>
        <v>685</v>
      </c>
    </row>
    <row r="102" spans="1:11" outlineLevel="1" x14ac:dyDescent="0.2">
      <c r="B102" s="95" t="s">
        <v>102</v>
      </c>
      <c r="C102" s="107"/>
      <c r="D102" s="108">
        <f>D99</f>
        <v>0.18324031449871669</v>
      </c>
      <c r="E102" s="108">
        <f t="shared" si="37"/>
        <v>0.1737999527074959</v>
      </c>
      <c r="F102" s="108">
        <f t="shared" si="37"/>
        <v>0.17768363839820944</v>
      </c>
      <c r="G102" s="96">
        <f>G101/G$61</f>
        <v>0.18026418026418026</v>
      </c>
      <c r="H102" s="96">
        <f t="shared" ref="H102:K102" si="38">H101/H$61</f>
        <v>0.24643196955280686</v>
      </c>
      <c r="I102" s="96">
        <f t="shared" si="38"/>
        <v>0.29883227176220806</v>
      </c>
      <c r="J102" s="96">
        <f t="shared" si="38"/>
        <v>0.32460732984293195</v>
      </c>
      <c r="K102" s="109">
        <f t="shared" si="38"/>
        <v>0.3384387351778656</v>
      </c>
    </row>
    <row r="103" spans="1:11" outlineLevel="1" x14ac:dyDescent="0.2"/>
    <row r="104" spans="1:11" outlineLevel="1" x14ac:dyDescent="0.2">
      <c r="B104" t="s">
        <v>111</v>
      </c>
      <c r="D104" s="51"/>
      <c r="E104" s="51"/>
      <c r="F104" s="51"/>
      <c r="G104" s="51">
        <f ca="1">G161+G76</f>
        <v>450.76559691271132</v>
      </c>
      <c r="H104" s="51">
        <f ca="1">H161+H76</f>
        <v>452.66873764977436</v>
      </c>
      <c r="I104" s="51">
        <f ca="1">I161+I76</f>
        <v>481.05277722748565</v>
      </c>
      <c r="J104" s="51">
        <f ca="1">J161+J76</f>
        <v>562.81506608518976</v>
      </c>
      <c r="K104" s="51">
        <f ca="1">K161+K76</f>
        <v>675.44187107666198</v>
      </c>
    </row>
    <row r="105" spans="1:11" outlineLevel="1" x14ac:dyDescent="0.2">
      <c r="B105" s="83" t="s">
        <v>102</v>
      </c>
      <c r="G105" s="87">
        <f ca="1">G104/G$61</f>
        <v>0.17512260952319786</v>
      </c>
      <c r="H105" s="87">
        <f t="shared" ref="H105:K105" ca="1" si="39">H104/H$61</f>
        <v>0.21535144512358437</v>
      </c>
      <c r="I105" s="87">
        <f t="shared" ca="1" si="39"/>
        <v>0.25533586901671212</v>
      </c>
      <c r="J105" s="87">
        <f t="shared" ca="1" si="39"/>
        <v>0.29466757386659148</v>
      </c>
      <c r="K105" s="87">
        <f t="shared" ca="1" si="39"/>
        <v>0.33371633946475393</v>
      </c>
    </row>
    <row r="106" spans="1:11" outlineLevel="1" x14ac:dyDescent="0.2">
      <c r="C106" s="110"/>
    </row>
    <row r="107" spans="1:11" outlineLevel="1" x14ac:dyDescent="0.2">
      <c r="B107" t="s">
        <v>112</v>
      </c>
      <c r="D107" s="51"/>
      <c r="E107" s="51"/>
      <c r="F107" s="51"/>
      <c r="G107" s="68">
        <v>464</v>
      </c>
      <c r="H107" s="68">
        <v>518</v>
      </c>
      <c r="I107" s="68">
        <v>563</v>
      </c>
      <c r="J107" s="68">
        <v>620</v>
      </c>
      <c r="K107" s="68">
        <v>685</v>
      </c>
    </row>
    <row r="108" spans="1:11" outlineLevel="1" x14ac:dyDescent="0.2">
      <c r="B108" s="83" t="s">
        <v>102</v>
      </c>
      <c r="G108" s="87">
        <f>G107/G$61</f>
        <v>0.18026418026418026</v>
      </c>
      <c r="H108" s="87">
        <f t="shared" ref="H108:K108" si="40">H107/H$61</f>
        <v>0.24643196955280686</v>
      </c>
      <c r="I108" s="87">
        <f t="shared" si="40"/>
        <v>0.29883227176220806</v>
      </c>
      <c r="J108" s="87">
        <f t="shared" si="40"/>
        <v>0.32460732984293195</v>
      </c>
      <c r="K108" s="87">
        <f t="shared" si="40"/>
        <v>0.3384387351778656</v>
      </c>
    </row>
    <row r="110" spans="1:11" x14ac:dyDescent="0.2">
      <c r="A110" t="s">
        <v>0</v>
      </c>
      <c r="B110" s="81" t="s">
        <v>113</v>
      </c>
      <c r="C110" s="82"/>
      <c r="D110" s="70">
        <f>2008</f>
        <v>2008</v>
      </c>
      <c r="E110" s="70">
        <f>D110+1</f>
        <v>2009</v>
      </c>
      <c r="F110" s="70">
        <f>E110+1</f>
        <v>2010</v>
      </c>
      <c r="G110" s="71">
        <f t="shared" ref="G110:K110" si="41">F110+1</f>
        <v>2011</v>
      </c>
      <c r="H110" s="71">
        <f t="shared" si="41"/>
        <v>2012</v>
      </c>
      <c r="I110" s="71">
        <f t="shared" si="41"/>
        <v>2013</v>
      </c>
      <c r="J110" s="71">
        <f t="shared" si="41"/>
        <v>2014</v>
      </c>
      <c r="K110" s="71">
        <f t="shared" si="41"/>
        <v>2015</v>
      </c>
    </row>
    <row r="111" spans="1:11" ht="5" customHeight="1" outlineLevel="1" x14ac:dyDescent="0.2"/>
    <row r="112" spans="1:11" ht="15" customHeight="1" outlineLevel="1" x14ac:dyDescent="0.2">
      <c r="B112" t="s">
        <v>114</v>
      </c>
      <c r="D112" s="68">
        <v>139.30000000000001</v>
      </c>
      <c r="E112" s="68">
        <v>130</v>
      </c>
      <c r="F112" s="68">
        <v>142.9</v>
      </c>
      <c r="G112" s="18">
        <f>G113*G61</f>
        <v>141.64856567644247</v>
      </c>
      <c r="H112" s="18">
        <f t="shared" ref="H112:K112" si="42">H113*H61</f>
        <v>115.6741589168151</v>
      </c>
      <c r="I112" s="18">
        <f t="shared" si="42"/>
        <v>103.67750494732618</v>
      </c>
      <c r="J112" s="18">
        <f t="shared" si="42"/>
        <v>105.10829854001753</v>
      </c>
      <c r="K112" s="18">
        <f t="shared" si="42"/>
        <v>111.38177813874108</v>
      </c>
    </row>
    <row r="113" spans="2:11" ht="15" customHeight="1" outlineLevel="1" x14ac:dyDescent="0.2">
      <c r="B113" s="83" t="s">
        <v>102</v>
      </c>
      <c r="D113" s="87">
        <f>D112/D$61</f>
        <v>5.6748278812074802E-2</v>
      </c>
      <c r="E113" s="87">
        <f>E112/E$61</f>
        <v>5.1233546149601954E-2</v>
      </c>
      <c r="F113" s="87">
        <f t="shared" ref="F113" si="43">F112/F$61</f>
        <v>5.7109743425785314E-2</v>
      </c>
      <c r="G113" s="87">
        <f>AVERAGE(D113:F113)</f>
        <v>5.5030522795820692E-2</v>
      </c>
      <c r="H113" s="84">
        <f>$G$113</f>
        <v>5.5030522795820692E-2</v>
      </c>
      <c r="I113" s="84">
        <f t="shared" ref="I113:K113" si="44">$G$113</f>
        <v>5.5030522795820692E-2</v>
      </c>
      <c r="J113" s="84">
        <f t="shared" si="44"/>
        <v>5.5030522795820692E-2</v>
      </c>
      <c r="K113" s="84">
        <f t="shared" si="44"/>
        <v>5.5030522795820692E-2</v>
      </c>
    </row>
    <row r="114" spans="2:11" ht="15" customHeight="1" outlineLevel="1" x14ac:dyDescent="0.2"/>
    <row r="115" spans="2:11" ht="15" customHeight="1" outlineLevel="1" x14ac:dyDescent="0.2">
      <c r="B115" t="s">
        <v>115</v>
      </c>
      <c r="D115" s="68">
        <f>53.5+45.2</f>
        <v>98.7</v>
      </c>
      <c r="E115" s="68">
        <f>86.4+32.5</f>
        <v>118.9</v>
      </c>
      <c r="F115" s="68">
        <f>88.4+15.1</f>
        <v>103.5</v>
      </c>
      <c r="G115" s="18">
        <f>G116*G61</f>
        <v>110.193943009389</v>
      </c>
      <c r="H115" s="18">
        <f t="shared" ref="H115:K115" si="45">H116*H61</f>
        <v>89.987439085367399</v>
      </c>
      <c r="I115" s="18">
        <f t="shared" si="45"/>
        <v>80.654774137408268</v>
      </c>
      <c r="J115" s="18">
        <f t="shared" si="45"/>
        <v>81.767844268816233</v>
      </c>
      <c r="K115" s="18">
        <f t="shared" si="45"/>
        <v>86.648228691143487</v>
      </c>
    </row>
    <row r="116" spans="2:11" ht="15" customHeight="1" outlineLevel="1" x14ac:dyDescent="0.2">
      <c r="B116" s="83" t="s">
        <v>102</v>
      </c>
      <c r="D116" s="87">
        <f>D115/D$61</f>
        <v>4.0208579459811794E-2</v>
      </c>
      <c r="E116" s="87">
        <f>E115/E$61</f>
        <v>4.6858989516828251E-2</v>
      </c>
      <c r="F116" s="87">
        <f t="shared" ref="F116" si="46">F115/F$61</f>
        <v>4.136360003197187E-2</v>
      </c>
      <c r="G116" s="87">
        <f>AVERAGE(D116:F116)</f>
        <v>4.2810389669537298E-2</v>
      </c>
      <c r="H116" s="84">
        <f>$G$116</f>
        <v>4.2810389669537298E-2</v>
      </c>
      <c r="I116" s="84">
        <f t="shared" ref="I116:K116" si="47">$G$116</f>
        <v>4.2810389669537298E-2</v>
      </c>
      <c r="J116" s="84">
        <f t="shared" si="47"/>
        <v>4.2810389669537298E-2</v>
      </c>
      <c r="K116" s="84">
        <f t="shared" si="47"/>
        <v>4.2810389669537298E-2</v>
      </c>
    </row>
    <row r="117" spans="2:11" ht="15" customHeight="1" outlineLevel="1" x14ac:dyDescent="0.2"/>
    <row r="118" spans="2:11" ht="15" customHeight="1" outlineLevel="1" x14ac:dyDescent="0.2">
      <c r="B118" t="s">
        <v>116</v>
      </c>
      <c r="D118" s="68">
        <v>129.5</v>
      </c>
      <c r="E118" s="68">
        <v>127</v>
      </c>
      <c r="F118" s="68">
        <v>106.9</v>
      </c>
      <c r="G118" s="18">
        <f>G119*G61</f>
        <v>109.96746862760772</v>
      </c>
      <c r="H118" s="18">
        <f t="shared" ref="H118:K118" si="48">H119*H61</f>
        <v>89.802493805451206</v>
      </c>
      <c r="I118" s="18">
        <f t="shared" si="48"/>
        <v>80.4890096714891</v>
      </c>
      <c r="J118" s="18">
        <f t="shared" si="48"/>
        <v>81.599792182879071</v>
      </c>
      <c r="K118" s="18">
        <f t="shared" si="48"/>
        <v>86.47014627128128</v>
      </c>
    </row>
    <row r="119" spans="2:11" ht="15" customHeight="1" outlineLevel="1" x14ac:dyDescent="0.2">
      <c r="B119" s="83" t="s">
        <v>102</v>
      </c>
      <c r="D119" s="87">
        <f>D118/D$61</f>
        <v>5.2755937589114767E-2</v>
      </c>
      <c r="E119" s="87">
        <f>E118/E$61</f>
        <v>5.0051233546149598E-2</v>
      </c>
      <c r="F119" s="87">
        <f t="shared" ref="F119" si="49">F118/F$61</f>
        <v>4.2722404284229881E-2</v>
      </c>
      <c r="G119" s="111">
        <f>F119</f>
        <v>4.2722404284229881E-2</v>
      </c>
      <c r="H119" s="84">
        <f>$G$119</f>
        <v>4.2722404284229881E-2</v>
      </c>
      <c r="I119" s="84">
        <f t="shared" ref="I119:K119" si="50">$G$119</f>
        <v>4.2722404284229881E-2</v>
      </c>
      <c r="J119" s="84">
        <f t="shared" si="50"/>
        <v>4.2722404284229881E-2</v>
      </c>
      <c r="K119" s="84">
        <f t="shared" si="50"/>
        <v>4.2722404284229881E-2</v>
      </c>
    </row>
    <row r="120" spans="2:11" ht="15" customHeight="1" outlineLevel="1" x14ac:dyDescent="0.2"/>
    <row r="121" spans="2:11" ht="15" customHeight="1" outlineLevel="1" x14ac:dyDescent="0.2">
      <c r="B121" t="s">
        <v>117</v>
      </c>
      <c r="D121" s="68">
        <v>77.2</v>
      </c>
      <c r="E121" s="68">
        <v>67.8</v>
      </c>
      <c r="F121" s="68">
        <v>71.900000000000006</v>
      </c>
      <c r="G121" s="18">
        <f>G122*G61</f>
        <v>74.564361269911387</v>
      </c>
      <c r="H121" s="18">
        <f t="shared" ref="H121:K121" si="51">H122*H61</f>
        <v>60.891331542095465</v>
      </c>
      <c r="I121" s="18">
        <f t="shared" si="51"/>
        <v>54.576245777977093</v>
      </c>
      <c r="J121" s="18">
        <f t="shared" si="51"/>
        <v>55.329421144339832</v>
      </c>
      <c r="K121" s="18">
        <f t="shared" si="51"/>
        <v>58.631805443007238</v>
      </c>
    </row>
    <row r="122" spans="2:11" ht="15" customHeight="1" outlineLevel="1" x14ac:dyDescent="0.2">
      <c r="B122" s="83" t="s">
        <v>102</v>
      </c>
      <c r="D122" s="87">
        <f>D121/D$61</f>
        <v>3.1449871674746409E-2</v>
      </c>
      <c r="E122" s="87">
        <f>E121/E$61</f>
        <v>2.6720264838023172E-2</v>
      </c>
      <c r="F122" s="87">
        <f t="shared" ref="F122" si="52">F121/F$61</f>
        <v>2.8734713452162101E-2</v>
      </c>
      <c r="G122" s="87">
        <f>AVERAGE(D122:F122)</f>
        <v>2.8968283321643893E-2</v>
      </c>
      <c r="H122" s="84">
        <f>$G$122</f>
        <v>2.8968283321643893E-2</v>
      </c>
      <c r="I122" s="84">
        <f t="shared" ref="I122:K122" si="53">$G$122</f>
        <v>2.8968283321643893E-2</v>
      </c>
      <c r="J122" s="84">
        <f t="shared" si="53"/>
        <v>2.8968283321643893E-2</v>
      </c>
      <c r="K122" s="84">
        <f t="shared" si="53"/>
        <v>2.8968283321643893E-2</v>
      </c>
    </row>
    <row r="123" spans="2:11" ht="15" customHeight="1" outlineLevel="1" x14ac:dyDescent="0.2"/>
    <row r="124" spans="2:11" ht="15" customHeight="1" outlineLevel="1" x14ac:dyDescent="0.2">
      <c r="B124" t="s">
        <v>118</v>
      </c>
      <c r="D124" s="68">
        <v>241.9</v>
      </c>
      <c r="E124" s="68">
        <v>220</v>
      </c>
      <c r="F124" s="68">
        <v>200.9</v>
      </c>
      <c r="G124" s="18">
        <f>G125*G61</f>
        <v>206.66477499800177</v>
      </c>
      <c r="H124" s="18">
        <f t="shared" ref="H124:K124" si="54">H125*H61</f>
        <v>168.76820398049716</v>
      </c>
      <c r="I124" s="18">
        <f t="shared" si="54"/>
        <v>151.2651266885141</v>
      </c>
      <c r="J124" s="18">
        <f t="shared" si="54"/>
        <v>153.35264966829192</v>
      </c>
      <c r="K124" s="18">
        <f t="shared" si="54"/>
        <v>162.50563504116377</v>
      </c>
    </row>
    <row r="125" spans="2:11" ht="15" customHeight="1" outlineLevel="1" x14ac:dyDescent="0.2">
      <c r="B125" s="83" t="s">
        <v>102</v>
      </c>
      <c r="D125" s="87">
        <f>D124/D$61</f>
        <v>9.8545647125921718E-2</v>
      </c>
      <c r="E125" s="87">
        <f>E124/E$61</f>
        <v>8.6702924253172539E-2</v>
      </c>
      <c r="F125" s="87">
        <f t="shared" ref="F125" si="55">F124/F$61</f>
        <v>8.0289345376069063E-2</v>
      </c>
      <c r="G125" s="111">
        <f>F125</f>
        <v>8.0289345376069063E-2</v>
      </c>
      <c r="H125" s="84">
        <f>$G$125</f>
        <v>8.0289345376069063E-2</v>
      </c>
      <c r="I125" s="84">
        <f t="shared" ref="I125:K125" si="56">$G$125</f>
        <v>8.0289345376069063E-2</v>
      </c>
      <c r="J125" s="84">
        <f t="shared" si="56"/>
        <v>8.0289345376069063E-2</v>
      </c>
      <c r="K125" s="84">
        <f t="shared" si="56"/>
        <v>8.0289345376069063E-2</v>
      </c>
    </row>
    <row r="126" spans="2:11" ht="15" customHeight="1" outlineLevel="1" x14ac:dyDescent="0.2"/>
    <row r="127" spans="2:11" ht="15" customHeight="1" outlineLevel="1" x14ac:dyDescent="0.2">
      <c r="B127" s="29" t="s">
        <v>119</v>
      </c>
      <c r="C127" s="30"/>
      <c r="D127" s="93">
        <f>SUM(D112,D115)-SUM(D118,D121,D124)</f>
        <v>-210.60000000000002</v>
      </c>
      <c r="E127" s="93">
        <f>SUM(E112,E115)-SUM(E118,E121,E124)</f>
        <v>-165.9</v>
      </c>
      <c r="F127" s="93">
        <f t="shared" ref="F127:K127" si="57">SUM(F112,F115)-SUM(F118,F121,F124)</f>
        <v>-133.30000000000004</v>
      </c>
      <c r="G127" s="93">
        <f t="shared" si="57"/>
        <v>-139.35409620968937</v>
      </c>
      <c r="H127" s="93">
        <f t="shared" si="57"/>
        <v>-113.80043132586135</v>
      </c>
      <c r="I127" s="93">
        <f t="shared" si="57"/>
        <v>-101.99810305324581</v>
      </c>
      <c r="J127" s="93">
        <f t="shared" si="57"/>
        <v>-103.40572018667706</v>
      </c>
      <c r="K127" s="112">
        <f t="shared" si="57"/>
        <v>-109.57757992556773</v>
      </c>
    </row>
    <row r="128" spans="2:11" ht="15" customHeight="1" outlineLevel="1" x14ac:dyDescent="0.2">
      <c r="B128" s="95" t="s">
        <v>102</v>
      </c>
      <c r="C128" s="33"/>
      <c r="D128" s="96">
        <f>D127/D$61</f>
        <v>-8.579459811789629E-2</v>
      </c>
      <c r="E128" s="96">
        <f>E127/E$61</f>
        <v>-6.5381886970915112E-2</v>
      </c>
      <c r="F128" s="96">
        <f t="shared" ref="F128" si="58">F127/F$61</f>
        <v>-5.3273119654703882E-2</v>
      </c>
      <c r="G128" s="113">
        <f>G127/G61</f>
        <v>-5.4139120516584836E-2</v>
      </c>
      <c r="H128" s="113">
        <f>H127/H61</f>
        <v>-5.413912051658485E-2</v>
      </c>
      <c r="I128" s="113">
        <f t="shared" ref="I128:K128" si="59">I127/I61</f>
        <v>-5.4139120516584829E-2</v>
      </c>
      <c r="J128" s="113">
        <f t="shared" si="59"/>
        <v>-5.413912051658485E-2</v>
      </c>
      <c r="K128" s="114">
        <f t="shared" si="59"/>
        <v>-5.413912051658485E-2</v>
      </c>
    </row>
    <row r="129" spans="1:11" ht="15" customHeight="1" outlineLevel="1" x14ac:dyDescent="0.2"/>
    <row r="130" spans="1:11" outlineLevel="1" x14ac:dyDescent="0.2">
      <c r="B130" s="29" t="s">
        <v>19</v>
      </c>
      <c r="C130" s="30"/>
      <c r="D130" s="93" t="s">
        <v>120</v>
      </c>
      <c r="E130" s="93">
        <f>E127-D127</f>
        <v>44.700000000000017</v>
      </c>
      <c r="F130" s="93">
        <f>F127-E127</f>
        <v>32.599999999999966</v>
      </c>
      <c r="G130" s="93">
        <f t="shared" ref="G130:K130" si="60">G127-F127</f>
        <v>-6.0540962096893338</v>
      </c>
      <c r="H130" s="93">
        <f t="shared" si="60"/>
        <v>25.55366488382802</v>
      </c>
      <c r="I130" s="93">
        <f t="shared" si="60"/>
        <v>11.80232827261554</v>
      </c>
      <c r="J130" s="93">
        <f t="shared" si="60"/>
        <v>-1.4076171334312448</v>
      </c>
      <c r="K130" s="112">
        <f t="shared" si="60"/>
        <v>-6.1718597388906744</v>
      </c>
    </row>
    <row r="131" spans="1:11" outlineLevel="1" x14ac:dyDescent="0.2">
      <c r="B131" s="95" t="s">
        <v>102</v>
      </c>
      <c r="C131" s="33"/>
      <c r="D131" s="96" t="s">
        <v>120</v>
      </c>
      <c r="E131" s="96">
        <f>E130/E$61</f>
        <v>1.7616457791440061E-2</v>
      </c>
      <c r="F131" s="96">
        <f t="shared" ref="F131" si="61">F130/F$61</f>
        <v>1.3028534889297406E-2</v>
      </c>
      <c r="G131" s="113">
        <f>AVERAGE(D131:F131)</f>
        <v>1.5322496340368735E-2</v>
      </c>
      <c r="H131" s="108">
        <f>$G$131</f>
        <v>1.5322496340368735E-2</v>
      </c>
      <c r="I131" s="108">
        <f t="shared" ref="I131:K131" si="62">$G$131</f>
        <v>1.5322496340368735E-2</v>
      </c>
      <c r="J131" s="108">
        <f t="shared" si="62"/>
        <v>1.5322496340368735E-2</v>
      </c>
      <c r="K131" s="115">
        <f t="shared" si="62"/>
        <v>1.5322496340368735E-2</v>
      </c>
    </row>
    <row r="132" spans="1:11" x14ac:dyDescent="0.2">
      <c r="B132" s="116"/>
      <c r="C132" s="73"/>
      <c r="D132" s="117"/>
      <c r="E132" s="117"/>
      <c r="F132" s="117"/>
      <c r="G132" s="118"/>
      <c r="H132" s="119"/>
      <c r="I132" s="119"/>
      <c r="J132" s="119"/>
      <c r="K132" s="119"/>
    </row>
    <row r="133" spans="1:11" x14ac:dyDescent="0.2">
      <c r="A133" t="s">
        <v>0</v>
      </c>
      <c r="B133" s="81" t="s">
        <v>121</v>
      </c>
      <c r="C133" s="82"/>
      <c r="D133" s="70">
        <f>2008</f>
        <v>2008</v>
      </c>
      <c r="E133" s="70">
        <f>D133+1</f>
        <v>2009</v>
      </c>
      <c r="F133" s="70">
        <f>E133+1</f>
        <v>2010</v>
      </c>
      <c r="G133" s="71">
        <f t="shared" ref="G133:K133" si="63">F133+1</f>
        <v>2011</v>
      </c>
      <c r="H133" s="71">
        <f t="shared" si="63"/>
        <v>2012</v>
      </c>
      <c r="I133" s="71">
        <f t="shared" si="63"/>
        <v>2013</v>
      </c>
      <c r="J133" s="71">
        <f t="shared" si="63"/>
        <v>2014</v>
      </c>
      <c r="K133" s="71">
        <f t="shared" si="63"/>
        <v>2015</v>
      </c>
    </row>
    <row r="134" spans="1:11" ht="5" customHeight="1" outlineLevel="1" x14ac:dyDescent="0.2">
      <c r="B134" s="116"/>
      <c r="C134" s="73"/>
      <c r="D134" s="117"/>
      <c r="E134" s="117"/>
      <c r="F134" s="117"/>
      <c r="G134" s="118"/>
      <c r="H134" s="119"/>
      <c r="I134" s="119"/>
      <c r="J134" s="119"/>
      <c r="K134" s="119"/>
    </row>
    <row r="135" spans="1:11" outlineLevel="1" x14ac:dyDescent="0.2">
      <c r="B135" t="s">
        <v>20</v>
      </c>
      <c r="C135" s="73"/>
      <c r="D135" s="68">
        <v>178.2</v>
      </c>
      <c r="E135" s="68">
        <v>204</v>
      </c>
      <c r="F135" s="68">
        <v>150.30000000000001</v>
      </c>
      <c r="G135" s="51">
        <f>G136*G61</f>
        <v>182.80533167533957</v>
      </c>
      <c r="H135" s="51">
        <f t="shared" ref="H135:K135" si="64">H136*H61</f>
        <v>149.2839188739564</v>
      </c>
      <c r="I135" s="51">
        <f t="shared" si="64"/>
        <v>133.80157143602943</v>
      </c>
      <c r="J135" s="51">
        <f t="shared" si="64"/>
        <v>135.64808993780053</v>
      </c>
      <c r="K135" s="51">
        <f t="shared" si="64"/>
        <v>143.74436336864309</v>
      </c>
    </row>
    <row r="136" spans="1:11" outlineLevel="1" x14ac:dyDescent="0.2">
      <c r="B136" s="83" t="s">
        <v>102</v>
      </c>
      <c r="C136" s="73"/>
      <c r="D136" s="87">
        <f>D135/D$61</f>
        <v>7.2595429176681464E-2</v>
      </c>
      <c r="E136" s="87">
        <f>E135/E$61</f>
        <v>8.0397257034759986E-2</v>
      </c>
      <c r="F136" s="87">
        <f t="shared" ref="F136" si="65">F135/F$61</f>
        <v>6.0067140915993932E-2</v>
      </c>
      <c r="G136" s="120">
        <f>AVERAGE(D136:F136)</f>
        <v>7.1019942375811801E-2</v>
      </c>
      <c r="H136" s="121">
        <f>$G$136</f>
        <v>7.1019942375811801E-2</v>
      </c>
      <c r="I136" s="121">
        <f t="shared" ref="I136:K136" si="66">$G$136</f>
        <v>7.1019942375811801E-2</v>
      </c>
      <c r="J136" s="121">
        <f t="shared" si="66"/>
        <v>7.1019942375811801E-2</v>
      </c>
      <c r="K136" s="121">
        <f t="shared" si="66"/>
        <v>7.1019942375811801E-2</v>
      </c>
    </row>
    <row r="137" spans="1:11" outlineLevel="1" x14ac:dyDescent="0.2">
      <c r="B137" s="116"/>
      <c r="C137" s="73"/>
      <c r="D137" s="117"/>
      <c r="E137" s="117"/>
      <c r="F137" s="117"/>
      <c r="G137" s="118"/>
      <c r="H137" s="119"/>
      <c r="I137" s="119"/>
      <c r="J137" s="119"/>
      <c r="K137" s="119"/>
    </row>
    <row r="138" spans="1:11" outlineLevel="1" x14ac:dyDescent="0.2">
      <c r="B138" t="s">
        <v>122</v>
      </c>
      <c r="C138" s="73"/>
      <c r="D138" s="68">
        <f>95.6-D151</f>
        <v>90.6</v>
      </c>
      <c r="E138" s="68">
        <f>98.1-E151</f>
        <v>89.3</v>
      </c>
      <c r="F138" s="68">
        <f>111.7-F151</f>
        <v>103</v>
      </c>
      <c r="G138" s="51">
        <f>G140*G135</f>
        <v>99.413115096709689</v>
      </c>
      <c r="H138" s="51">
        <f t="shared" ref="H138:K138" si="67">H140*H135</f>
        <v>81.183515125595861</v>
      </c>
      <c r="I138" s="51">
        <f t="shared" si="67"/>
        <v>72.763911749106867</v>
      </c>
      <c r="J138" s="51">
        <f t="shared" si="67"/>
        <v>73.768084628871605</v>
      </c>
      <c r="K138" s="51">
        <f t="shared" si="67"/>
        <v>78.170996486301647</v>
      </c>
    </row>
    <row r="139" spans="1:11" outlineLevel="1" x14ac:dyDescent="0.2">
      <c r="B139" s="83" t="s">
        <v>102</v>
      </c>
      <c r="C139" s="73"/>
      <c r="D139" s="87">
        <f>D138/D$61</f>
        <v>3.6908787224508084E-2</v>
      </c>
      <c r="E139" s="87">
        <f>E138/E$61</f>
        <v>3.5193505162765031E-2</v>
      </c>
      <c r="F139" s="87">
        <f t="shared" ref="F139" si="68">F138/F$61</f>
        <v>4.116377587722804E-2</v>
      </c>
      <c r="G139" s="120">
        <f>G138/G61</f>
        <v>3.8622033837105552E-2</v>
      </c>
      <c r="H139" s="121">
        <f>$G$139</f>
        <v>3.8622033837105552E-2</v>
      </c>
      <c r="I139" s="121">
        <f t="shared" ref="I139:K139" si="69">$G$139</f>
        <v>3.8622033837105552E-2</v>
      </c>
      <c r="J139" s="121">
        <f t="shared" si="69"/>
        <v>3.8622033837105552E-2</v>
      </c>
      <c r="K139" s="121">
        <f t="shared" si="69"/>
        <v>3.8622033837105552E-2</v>
      </c>
    </row>
    <row r="140" spans="1:11" outlineLevel="1" x14ac:dyDescent="0.2">
      <c r="B140" s="83" t="s">
        <v>123</v>
      </c>
      <c r="C140" s="73"/>
      <c r="D140" s="87">
        <f>D138/D135</f>
        <v>0.50841750841750843</v>
      </c>
      <c r="E140" s="87">
        <f t="shared" ref="E140:F140" si="70">E138/E135</f>
        <v>0.43774509803921569</v>
      </c>
      <c r="F140" s="87">
        <f t="shared" si="70"/>
        <v>0.6852960745176313</v>
      </c>
      <c r="G140" s="120">
        <f>AVERAGE(D140:F140)</f>
        <v>0.54381956032478518</v>
      </c>
      <c r="H140" s="121">
        <f>$G$140</f>
        <v>0.54381956032478518</v>
      </c>
      <c r="I140" s="121">
        <f t="shared" ref="I140:K140" si="71">$G$140</f>
        <v>0.54381956032478518</v>
      </c>
      <c r="J140" s="121">
        <f t="shared" si="71"/>
        <v>0.54381956032478518</v>
      </c>
      <c r="K140" s="121">
        <f t="shared" si="71"/>
        <v>0.54381956032478518</v>
      </c>
    </row>
    <row r="141" spans="1:11" outlineLevel="1" x14ac:dyDescent="0.2">
      <c r="B141" s="116"/>
      <c r="C141" s="73"/>
      <c r="D141" s="117"/>
      <c r="E141" s="117"/>
      <c r="F141" s="117"/>
      <c r="G141" s="118"/>
      <c r="H141" s="119"/>
      <c r="I141" s="119"/>
      <c r="J141" s="119"/>
      <c r="K141" s="119"/>
    </row>
    <row r="142" spans="1:11" outlineLevel="1" x14ac:dyDescent="0.2">
      <c r="B142" s="122" t="s">
        <v>124</v>
      </c>
      <c r="C142" s="73"/>
      <c r="D142" s="68"/>
      <c r="E142" s="68"/>
      <c r="F142" s="68"/>
      <c r="G142" s="68"/>
      <c r="H142" s="68"/>
      <c r="I142" s="68"/>
      <c r="J142" s="68"/>
      <c r="K142" s="68"/>
    </row>
    <row r="143" spans="1:11" outlineLevel="1" x14ac:dyDescent="0.2">
      <c r="B143" s="123" t="s">
        <v>26</v>
      </c>
      <c r="C143" s="73"/>
      <c r="D143" s="51">
        <f>D146+D145-D144</f>
        <v>873.09999999999991</v>
      </c>
      <c r="E143" s="50">
        <f>D146</f>
        <v>960.7</v>
      </c>
      <c r="F143" s="50">
        <f>E146</f>
        <v>1013.2</v>
      </c>
      <c r="G143" s="68">
        <f>F146</f>
        <v>1014.1</v>
      </c>
      <c r="H143" s="68">
        <f>G146</f>
        <v>1097.49221657863</v>
      </c>
      <c r="I143" s="68">
        <f t="shared" ref="I143:K143" si="72">H146</f>
        <v>1165.5926203269905</v>
      </c>
      <c r="J143" s="68">
        <f t="shared" si="72"/>
        <v>1226.6302800139131</v>
      </c>
      <c r="K143" s="68">
        <f t="shared" si="72"/>
        <v>1288.510285322842</v>
      </c>
    </row>
    <row r="144" spans="1:11" outlineLevel="1" x14ac:dyDescent="0.2">
      <c r="B144" s="123" t="s">
        <v>125</v>
      </c>
      <c r="C144" s="73"/>
      <c r="D144" s="50">
        <f>D135</f>
        <v>178.2</v>
      </c>
      <c r="E144" s="124">
        <f>E135</f>
        <v>204</v>
      </c>
      <c r="F144" s="124">
        <f>F135</f>
        <v>150.30000000000001</v>
      </c>
      <c r="G144" s="50">
        <f>G135</f>
        <v>182.80533167533957</v>
      </c>
      <c r="H144" s="50">
        <f t="shared" ref="H144:K144" si="73">H135</f>
        <v>149.2839188739564</v>
      </c>
      <c r="I144" s="50">
        <f t="shared" si="73"/>
        <v>133.80157143602943</v>
      </c>
      <c r="J144" s="50">
        <f t="shared" si="73"/>
        <v>135.64808993780053</v>
      </c>
      <c r="K144" s="50">
        <f t="shared" si="73"/>
        <v>143.74436336864309</v>
      </c>
    </row>
    <row r="145" spans="2:11" outlineLevel="1" x14ac:dyDescent="0.2">
      <c r="B145" s="123" t="s">
        <v>126</v>
      </c>
      <c r="C145" s="73"/>
      <c r="D145" s="50">
        <f>D138</f>
        <v>90.6</v>
      </c>
      <c r="E145" s="124">
        <f>E138</f>
        <v>89.3</v>
      </c>
      <c r="F145" s="124">
        <f>F138</f>
        <v>103</v>
      </c>
      <c r="G145" s="50">
        <f>G138</f>
        <v>99.413115096709689</v>
      </c>
      <c r="H145" s="50">
        <f t="shared" ref="H145:K145" si="74">H138</f>
        <v>81.183515125595861</v>
      </c>
      <c r="I145" s="50">
        <f t="shared" si="74"/>
        <v>72.763911749106867</v>
      </c>
      <c r="J145" s="50">
        <f t="shared" si="74"/>
        <v>73.768084628871605</v>
      </c>
      <c r="K145" s="50">
        <f t="shared" si="74"/>
        <v>78.170996486301647</v>
      </c>
    </row>
    <row r="146" spans="2:11" outlineLevel="1" x14ac:dyDescent="0.2">
      <c r="B146" s="125" t="s">
        <v>29</v>
      </c>
      <c r="C146" s="73"/>
      <c r="D146" s="68">
        <v>960.7</v>
      </c>
      <c r="E146" s="68">
        <v>1013.2</v>
      </c>
      <c r="F146" s="68">
        <v>1014.1</v>
      </c>
      <c r="G146" s="68">
        <f>G143+G144-G145</f>
        <v>1097.49221657863</v>
      </c>
      <c r="H146" s="68">
        <f t="shared" ref="H146:K146" si="75">H143+H144-H145</f>
        <v>1165.5926203269905</v>
      </c>
      <c r="I146" s="68">
        <f t="shared" si="75"/>
        <v>1226.6302800139131</v>
      </c>
      <c r="J146" s="68">
        <f t="shared" si="75"/>
        <v>1288.510285322842</v>
      </c>
      <c r="K146" s="68">
        <f t="shared" si="75"/>
        <v>1354.0836522051834</v>
      </c>
    </row>
    <row r="147" spans="2:11" outlineLevel="1" x14ac:dyDescent="0.2">
      <c r="B147" s="125"/>
      <c r="C147" s="73"/>
      <c r="D147" s="68"/>
      <c r="E147" s="51"/>
      <c r="F147" s="51"/>
      <c r="G147" s="68"/>
      <c r="H147" s="68"/>
      <c r="I147" s="68"/>
      <c r="J147" s="68"/>
      <c r="K147" s="68"/>
    </row>
    <row r="148" spans="2:11" outlineLevel="1" x14ac:dyDescent="0.2">
      <c r="B148" s="122" t="s">
        <v>127</v>
      </c>
      <c r="C148" s="73"/>
      <c r="D148" s="68"/>
      <c r="E148" s="68"/>
      <c r="F148" s="68"/>
      <c r="G148" s="68"/>
      <c r="H148" s="68"/>
      <c r="I148" s="68"/>
      <c r="J148" s="68"/>
      <c r="K148" s="68"/>
    </row>
    <row r="149" spans="2:11" outlineLevel="1" x14ac:dyDescent="0.2">
      <c r="B149" s="123" t="s">
        <v>26</v>
      </c>
      <c r="C149" s="73"/>
      <c r="D149" s="18">
        <f>D152+D151-D150</f>
        <v>1059.5999999999999</v>
      </c>
      <c r="E149" s="50">
        <v>1054.5999999999999</v>
      </c>
      <c r="F149" s="50">
        <v>1062.7</v>
      </c>
      <c r="G149" s="50">
        <v>1025.4000000000001</v>
      </c>
      <c r="H149" s="50">
        <f>G152</f>
        <v>1025.4000000000001</v>
      </c>
      <c r="I149" s="50">
        <f t="shared" ref="I149:K149" si="76">H152</f>
        <v>1025.4000000000001</v>
      </c>
      <c r="J149" s="50">
        <f t="shared" si="76"/>
        <v>1025.4000000000001</v>
      </c>
      <c r="K149" s="50">
        <f t="shared" si="76"/>
        <v>1025.4000000000001</v>
      </c>
    </row>
    <row r="150" spans="2:11" outlineLevel="1" x14ac:dyDescent="0.2">
      <c r="B150" s="123" t="s">
        <v>128</v>
      </c>
      <c r="C150" s="73"/>
      <c r="D150" s="68">
        <v>0</v>
      </c>
      <c r="E150" s="51">
        <f>E152-E149+E151</f>
        <v>16.900000000000137</v>
      </c>
      <c r="F150" s="51">
        <f>F152-F149+F151</f>
        <v>-28.599999999999955</v>
      </c>
      <c r="G150" s="51">
        <f>G151</f>
        <v>8.9</v>
      </c>
      <c r="H150" s="51">
        <f t="shared" ref="H150:K150" si="77">H151</f>
        <v>8.8000000000000007</v>
      </c>
      <c r="I150" s="51">
        <f t="shared" si="77"/>
        <v>8.8000000000000007</v>
      </c>
      <c r="J150" s="51">
        <f t="shared" si="77"/>
        <v>8.6</v>
      </c>
      <c r="K150" s="51">
        <f t="shared" si="77"/>
        <v>8.1999999999999993</v>
      </c>
    </row>
    <row r="151" spans="2:11" outlineLevel="1" x14ac:dyDescent="0.2">
      <c r="B151" s="123" t="s">
        <v>73</v>
      </c>
      <c r="C151" s="73"/>
      <c r="D151" s="68">
        <v>5</v>
      </c>
      <c r="E151" s="68">
        <v>8.8000000000000007</v>
      </c>
      <c r="F151" s="68">
        <v>8.6999999999999993</v>
      </c>
      <c r="G151" s="68">
        <v>8.9</v>
      </c>
      <c r="H151" s="68">
        <v>8.8000000000000007</v>
      </c>
      <c r="I151" s="68">
        <v>8.8000000000000007</v>
      </c>
      <c r="J151" s="68">
        <v>8.6</v>
      </c>
      <c r="K151" s="68">
        <v>8.1999999999999993</v>
      </c>
    </row>
    <row r="152" spans="2:11" outlineLevel="1" x14ac:dyDescent="0.2">
      <c r="B152" s="125" t="s">
        <v>29</v>
      </c>
      <c r="C152" s="73"/>
      <c r="D152" s="68">
        <f>E149</f>
        <v>1054.5999999999999</v>
      </c>
      <c r="E152" s="68">
        <f>F149</f>
        <v>1062.7</v>
      </c>
      <c r="F152" s="68">
        <f>G149</f>
        <v>1025.4000000000001</v>
      </c>
      <c r="G152" s="68">
        <f>G149+G150-G151</f>
        <v>1025.4000000000001</v>
      </c>
      <c r="H152" s="68">
        <f t="shared" ref="H152:K152" si="78">H149+H150-H151</f>
        <v>1025.4000000000001</v>
      </c>
      <c r="I152" s="68">
        <f t="shared" si="78"/>
        <v>1025.4000000000001</v>
      </c>
      <c r="J152" s="68">
        <f t="shared" si="78"/>
        <v>1025.4000000000001</v>
      </c>
      <c r="K152" s="68">
        <f t="shared" si="78"/>
        <v>1025.4000000000001</v>
      </c>
    </row>
    <row r="153" spans="2:11" outlineLevel="1" x14ac:dyDescent="0.2">
      <c r="B153" s="125"/>
      <c r="C153" s="73"/>
      <c r="D153" s="68"/>
      <c r="E153" s="68"/>
      <c r="F153" s="68"/>
      <c r="G153" s="68"/>
      <c r="H153" s="68"/>
      <c r="I153" s="68"/>
      <c r="J153" s="68"/>
      <c r="K153" s="68"/>
    </row>
    <row r="154" spans="2:11" outlineLevel="1" x14ac:dyDescent="0.2">
      <c r="B154" s="126" t="s">
        <v>129</v>
      </c>
      <c r="C154" s="73"/>
      <c r="D154" s="127">
        <f>26.6+135.4+105.2</f>
        <v>267.2</v>
      </c>
      <c r="E154" s="127">
        <f>26.4+135.3+98.9</f>
        <v>260.60000000000002</v>
      </c>
      <c r="F154" s="127">
        <f>31+138.5+104.2</f>
        <v>273.7</v>
      </c>
      <c r="G154" s="127">
        <f>$F$154</f>
        <v>273.7</v>
      </c>
      <c r="H154" s="127">
        <f t="shared" ref="H154:K154" si="79">$F$154</f>
        <v>273.7</v>
      </c>
      <c r="I154" s="127">
        <f t="shared" si="79"/>
        <v>273.7</v>
      </c>
      <c r="J154" s="127">
        <f t="shared" si="79"/>
        <v>273.7</v>
      </c>
      <c r="K154" s="127">
        <f t="shared" si="79"/>
        <v>273.7</v>
      </c>
    </row>
    <row r="155" spans="2:11" outlineLevel="1" x14ac:dyDescent="0.2">
      <c r="B155" s="125"/>
      <c r="C155" s="73"/>
      <c r="D155" s="68"/>
      <c r="E155" s="68"/>
      <c r="F155" s="68"/>
      <c r="G155" s="68"/>
      <c r="H155" s="68"/>
      <c r="I155" s="68"/>
      <c r="J155" s="68"/>
      <c r="K155" s="68"/>
    </row>
    <row r="156" spans="2:11" outlineLevel="1" x14ac:dyDescent="0.2">
      <c r="B156" s="73" t="s">
        <v>130</v>
      </c>
      <c r="C156" s="73"/>
      <c r="D156" s="127">
        <f>71.2+360.4+85.6</f>
        <v>517.19999999999993</v>
      </c>
      <c r="E156" s="127">
        <f>65.8+354.5+74.1</f>
        <v>494.4</v>
      </c>
      <c r="F156" s="127">
        <f>65.3+344.6+68.2</f>
        <v>478.1</v>
      </c>
      <c r="G156" s="127">
        <f>$F$156</f>
        <v>478.1</v>
      </c>
      <c r="H156" s="127">
        <f t="shared" ref="H156:K156" si="80">$F$156</f>
        <v>478.1</v>
      </c>
      <c r="I156" s="127">
        <f t="shared" si="80"/>
        <v>478.1</v>
      </c>
      <c r="J156" s="127">
        <f t="shared" si="80"/>
        <v>478.1</v>
      </c>
      <c r="K156" s="127">
        <f t="shared" si="80"/>
        <v>478.1</v>
      </c>
    </row>
    <row r="157" spans="2:11" outlineLevel="1" x14ac:dyDescent="0.2">
      <c r="C157" s="37"/>
      <c r="D157" s="68"/>
      <c r="E157" s="68"/>
      <c r="F157" s="68"/>
      <c r="G157" s="68"/>
      <c r="H157" s="68"/>
      <c r="I157" s="68"/>
      <c r="J157" s="68"/>
      <c r="K157" s="68"/>
    </row>
    <row r="158" spans="2:11" outlineLevel="1" x14ac:dyDescent="0.2">
      <c r="B158" s="29" t="s">
        <v>10</v>
      </c>
      <c r="C158" s="30"/>
      <c r="D158" s="93">
        <f>D138+D151</f>
        <v>95.6</v>
      </c>
      <c r="E158" s="93">
        <f>E138+E151</f>
        <v>98.1</v>
      </c>
      <c r="F158" s="93">
        <f>F138+F151</f>
        <v>111.7</v>
      </c>
      <c r="G158" s="93">
        <f>CHOOSE(CASE,G161,G164)</f>
        <v>113</v>
      </c>
      <c r="H158" s="93">
        <f>CHOOSE(CASE,H161,H164)</f>
        <v>92</v>
      </c>
      <c r="I158" s="93">
        <f>CHOOSE(CASE,I161,I164)</f>
        <v>98</v>
      </c>
      <c r="J158" s="93">
        <f>CHOOSE(CASE,J161,J164)</f>
        <v>92</v>
      </c>
      <c r="K158" s="94">
        <f>CHOOSE(CASE,K161,K164)</f>
        <v>96</v>
      </c>
    </row>
    <row r="159" spans="2:11" outlineLevel="1" x14ac:dyDescent="0.2">
      <c r="B159" s="95" t="s">
        <v>102</v>
      </c>
      <c r="C159" s="33"/>
      <c r="D159" s="96">
        <f>D158/D$61</f>
        <v>3.8945696011732596E-2</v>
      </c>
      <c r="E159" s="96">
        <f>E158/E$61</f>
        <v>3.8661622132891933E-2</v>
      </c>
      <c r="F159" s="96">
        <f t="shared" ref="F159" si="81">F158/F$61</f>
        <v>4.4640716169770604E-2</v>
      </c>
      <c r="G159" s="96">
        <f>G158/G$61</f>
        <v>4.3900543900543904E-2</v>
      </c>
      <c r="H159" s="96">
        <f t="shared" ref="H159:K159" si="82">H158/H$61</f>
        <v>4.3767840152235969E-2</v>
      </c>
      <c r="I159" s="96">
        <f t="shared" si="82"/>
        <v>5.2016985138004249E-2</v>
      </c>
      <c r="J159" s="96">
        <f t="shared" si="82"/>
        <v>4.8167539267015703E-2</v>
      </c>
      <c r="K159" s="109">
        <f t="shared" si="82"/>
        <v>4.7430830039525688E-2</v>
      </c>
    </row>
    <row r="160" spans="2:11" outlineLevel="1" x14ac:dyDescent="0.2"/>
    <row r="161" spans="1:11" outlineLevel="1" x14ac:dyDescent="0.2">
      <c r="B161" t="s">
        <v>131</v>
      </c>
      <c r="D161" s="51"/>
      <c r="E161" s="51"/>
      <c r="F161" s="51"/>
      <c r="G161" s="51">
        <f>G138+G151</f>
        <v>108.31311509670969</v>
      </c>
      <c r="H161" s="51">
        <f t="shared" ref="H161:K161" si="83">H138+H151</f>
        <v>89.983515125595858</v>
      </c>
      <c r="I161" s="51">
        <f t="shared" si="83"/>
        <v>81.563911749106865</v>
      </c>
      <c r="J161" s="51">
        <f t="shared" si="83"/>
        <v>82.3680846288716</v>
      </c>
      <c r="K161" s="51">
        <f t="shared" si="83"/>
        <v>86.370996486301649</v>
      </c>
    </row>
    <row r="162" spans="1:11" outlineLevel="1" x14ac:dyDescent="0.2">
      <c r="B162" s="83" t="s">
        <v>102</v>
      </c>
      <c r="G162" s="128">
        <f>G161/G61</f>
        <v>4.2079687294759013E-2</v>
      </c>
      <c r="H162" s="128">
        <f t="shared" ref="H162:K162" si="84">H161/H61</f>
        <v>4.2808522895145508E-2</v>
      </c>
      <c r="I162" s="128">
        <f t="shared" si="84"/>
        <v>4.3292946788273286E-2</v>
      </c>
      <c r="J162" s="128">
        <f t="shared" si="84"/>
        <v>4.312465163815267E-2</v>
      </c>
      <c r="K162" s="128">
        <f t="shared" si="84"/>
        <v>4.2673417236315042E-2</v>
      </c>
    </row>
    <row r="163" spans="1:11" outlineLevel="1" x14ac:dyDescent="0.2"/>
    <row r="164" spans="1:11" outlineLevel="1" x14ac:dyDescent="0.2">
      <c r="B164" t="s">
        <v>132</v>
      </c>
      <c r="D164" s="51"/>
      <c r="E164" s="51"/>
      <c r="F164" s="51"/>
      <c r="G164" s="51">
        <f>G107-G79</f>
        <v>113</v>
      </c>
      <c r="H164" s="51">
        <f>H107-H79</f>
        <v>92</v>
      </c>
      <c r="I164" s="51">
        <f>I107-I79</f>
        <v>98</v>
      </c>
      <c r="J164" s="51">
        <f>J107-J79</f>
        <v>92</v>
      </c>
      <c r="K164" s="51">
        <f>K107-K79</f>
        <v>96</v>
      </c>
    </row>
    <row r="165" spans="1:11" outlineLevel="1" x14ac:dyDescent="0.2">
      <c r="B165" s="83" t="s">
        <v>102</v>
      </c>
      <c r="G165" s="87">
        <f>G164/G$61</f>
        <v>4.3900543900543904E-2</v>
      </c>
      <c r="H165" s="87">
        <f t="shared" ref="H165:K165" si="85">H164/H$61</f>
        <v>4.3767840152235969E-2</v>
      </c>
      <c r="I165" s="87">
        <f t="shared" si="85"/>
        <v>5.2016985138004249E-2</v>
      </c>
      <c r="J165" s="87">
        <f t="shared" si="85"/>
        <v>4.8167539267015703E-2</v>
      </c>
      <c r="K165" s="87">
        <f t="shared" si="85"/>
        <v>4.7430830039525688E-2</v>
      </c>
    </row>
    <row r="166" spans="1:11" outlineLevel="1" x14ac:dyDescent="0.2"/>
    <row r="167" spans="1:11" outlineLevel="1" x14ac:dyDescent="0.2">
      <c r="B167" s="29" t="s">
        <v>20</v>
      </c>
      <c r="C167" s="30"/>
      <c r="D167" s="106">
        <f>D135</f>
        <v>178.2</v>
      </c>
      <c r="E167" s="106">
        <f t="shared" ref="E167:K167" si="86">E135</f>
        <v>204</v>
      </c>
      <c r="F167" s="106">
        <f t="shared" si="86"/>
        <v>150.30000000000001</v>
      </c>
      <c r="G167" s="106">
        <f t="shared" si="86"/>
        <v>182.80533167533957</v>
      </c>
      <c r="H167" s="106">
        <f t="shared" si="86"/>
        <v>149.2839188739564</v>
      </c>
      <c r="I167" s="106">
        <f t="shared" si="86"/>
        <v>133.80157143602943</v>
      </c>
      <c r="J167" s="106">
        <f t="shared" si="86"/>
        <v>135.64808993780053</v>
      </c>
      <c r="K167" s="106">
        <f t="shared" si="86"/>
        <v>143.74436336864309</v>
      </c>
    </row>
    <row r="168" spans="1:11" outlineLevel="1" x14ac:dyDescent="0.2">
      <c r="B168" s="95" t="s">
        <v>102</v>
      </c>
      <c r="C168" s="33"/>
      <c r="D168" s="96">
        <f>D167/D$61</f>
        <v>7.2595429176681464E-2</v>
      </c>
      <c r="E168" s="96">
        <f>E167/E$61</f>
        <v>8.0397257034759986E-2</v>
      </c>
      <c r="F168" s="96">
        <f t="shared" ref="F168:K168" si="87">F167/F$61</f>
        <v>6.0067140915993932E-2</v>
      </c>
      <c r="G168" s="96">
        <f t="shared" si="87"/>
        <v>7.1019942375811801E-2</v>
      </c>
      <c r="H168" s="96">
        <f t="shared" si="87"/>
        <v>7.1019942375811801E-2</v>
      </c>
      <c r="I168" s="96">
        <f t="shared" si="87"/>
        <v>7.1019942375811801E-2</v>
      </c>
      <c r="J168" s="96">
        <f t="shared" si="87"/>
        <v>7.1019942375811801E-2</v>
      </c>
      <c r="K168" s="96">
        <f t="shared" si="87"/>
        <v>7.1019942375811801E-2</v>
      </c>
    </row>
    <row r="170" spans="1:11" x14ac:dyDescent="0.2">
      <c r="A170" t="s">
        <v>0</v>
      </c>
      <c r="B170" s="81" t="s">
        <v>133</v>
      </c>
      <c r="C170" s="82"/>
      <c r="D170" s="70">
        <f>2008</f>
        <v>2008</v>
      </c>
      <c r="E170" s="70">
        <f>D170+1</f>
        <v>2009</v>
      </c>
      <c r="F170" s="70">
        <f>E170+1</f>
        <v>2010</v>
      </c>
      <c r="G170" s="71">
        <f t="shared" ref="G170:K170" si="88">F170+1</f>
        <v>2011</v>
      </c>
      <c r="H170" s="71">
        <f t="shared" si="88"/>
        <v>2012</v>
      </c>
      <c r="I170" s="71">
        <f t="shared" si="88"/>
        <v>2013</v>
      </c>
      <c r="J170" s="71">
        <f t="shared" si="88"/>
        <v>2014</v>
      </c>
      <c r="K170" s="71">
        <f t="shared" si="88"/>
        <v>2015</v>
      </c>
    </row>
    <row r="171" spans="1:11" ht="5" customHeight="1" outlineLevel="1" x14ac:dyDescent="0.2"/>
    <row r="172" spans="1:11" ht="15" customHeight="1" outlineLevel="1" x14ac:dyDescent="0.2">
      <c r="B172" t="s">
        <v>22</v>
      </c>
      <c r="G172" s="50">
        <f ca="1">G91</f>
        <v>95.659499644848282</v>
      </c>
      <c r="H172" s="50">
        <f t="shared" ref="H172:K172" ca="1" si="89">H91</f>
        <v>148.68062948073384</v>
      </c>
      <c r="I172" s="50">
        <f t="shared" ca="1" si="89"/>
        <v>180.60813013040473</v>
      </c>
      <c r="J172" s="50">
        <f t="shared" ca="1" si="89"/>
        <v>232.10504064681015</v>
      </c>
      <c r="K172" s="50">
        <f t="shared" ca="1" si="89"/>
        <v>285.54828948858875</v>
      </c>
    </row>
    <row r="173" spans="1:11" ht="15" customHeight="1" outlineLevel="1" x14ac:dyDescent="0.2">
      <c r="B173" t="s">
        <v>10</v>
      </c>
      <c r="G173" s="50">
        <f>G158</f>
        <v>113</v>
      </c>
      <c r="H173" s="50">
        <f t="shared" ref="H173:K173" si="90">H158</f>
        <v>92</v>
      </c>
      <c r="I173" s="50">
        <f t="shared" si="90"/>
        <v>98</v>
      </c>
      <c r="J173" s="50">
        <f t="shared" si="90"/>
        <v>92</v>
      </c>
      <c r="K173" s="50">
        <f t="shared" si="90"/>
        <v>96</v>
      </c>
    </row>
    <row r="174" spans="1:11" ht="15" customHeight="1" outlineLevel="1" x14ac:dyDescent="0.2">
      <c r="B174" t="s">
        <v>134</v>
      </c>
      <c r="G174" s="50">
        <f>G130</f>
        <v>-6.0540962096893338</v>
      </c>
      <c r="H174" s="50">
        <f t="shared" ref="H174:K174" si="91">H130</f>
        <v>25.55366488382802</v>
      </c>
      <c r="I174" s="50">
        <f t="shared" si="91"/>
        <v>11.80232827261554</v>
      </c>
      <c r="J174" s="50">
        <f t="shared" si="91"/>
        <v>-1.4076171334312448</v>
      </c>
      <c r="K174" s="50">
        <f t="shared" si="91"/>
        <v>-6.1718597388906744</v>
      </c>
    </row>
    <row r="175" spans="1:11" ht="15" customHeight="1" outlineLevel="1" x14ac:dyDescent="0.2">
      <c r="B175" t="s">
        <v>135</v>
      </c>
      <c r="G175" s="129">
        <f>(G154-F154)-(F156-G156)</f>
        <v>0</v>
      </c>
      <c r="H175" s="129">
        <f t="shared" ref="H175:K175" si="92">(H154-G154)-(G156-H156)</f>
        <v>0</v>
      </c>
      <c r="I175" s="129">
        <f t="shared" si="92"/>
        <v>0</v>
      </c>
      <c r="J175" s="129">
        <f t="shared" si="92"/>
        <v>0</v>
      </c>
      <c r="K175" s="129">
        <f t="shared" si="92"/>
        <v>0</v>
      </c>
    </row>
    <row r="176" spans="1:11" ht="15" customHeight="1" outlineLevel="1" x14ac:dyDescent="0.2">
      <c r="B176" t="s">
        <v>136</v>
      </c>
    </row>
    <row r="177" spans="2:11" ht="15" customHeight="1" outlineLevel="1" x14ac:dyDescent="0.2">
      <c r="B177" s="130" t="s">
        <v>137</v>
      </c>
      <c r="C177" s="131"/>
      <c r="D177" s="131"/>
      <c r="E177" s="131"/>
      <c r="F177" s="131"/>
      <c r="G177" s="20">
        <f ca="1">G172+G173-G174-G175+G176</f>
        <v>214.7135958545376</v>
      </c>
      <c r="H177" s="20">
        <f t="shared" ref="H177:K177" ca="1" si="93">H172+H173-H174-H175+H176</f>
        <v>215.12696459690582</v>
      </c>
      <c r="I177" s="20">
        <f t="shared" ca="1" si="93"/>
        <v>266.80580185778922</v>
      </c>
      <c r="J177" s="20">
        <f t="shared" ca="1" si="93"/>
        <v>325.5126577802414</v>
      </c>
      <c r="K177" s="20">
        <f t="shared" ca="1" si="93"/>
        <v>387.7201492274794</v>
      </c>
    </row>
    <row r="178" spans="2:11" ht="15" customHeight="1" outlineLevel="1" x14ac:dyDescent="0.2"/>
    <row r="179" spans="2:11" ht="15" customHeight="1" outlineLevel="1" x14ac:dyDescent="0.2">
      <c r="B179" t="s">
        <v>125</v>
      </c>
      <c r="G179" s="50">
        <f>G167</f>
        <v>182.80533167533957</v>
      </c>
      <c r="H179" s="50">
        <f t="shared" ref="H179:K179" si="94">H167</f>
        <v>149.2839188739564</v>
      </c>
      <c r="I179" s="50">
        <f t="shared" si="94"/>
        <v>133.80157143602943</v>
      </c>
      <c r="J179" s="50">
        <f t="shared" si="94"/>
        <v>135.64808993780053</v>
      </c>
      <c r="K179" s="50">
        <f t="shared" si="94"/>
        <v>143.74436336864309</v>
      </c>
    </row>
    <row r="180" spans="2:11" ht="15" customHeight="1" outlineLevel="1" x14ac:dyDescent="0.2">
      <c r="B180" t="s">
        <v>138</v>
      </c>
      <c r="G180" s="50">
        <f>G150</f>
        <v>8.9</v>
      </c>
      <c r="H180" s="50">
        <f t="shared" ref="H180:K180" si="95">H150</f>
        <v>8.8000000000000007</v>
      </c>
      <c r="I180" s="50">
        <f t="shared" si="95"/>
        <v>8.8000000000000007</v>
      </c>
      <c r="J180" s="50">
        <f t="shared" si="95"/>
        <v>8.6</v>
      </c>
      <c r="K180" s="50">
        <f t="shared" si="95"/>
        <v>8.1999999999999993</v>
      </c>
    </row>
    <row r="181" spans="2:11" ht="15" customHeight="1" outlineLevel="1" x14ac:dyDescent="0.2">
      <c r="B181" s="130" t="s">
        <v>139</v>
      </c>
      <c r="C181" s="131"/>
      <c r="D181" s="131"/>
      <c r="E181" s="131"/>
      <c r="F181" s="131"/>
      <c r="G181" s="132">
        <f>SUM(G179:G180)</f>
        <v>191.70533167533958</v>
      </c>
      <c r="H181" s="132">
        <f t="shared" ref="H181:K181" si="96">SUM(H179:H180)</f>
        <v>158.08391887395641</v>
      </c>
      <c r="I181" s="132">
        <f t="shared" si="96"/>
        <v>142.60157143602945</v>
      </c>
      <c r="J181" s="132">
        <f t="shared" si="96"/>
        <v>144.24808993780053</v>
      </c>
      <c r="K181" s="132">
        <f t="shared" si="96"/>
        <v>151.94436336864308</v>
      </c>
    </row>
    <row r="182" spans="2:11" ht="15" customHeight="1" outlineLevel="1" x14ac:dyDescent="0.2"/>
    <row r="183" spans="2:11" ht="15" customHeight="1" outlineLevel="1" x14ac:dyDescent="0.2">
      <c r="B183" t="s">
        <v>140</v>
      </c>
    </row>
    <row r="184" spans="2:11" ht="15" customHeight="1" outlineLevel="1" x14ac:dyDescent="0.2">
      <c r="B184" s="16" t="s">
        <v>141</v>
      </c>
      <c r="G184" s="18">
        <f ca="1">G177-G181</f>
        <v>23.008264179198022</v>
      </c>
      <c r="H184" s="18">
        <f t="shared" ref="H184:K184" ca="1" si="97">H177-H181</f>
        <v>57.043045722949415</v>
      </c>
      <c r="I184" s="18">
        <f t="shared" ca="1" si="97"/>
        <v>124.20423042175977</v>
      </c>
      <c r="J184" s="18">
        <f t="shared" ca="1" si="97"/>
        <v>181.26456784244087</v>
      </c>
      <c r="K184" s="18">
        <f t="shared" ca="1" si="97"/>
        <v>235.77578585883631</v>
      </c>
    </row>
    <row r="185" spans="2:11" ht="15" customHeight="1" outlineLevel="1" x14ac:dyDescent="0.2"/>
    <row r="186" spans="2:11" ht="15" customHeight="1" outlineLevel="1" x14ac:dyDescent="0.2">
      <c r="B186" t="s">
        <v>25</v>
      </c>
    </row>
    <row r="187" spans="2:11" ht="15" customHeight="1" outlineLevel="1" x14ac:dyDescent="0.2">
      <c r="B187" s="16" t="s">
        <v>142</v>
      </c>
    </row>
    <row r="188" spans="2:11" ht="15" customHeight="1" outlineLevel="1" x14ac:dyDescent="0.2"/>
    <row r="189" spans="2:11" ht="15" customHeight="1" outlineLevel="1" x14ac:dyDescent="0.2">
      <c r="B189" s="101" t="s">
        <v>143</v>
      </c>
    </row>
    <row r="190" spans="2:11" ht="15" customHeight="1" outlineLevel="1" x14ac:dyDescent="0.2">
      <c r="B190" t="str">
        <f>B30</f>
        <v>Secured Term Loan - USD Tranche</v>
      </c>
    </row>
    <row r="191" spans="2:11" ht="15" customHeight="1" outlineLevel="1" x14ac:dyDescent="0.2">
      <c r="B191" t="str">
        <f>B31</f>
        <v>Secured Term Loan - EUR Tranche</v>
      </c>
    </row>
    <row r="192" spans="2:11" ht="15" customHeight="1" outlineLevel="1" x14ac:dyDescent="0.2">
      <c r="B192" s="130" t="s">
        <v>139</v>
      </c>
      <c r="C192" s="131"/>
      <c r="D192" s="131"/>
      <c r="E192" s="131"/>
      <c r="F192" s="131"/>
      <c r="G192" s="131"/>
      <c r="H192" s="131"/>
      <c r="I192" s="131"/>
      <c r="J192" s="131"/>
      <c r="K192" s="131"/>
    </row>
    <row r="193" spans="1:11" ht="15" customHeight="1" outlineLevel="1" x14ac:dyDescent="0.2">
      <c r="B193" s="16"/>
    </row>
    <row r="194" spans="1:11" ht="15" customHeight="1" outlineLevel="1" thickBot="1" x14ac:dyDescent="0.25">
      <c r="B194" s="14" t="s">
        <v>144</v>
      </c>
      <c r="C194" s="133"/>
      <c r="D194" s="133"/>
      <c r="E194" s="133"/>
      <c r="F194" s="133"/>
      <c r="G194" s="15"/>
      <c r="H194" s="15"/>
      <c r="I194" s="15"/>
      <c r="J194" s="15"/>
      <c r="K194" s="15"/>
    </row>
    <row r="195" spans="1:11" ht="15" customHeight="1" outlineLevel="1" x14ac:dyDescent="0.2"/>
    <row r="196" spans="1:11" outlineLevel="1" x14ac:dyDescent="0.2">
      <c r="B196" t="s">
        <v>22</v>
      </c>
      <c r="D196" s="51"/>
      <c r="E196" s="51"/>
      <c r="F196" s="51"/>
      <c r="G196" s="50">
        <f ca="1">G91</f>
        <v>95.659499644848282</v>
      </c>
      <c r="H196" s="50">
        <f ca="1">H91</f>
        <v>148.68062948073384</v>
      </c>
      <c r="I196" s="50">
        <f ca="1">I91</f>
        <v>180.60813013040473</v>
      </c>
      <c r="J196" s="50">
        <f ca="1">J91</f>
        <v>232.10504064681015</v>
      </c>
      <c r="K196" s="50">
        <f ca="1">K91</f>
        <v>285.54828948858875</v>
      </c>
    </row>
    <row r="197" spans="1:11" outlineLevel="1" x14ac:dyDescent="0.2">
      <c r="B197" t="s">
        <v>10</v>
      </c>
      <c r="D197" s="51"/>
      <c r="E197" s="51"/>
      <c r="F197" s="51"/>
      <c r="G197" s="50">
        <f>G158</f>
        <v>113</v>
      </c>
      <c r="H197" s="50">
        <f t="shared" ref="H197:K197" si="98">H158</f>
        <v>92</v>
      </c>
      <c r="I197" s="50">
        <f t="shared" si="98"/>
        <v>98</v>
      </c>
      <c r="J197" s="50">
        <f t="shared" si="98"/>
        <v>92</v>
      </c>
      <c r="K197" s="50">
        <f t="shared" si="98"/>
        <v>96</v>
      </c>
    </row>
    <row r="198" spans="1:11" outlineLevel="1" x14ac:dyDescent="0.2">
      <c r="B198" t="s">
        <v>20</v>
      </c>
      <c r="D198" s="51"/>
      <c r="E198" s="51"/>
      <c r="F198" s="51"/>
      <c r="G198" s="50">
        <f>G167</f>
        <v>182.80533167533957</v>
      </c>
      <c r="H198" s="50">
        <f t="shared" ref="H198:K198" si="99">H167</f>
        <v>149.2839188739564</v>
      </c>
      <c r="I198" s="50">
        <f t="shared" si="99"/>
        <v>133.80157143602943</v>
      </c>
      <c r="J198" s="50">
        <f t="shared" si="99"/>
        <v>135.64808993780053</v>
      </c>
      <c r="K198" s="50">
        <f t="shared" si="99"/>
        <v>143.74436336864309</v>
      </c>
    </row>
    <row r="199" spans="1:11" outlineLevel="1" x14ac:dyDescent="0.2">
      <c r="B199" t="s">
        <v>19</v>
      </c>
      <c r="D199" s="51"/>
      <c r="E199" s="51"/>
      <c r="F199" s="51"/>
      <c r="G199" s="50">
        <f>G130</f>
        <v>-6.0540962096893338</v>
      </c>
      <c r="H199" s="50">
        <f t="shared" ref="H199:K199" si="100">H130</f>
        <v>25.55366488382802</v>
      </c>
      <c r="I199" s="50">
        <f t="shared" si="100"/>
        <v>11.80232827261554</v>
      </c>
      <c r="J199" s="50">
        <f t="shared" si="100"/>
        <v>-1.4076171334312448</v>
      </c>
      <c r="K199" s="50">
        <f t="shared" si="100"/>
        <v>-6.1718597388906744</v>
      </c>
    </row>
    <row r="200" spans="1:11" outlineLevel="1" x14ac:dyDescent="0.2">
      <c r="B200" t="s">
        <v>145</v>
      </c>
      <c r="D200" s="51"/>
      <c r="E200" s="51"/>
      <c r="F200" s="51"/>
      <c r="G200" s="68">
        <f>0</f>
        <v>0</v>
      </c>
      <c r="H200" s="68">
        <f>0</f>
        <v>0</v>
      </c>
      <c r="I200" s="68">
        <f>0</f>
        <v>0</v>
      </c>
      <c r="J200" s="68">
        <f>0</f>
        <v>0</v>
      </c>
      <c r="K200" s="68">
        <f>0</f>
        <v>0</v>
      </c>
    </row>
    <row r="201" spans="1:11" outlineLevel="1" x14ac:dyDescent="0.2">
      <c r="B201" s="61" t="s">
        <v>146</v>
      </c>
      <c r="C201" s="62"/>
      <c r="D201" s="63"/>
      <c r="E201" s="63"/>
      <c r="F201" s="63"/>
      <c r="G201" s="63">
        <f ca="1">G196+G197-G198-G199-G200</f>
        <v>31.908264179198028</v>
      </c>
      <c r="H201" s="63">
        <f t="shared" ref="H201:K201" ca="1" si="101">H196+H197-H198-H199-H200</f>
        <v>65.843045722949427</v>
      </c>
      <c r="I201" s="63">
        <f t="shared" ca="1" si="101"/>
        <v>133.00423042175976</v>
      </c>
      <c r="J201" s="63">
        <f t="shared" ca="1" si="101"/>
        <v>189.86456784244086</v>
      </c>
      <c r="K201" s="65">
        <f t="shared" ca="1" si="101"/>
        <v>243.97578585883633</v>
      </c>
    </row>
    <row r="203" spans="1:11" x14ac:dyDescent="0.2">
      <c r="A203" t="s">
        <v>0</v>
      </c>
      <c r="B203" s="1" t="s">
        <v>24</v>
      </c>
      <c r="C203" s="36"/>
      <c r="D203" s="36"/>
      <c r="E203" s="36"/>
      <c r="F203" s="36"/>
      <c r="G203" s="36"/>
      <c r="H203" s="36"/>
      <c r="I203" s="36"/>
      <c r="J203" s="36"/>
      <c r="K203" s="36"/>
    </row>
    <row r="204" spans="1:11" ht="5" customHeight="1" x14ac:dyDescent="0.2"/>
    <row r="205" spans="1:11" x14ac:dyDescent="0.2">
      <c r="A205" t="s">
        <v>0</v>
      </c>
      <c r="B205" s="2" t="s">
        <v>147</v>
      </c>
      <c r="C205" s="42"/>
      <c r="D205" s="70">
        <f>2008</f>
        <v>2008</v>
      </c>
      <c r="E205" s="70">
        <f>D205+1</f>
        <v>2009</v>
      </c>
      <c r="F205" s="70">
        <f>E205+1</f>
        <v>2010</v>
      </c>
      <c r="G205" s="71">
        <f t="shared" ref="G205:K205" si="102">F205+1</f>
        <v>2011</v>
      </c>
      <c r="H205" s="71">
        <f t="shared" si="102"/>
        <v>2012</v>
      </c>
      <c r="I205" s="71">
        <f t="shared" si="102"/>
        <v>2013</v>
      </c>
      <c r="J205" s="71">
        <f t="shared" si="102"/>
        <v>2014</v>
      </c>
      <c r="K205" s="71">
        <f t="shared" si="102"/>
        <v>2015</v>
      </c>
    </row>
    <row r="206" spans="1:11" outlineLevel="1" x14ac:dyDescent="0.2">
      <c r="B206" s="101" t="s">
        <v>61</v>
      </c>
    </row>
    <row r="207" spans="1:11" outlineLevel="1" x14ac:dyDescent="0.2">
      <c r="B207" s="17" t="s">
        <v>26</v>
      </c>
      <c r="F207" s="51"/>
      <c r="G207" s="124">
        <f>E24</f>
        <v>118.19999999999999</v>
      </c>
      <c r="H207" s="51">
        <f>G209</f>
        <v>118.19999999999999</v>
      </c>
      <c r="I207" s="51">
        <f t="shared" ref="I207:K207" si="103">H209</f>
        <v>118.19999999999999</v>
      </c>
      <c r="J207" s="51">
        <f t="shared" si="103"/>
        <v>118.19999999999999</v>
      </c>
      <c r="K207" s="51">
        <f t="shared" si="103"/>
        <v>118.19999999999999</v>
      </c>
    </row>
    <row r="208" spans="1:11" outlineLevel="1" x14ac:dyDescent="0.2">
      <c r="B208" s="17" t="s">
        <v>148</v>
      </c>
      <c r="F208" s="51"/>
      <c r="G208" s="68">
        <f>G194</f>
        <v>0</v>
      </c>
      <c r="H208" s="68">
        <f t="shared" ref="H208:K208" si="104">H194</f>
        <v>0</v>
      </c>
      <c r="I208" s="68">
        <f t="shared" si="104"/>
        <v>0</v>
      </c>
      <c r="J208" s="68">
        <f t="shared" si="104"/>
        <v>0</v>
      </c>
      <c r="K208" s="68">
        <f t="shared" si="104"/>
        <v>0</v>
      </c>
    </row>
    <row r="209" spans="2:11" outlineLevel="1" x14ac:dyDescent="0.2">
      <c r="B209" s="134" t="s">
        <v>29</v>
      </c>
      <c r="F209" s="50">
        <f>E23</f>
        <v>187.6</v>
      </c>
      <c r="G209">
        <f>G207+G208</f>
        <v>118.19999999999999</v>
      </c>
      <c r="H209">
        <f t="shared" ref="H209:K209" si="105">H207+H208</f>
        <v>118.19999999999999</v>
      </c>
      <c r="I209">
        <f t="shared" si="105"/>
        <v>118.19999999999999</v>
      </c>
      <c r="J209">
        <f t="shared" si="105"/>
        <v>118.19999999999999</v>
      </c>
      <c r="K209">
        <f t="shared" si="105"/>
        <v>118.19999999999999</v>
      </c>
    </row>
    <row r="210" spans="2:11" outlineLevel="1" x14ac:dyDescent="0.2">
      <c r="B210" s="134"/>
      <c r="F210" s="50"/>
      <c r="G210" s="51"/>
      <c r="H210" s="51"/>
      <c r="I210" s="51"/>
      <c r="J210" s="51"/>
      <c r="K210" s="51"/>
    </row>
    <row r="211" spans="2:11" outlineLevel="1" x14ac:dyDescent="0.2">
      <c r="B211" s="101" t="s">
        <v>25</v>
      </c>
      <c r="F211" s="50"/>
      <c r="G211" s="51"/>
      <c r="H211" s="51"/>
      <c r="I211" s="51"/>
      <c r="J211" s="51"/>
      <c r="K211" s="51"/>
    </row>
    <row r="212" spans="2:11" outlineLevel="1" x14ac:dyDescent="0.2">
      <c r="B212" s="17" t="s">
        <v>149</v>
      </c>
      <c r="F212" s="50"/>
      <c r="G212" s="50">
        <f>G207</f>
        <v>118.19999999999999</v>
      </c>
      <c r="H212" s="50">
        <f t="shared" ref="H212:K212" si="106">H207</f>
        <v>118.19999999999999</v>
      </c>
      <c r="I212" s="50">
        <f t="shared" si="106"/>
        <v>118.19999999999999</v>
      </c>
      <c r="J212" s="50">
        <f t="shared" si="106"/>
        <v>118.19999999999999</v>
      </c>
      <c r="K212" s="50">
        <f t="shared" si="106"/>
        <v>118.19999999999999</v>
      </c>
    </row>
    <row r="213" spans="2:11" outlineLevel="1" x14ac:dyDescent="0.2">
      <c r="B213" s="17" t="s">
        <v>64</v>
      </c>
      <c r="F213" s="50"/>
      <c r="G213" s="50">
        <f>$E$24</f>
        <v>118.19999999999999</v>
      </c>
      <c r="H213" s="50">
        <f t="shared" ref="H213:K213" si="107">$E$24</f>
        <v>118.19999999999999</v>
      </c>
      <c r="I213" s="50">
        <f t="shared" si="107"/>
        <v>118.19999999999999</v>
      </c>
      <c r="J213" s="50">
        <f t="shared" si="107"/>
        <v>118.19999999999999</v>
      </c>
      <c r="K213" s="50">
        <f t="shared" si="107"/>
        <v>118.19999999999999</v>
      </c>
    </row>
    <row r="214" spans="2:11" outlineLevel="1" x14ac:dyDescent="0.2">
      <c r="B214" s="17" t="s">
        <v>150</v>
      </c>
      <c r="F214" s="50"/>
      <c r="G214" s="51">
        <f>G212-G213</f>
        <v>0</v>
      </c>
      <c r="H214" s="51">
        <f t="shared" ref="H214:K214" si="108">H212-H213</f>
        <v>0</v>
      </c>
      <c r="I214" s="51">
        <f t="shared" si="108"/>
        <v>0</v>
      </c>
      <c r="J214" s="51">
        <f t="shared" si="108"/>
        <v>0</v>
      </c>
      <c r="K214" s="51">
        <f t="shared" si="108"/>
        <v>0</v>
      </c>
    </row>
    <row r="215" spans="2:11" outlineLevel="1" x14ac:dyDescent="0.2">
      <c r="B215" s="17" t="s">
        <v>151</v>
      </c>
      <c r="F215" s="50"/>
      <c r="G215" s="50">
        <f ca="1">G184</f>
        <v>23.008264179198022</v>
      </c>
      <c r="H215" s="50">
        <f ca="1">H184</f>
        <v>57.043045722949415</v>
      </c>
      <c r="I215" s="50">
        <f t="shared" ref="I215:K215" ca="1" si="109">I184</f>
        <v>124.20423042175977</v>
      </c>
      <c r="J215" s="50">
        <f t="shared" ca="1" si="109"/>
        <v>181.26456784244087</v>
      </c>
      <c r="K215" s="50">
        <f t="shared" ca="1" si="109"/>
        <v>235.77578585883631</v>
      </c>
    </row>
    <row r="216" spans="2:11" outlineLevel="1" x14ac:dyDescent="0.2">
      <c r="B216" s="134" t="s">
        <v>152</v>
      </c>
      <c r="F216" s="50"/>
      <c r="G216" s="47">
        <f ca="1">G214+G215</f>
        <v>23.008264179198022</v>
      </c>
      <c r="H216" s="47">
        <f t="shared" ref="H216:K216" ca="1" si="110">H214+H215</f>
        <v>57.043045722949415</v>
      </c>
      <c r="I216" s="47">
        <f t="shared" ca="1" si="110"/>
        <v>124.20423042175977</v>
      </c>
      <c r="J216" s="47">
        <f t="shared" ca="1" si="110"/>
        <v>181.26456784244087</v>
      </c>
      <c r="K216" s="47">
        <f t="shared" ca="1" si="110"/>
        <v>235.77578585883631</v>
      </c>
    </row>
    <row r="217" spans="2:11" outlineLevel="1" x14ac:dyDescent="0.2">
      <c r="B217" s="134"/>
      <c r="F217" s="50"/>
      <c r="G217" s="51"/>
      <c r="H217" s="51"/>
      <c r="I217" s="51"/>
      <c r="J217" s="51"/>
      <c r="K217" s="51"/>
    </row>
    <row r="218" spans="2:11" outlineLevel="1" x14ac:dyDescent="0.2">
      <c r="B218" s="17" t="s">
        <v>26</v>
      </c>
      <c r="F218" s="50"/>
      <c r="G218" s="51">
        <f>F220</f>
        <v>0</v>
      </c>
      <c r="H218" s="51">
        <f ca="1">G220</f>
        <v>0</v>
      </c>
      <c r="I218" s="51">
        <f t="shared" ref="I218:K218" ca="1" si="111">H220</f>
        <v>0</v>
      </c>
      <c r="J218" s="51">
        <f t="shared" ca="1" si="111"/>
        <v>0</v>
      </c>
      <c r="K218" s="51">
        <f t="shared" ca="1" si="111"/>
        <v>0</v>
      </c>
    </row>
    <row r="219" spans="2:11" outlineLevel="1" x14ac:dyDescent="0.2">
      <c r="B219" s="17" t="s">
        <v>153</v>
      </c>
      <c r="F219" s="50"/>
      <c r="G219" s="51">
        <f ca="1">-MIN(G216,G218)</f>
        <v>0</v>
      </c>
      <c r="H219" s="51">
        <f t="shared" ref="H219:K219" ca="1" si="112">-MIN(H216,H218)</f>
        <v>0</v>
      </c>
      <c r="I219" s="51">
        <f t="shared" ca="1" si="112"/>
        <v>0</v>
      </c>
      <c r="J219" s="51">
        <f t="shared" ca="1" si="112"/>
        <v>0</v>
      </c>
      <c r="K219" s="51">
        <f t="shared" ca="1" si="112"/>
        <v>0</v>
      </c>
    </row>
    <row r="220" spans="2:11" outlineLevel="1" x14ac:dyDescent="0.2">
      <c r="B220" s="134" t="s">
        <v>29</v>
      </c>
      <c r="F220" s="135">
        <v>0</v>
      </c>
      <c r="G220" s="47">
        <f ca="1">G218+G219</f>
        <v>0</v>
      </c>
      <c r="H220" s="47">
        <f t="shared" ref="H220:K220" ca="1" si="113">H218+H219</f>
        <v>0</v>
      </c>
      <c r="I220" s="47">
        <f t="shared" ca="1" si="113"/>
        <v>0</v>
      </c>
      <c r="J220" s="47">
        <f t="shared" ca="1" si="113"/>
        <v>0</v>
      </c>
      <c r="K220" s="47">
        <f t="shared" ca="1" si="113"/>
        <v>0</v>
      </c>
    </row>
    <row r="221" spans="2:11" outlineLevel="1" x14ac:dyDescent="0.2">
      <c r="B221" s="17" t="s">
        <v>154</v>
      </c>
      <c r="F221" s="50"/>
      <c r="G221" s="68">
        <v>150</v>
      </c>
      <c r="H221" s="50">
        <f>$G$221</f>
        <v>150</v>
      </c>
      <c r="I221" s="50">
        <f t="shared" ref="I221:K221" si="114">$G$221</f>
        <v>150</v>
      </c>
      <c r="J221" s="50">
        <f t="shared" si="114"/>
        <v>150</v>
      </c>
      <c r="K221" s="50">
        <f t="shared" si="114"/>
        <v>150</v>
      </c>
    </row>
    <row r="222" spans="2:11" outlineLevel="1" x14ac:dyDescent="0.2">
      <c r="B222" s="136" t="s">
        <v>155</v>
      </c>
      <c r="C222" s="137"/>
      <c r="D222" s="137"/>
      <c r="E222" s="137"/>
      <c r="F222" s="124"/>
      <c r="G222" s="138" t="str">
        <f ca="1">IF(G220&gt;G221,"OVERDRAWN","OK")</f>
        <v>OK</v>
      </c>
      <c r="H222" s="138" t="str">
        <f t="shared" ref="H222:K222" ca="1" si="115">IF(H220&gt;H221,"OVERDRAWN","OK")</f>
        <v>OK</v>
      </c>
      <c r="I222" s="138" t="str">
        <f t="shared" ca="1" si="115"/>
        <v>OK</v>
      </c>
      <c r="J222" s="138" t="str">
        <f t="shared" ca="1" si="115"/>
        <v>OK</v>
      </c>
      <c r="K222" s="138" t="str">
        <f t="shared" ca="1" si="115"/>
        <v>OK</v>
      </c>
    </row>
    <row r="223" spans="2:11" outlineLevel="1" x14ac:dyDescent="0.2">
      <c r="F223" s="51"/>
      <c r="G223" s="51"/>
      <c r="H223" s="51"/>
      <c r="I223" s="51"/>
      <c r="J223" s="51"/>
      <c r="K223" s="51"/>
    </row>
    <row r="224" spans="2:11" outlineLevel="1" x14ac:dyDescent="0.2">
      <c r="B224" s="139" t="s">
        <v>74</v>
      </c>
      <c r="F224" s="51"/>
      <c r="G224" s="51"/>
      <c r="H224" s="51"/>
      <c r="I224" s="51"/>
      <c r="J224" s="51"/>
      <c r="K224" s="51"/>
    </row>
    <row r="225" spans="2:11" outlineLevel="1" x14ac:dyDescent="0.2">
      <c r="B225" s="17" t="s">
        <v>26</v>
      </c>
      <c r="F225" s="51"/>
      <c r="G225" s="50">
        <f>F228</f>
        <v>1510</v>
      </c>
      <c r="H225" s="50">
        <f t="shared" ref="H225:K225" ca="1" si="116">G228</f>
        <v>1502.0917358208019</v>
      </c>
      <c r="I225" s="50">
        <f t="shared" ca="1" si="116"/>
        <v>1460.0696074560606</v>
      </c>
      <c r="J225" s="50">
        <f t="shared" ca="1" si="116"/>
        <v>1350.4660731088613</v>
      </c>
      <c r="K225" s="50">
        <f t="shared" ca="1" si="116"/>
        <v>1182.7061659975091</v>
      </c>
    </row>
    <row r="226" spans="2:11" outlineLevel="1" x14ac:dyDescent="0.2">
      <c r="B226" s="17" t="s">
        <v>156</v>
      </c>
      <c r="F226" s="51"/>
      <c r="G226" s="51">
        <f>MIN(G225*G230,G225)</f>
        <v>15.1</v>
      </c>
      <c r="H226" s="51">
        <f t="shared" ref="H226:J226" ca="1" si="117">MIN(H225*H230,H225)</f>
        <v>15.020917358208019</v>
      </c>
      <c r="I226" s="51">
        <f t="shared" ca="1" si="117"/>
        <v>14.600696074560606</v>
      </c>
      <c r="J226" s="51">
        <f t="shared" ca="1" si="117"/>
        <v>13.504660731088613</v>
      </c>
      <c r="K226" s="51">
        <f t="shared" ref="K226" ca="1" si="118">MIN(K216-K219,K225*K230)</f>
        <v>11.82706165997509</v>
      </c>
    </row>
    <row r="227" spans="2:11" outlineLevel="1" x14ac:dyDescent="0.2">
      <c r="B227" s="17" t="s">
        <v>157</v>
      </c>
      <c r="F227" s="51"/>
      <c r="G227" s="51">
        <f ca="1">IF(G231-G226&gt;0,G231-G226,0)</f>
        <v>7.9082641791980226</v>
      </c>
      <c r="H227" s="51">
        <f t="shared" ref="H227:J227" ca="1" si="119">IF(H231-H226&gt;0,H231-H226,0)</f>
        <v>42.022128364741398</v>
      </c>
      <c r="I227" s="51">
        <f t="shared" ca="1" si="119"/>
        <v>109.60353434719917</v>
      </c>
      <c r="J227" s="51">
        <f t="shared" ca="1" si="119"/>
        <v>167.75990711135225</v>
      </c>
      <c r="K227" s="51">
        <f t="shared" ref="K227" ca="1" si="120">MIN(K231,K225-K226)</f>
        <v>235.93000374765595</v>
      </c>
    </row>
    <row r="228" spans="2:11" outlineLevel="1" x14ac:dyDescent="0.2">
      <c r="B228" s="134" t="s">
        <v>29</v>
      </c>
      <c r="F228" s="50">
        <f>C41</f>
        <v>1510</v>
      </c>
      <c r="G228" s="51">
        <f ca="1">G225-G227</f>
        <v>1502.0917358208019</v>
      </c>
      <c r="H228" s="51">
        <f ca="1">H225-H227</f>
        <v>1460.0696074560606</v>
      </c>
      <c r="I228" s="51">
        <f t="shared" ref="I228:K228" ca="1" si="121">I225-I227</f>
        <v>1350.4660731088613</v>
      </c>
      <c r="J228" s="51">
        <f t="shared" ca="1" si="121"/>
        <v>1182.7061659975091</v>
      </c>
      <c r="K228" s="51">
        <f t="shared" ca="1" si="121"/>
        <v>946.77616224985309</v>
      </c>
    </row>
    <row r="229" spans="2:11" outlineLevel="1" x14ac:dyDescent="0.2">
      <c r="B229" s="134"/>
      <c r="F229" s="50"/>
      <c r="G229" s="51"/>
      <c r="H229" s="51"/>
      <c r="I229" s="51"/>
      <c r="J229" s="51"/>
      <c r="K229" s="51"/>
    </row>
    <row r="230" spans="2:11" outlineLevel="1" x14ac:dyDescent="0.2">
      <c r="B230" s="140" t="s">
        <v>158</v>
      </c>
      <c r="F230" s="50"/>
      <c r="G230" s="60">
        <v>0.01</v>
      </c>
      <c r="H230" s="141">
        <f>$G$230</f>
        <v>0.01</v>
      </c>
      <c r="I230" s="141">
        <f>$G$230</f>
        <v>0.01</v>
      </c>
      <c r="J230" s="141">
        <f>$G$230</f>
        <v>0.01</v>
      </c>
      <c r="K230" s="141">
        <f>$G$230</f>
        <v>0.01</v>
      </c>
    </row>
    <row r="231" spans="2:11" outlineLevel="1" x14ac:dyDescent="0.2">
      <c r="B231" s="140" t="s">
        <v>159</v>
      </c>
      <c r="E231" s="142" t="s">
        <v>160</v>
      </c>
      <c r="F231" s="60">
        <v>1</v>
      </c>
      <c r="G231" s="18">
        <f ca="1">(G216+G219)*$F$231</f>
        <v>23.008264179198022</v>
      </c>
      <c r="H231" s="18">
        <f t="shared" ref="H231:J231" ca="1" si="122">(H216+H219)*$F$231</f>
        <v>57.043045722949415</v>
      </c>
      <c r="I231" s="18">
        <f t="shared" ca="1" si="122"/>
        <v>124.20423042175977</v>
      </c>
      <c r="J231" s="18">
        <f t="shared" ca="1" si="122"/>
        <v>181.26456784244087</v>
      </c>
      <c r="K231" s="18">
        <f t="shared" ref="K231" ca="1" si="123">IF((K216+K219)*$F$231&gt;K227,(K216+K219)*$F$231,0)</f>
        <v>0</v>
      </c>
    </row>
    <row r="232" spans="2:11" outlineLevel="1" x14ac:dyDescent="0.2">
      <c r="F232" s="51"/>
      <c r="G232" s="51"/>
      <c r="H232" s="51"/>
      <c r="I232" s="51"/>
      <c r="J232" s="51"/>
      <c r="K232" s="51"/>
    </row>
    <row r="233" spans="2:11" outlineLevel="1" x14ac:dyDescent="0.2">
      <c r="B233" s="139" t="s">
        <v>75</v>
      </c>
      <c r="F233" s="51"/>
      <c r="G233" s="51"/>
      <c r="H233" s="51"/>
      <c r="I233" s="51"/>
      <c r="J233" s="51"/>
      <c r="K233" s="51"/>
    </row>
    <row r="234" spans="2:11" outlineLevel="1" x14ac:dyDescent="0.2">
      <c r="B234" s="17" t="s">
        <v>26</v>
      </c>
      <c r="F234" s="51"/>
      <c r="G234" s="51">
        <f>F237</f>
        <v>334.2</v>
      </c>
      <c r="H234" s="51">
        <f t="shared" ref="H234:K234" ca="1" si="124">G237</f>
        <v>310.2</v>
      </c>
      <c r="I234" s="51">
        <f t="shared" ca="1" si="124"/>
        <v>286.37908264179197</v>
      </c>
      <c r="J234" s="51">
        <f t="shared" ca="1" si="124"/>
        <v>262.97838656723138</v>
      </c>
      <c r="K234" s="51">
        <f t="shared" ca="1" si="124"/>
        <v>240.87372583614277</v>
      </c>
    </row>
    <row r="235" spans="2:11" outlineLevel="1" x14ac:dyDescent="0.2">
      <c r="B235" s="17" t="s">
        <v>156</v>
      </c>
      <c r="F235" s="51"/>
      <c r="G235" s="51"/>
      <c r="H235" s="51"/>
      <c r="I235" s="51"/>
      <c r="J235" s="51"/>
      <c r="K235" s="51"/>
    </row>
    <row r="236" spans="2:11" outlineLevel="1" x14ac:dyDescent="0.2">
      <c r="B236" s="17" t="s">
        <v>28</v>
      </c>
      <c r="F236" s="51"/>
      <c r="G236" s="51">
        <f ca="1">MIN(G234,G201-G227)</f>
        <v>24.000000000000007</v>
      </c>
      <c r="H236" s="51">
        <f t="shared" ref="H236:K236" ca="1" si="125">MIN(H234,H201-H227)</f>
        <v>23.820917358208028</v>
      </c>
      <c r="I236" s="51">
        <f t="shared" ca="1" si="125"/>
        <v>23.400696074560585</v>
      </c>
      <c r="J236" s="51">
        <f t="shared" ca="1" si="125"/>
        <v>22.104660731088615</v>
      </c>
      <c r="K236" s="51">
        <f t="shared" ca="1" si="125"/>
        <v>8.0457821111803867</v>
      </c>
    </row>
    <row r="237" spans="2:11" outlineLevel="1" x14ac:dyDescent="0.2">
      <c r="B237" s="134" t="s">
        <v>29</v>
      </c>
      <c r="F237" s="50">
        <f>C42</f>
        <v>334.2</v>
      </c>
      <c r="G237" s="51">
        <f ca="1">G234-G236</f>
        <v>310.2</v>
      </c>
      <c r="H237" s="51">
        <f t="shared" ref="H237:K237" ca="1" si="126">H234-H236</f>
        <v>286.37908264179197</v>
      </c>
      <c r="I237" s="51">
        <f t="shared" ca="1" si="126"/>
        <v>262.97838656723138</v>
      </c>
      <c r="J237" s="51">
        <f t="shared" ca="1" si="126"/>
        <v>240.87372583614277</v>
      </c>
      <c r="K237" s="51">
        <f t="shared" ca="1" si="126"/>
        <v>232.82794372496238</v>
      </c>
    </row>
    <row r="238" spans="2:11" outlineLevel="1" x14ac:dyDescent="0.2">
      <c r="F238" s="51"/>
      <c r="G238" s="51"/>
      <c r="H238" s="51"/>
      <c r="I238" s="51"/>
      <c r="J238" s="51"/>
      <c r="K238" s="51"/>
    </row>
    <row r="239" spans="2:11" outlineLevel="1" x14ac:dyDescent="0.2">
      <c r="B239" s="101" t="s">
        <v>76</v>
      </c>
      <c r="F239" s="51"/>
      <c r="G239" s="51"/>
      <c r="H239" s="51"/>
      <c r="I239" s="51"/>
      <c r="J239" s="51"/>
      <c r="K239" s="51"/>
    </row>
    <row r="240" spans="2:11" outlineLevel="1" x14ac:dyDescent="0.2">
      <c r="B240" s="17" t="s">
        <v>26</v>
      </c>
      <c r="F240" s="51"/>
      <c r="G240" s="51">
        <f>F243</f>
        <v>800</v>
      </c>
      <c r="H240" s="51">
        <f t="shared" ref="H240:K240" ca="1" si="127">G243</f>
        <v>800</v>
      </c>
      <c r="I240" s="51">
        <f t="shared" ca="1" si="127"/>
        <v>800</v>
      </c>
      <c r="J240" s="51">
        <f t="shared" ca="1" si="127"/>
        <v>800</v>
      </c>
      <c r="K240" s="51">
        <f t="shared" ca="1" si="127"/>
        <v>800</v>
      </c>
    </row>
    <row r="241" spans="2:11" outlineLevel="1" x14ac:dyDescent="0.2">
      <c r="B241" s="17" t="s">
        <v>156</v>
      </c>
      <c r="F241" s="51"/>
      <c r="G241" s="51"/>
      <c r="H241" s="51"/>
      <c r="I241" s="51"/>
      <c r="J241" s="51"/>
      <c r="K241" s="51"/>
    </row>
    <row r="242" spans="2:11" outlineLevel="1" x14ac:dyDescent="0.2">
      <c r="B242" s="17" t="s">
        <v>28</v>
      </c>
      <c r="F242" s="51"/>
      <c r="G242" s="51">
        <f ca="1">MIN(G240,G201-G227-G236)</f>
        <v>0</v>
      </c>
      <c r="H242" s="51">
        <f t="shared" ref="H242:K242" ca="1" si="128">MIN(H240,H201-H227-H236)</f>
        <v>0</v>
      </c>
      <c r="I242" s="51">
        <f t="shared" ca="1" si="128"/>
        <v>0</v>
      </c>
      <c r="J242" s="51">
        <f t="shared" ca="1" si="128"/>
        <v>0</v>
      </c>
      <c r="K242" s="51">
        <f t="shared" ca="1" si="128"/>
        <v>0</v>
      </c>
    </row>
    <row r="243" spans="2:11" outlineLevel="1" x14ac:dyDescent="0.2">
      <c r="B243" s="134" t="s">
        <v>29</v>
      </c>
      <c r="F243" s="50">
        <f>C43</f>
        <v>800</v>
      </c>
      <c r="G243" s="51">
        <f ca="1">G240-G242</f>
        <v>800</v>
      </c>
      <c r="H243" s="51">
        <f t="shared" ref="H243:K243" ca="1" si="129">H240-H242</f>
        <v>800</v>
      </c>
      <c r="I243" s="51">
        <f t="shared" ca="1" si="129"/>
        <v>800</v>
      </c>
      <c r="J243" s="51">
        <f t="shared" ca="1" si="129"/>
        <v>800</v>
      </c>
      <c r="K243" s="51">
        <f t="shared" ca="1" si="129"/>
        <v>800</v>
      </c>
    </row>
    <row r="244" spans="2:11" outlineLevel="1" x14ac:dyDescent="0.2">
      <c r="B244" s="134"/>
      <c r="F244" s="50"/>
      <c r="G244" s="51"/>
      <c r="H244" s="51"/>
      <c r="I244" s="51"/>
      <c r="J244" s="51"/>
      <c r="K244" s="51"/>
    </row>
    <row r="245" spans="2:11" outlineLevel="1" x14ac:dyDescent="0.2">
      <c r="B245" s="101" t="s">
        <v>78</v>
      </c>
      <c r="F245" s="50"/>
      <c r="G245" s="51"/>
      <c r="H245" s="51"/>
      <c r="I245" s="51"/>
      <c r="J245" s="51"/>
      <c r="K245" s="51"/>
    </row>
    <row r="246" spans="2:11" outlineLevel="1" x14ac:dyDescent="0.2">
      <c r="B246" s="17" t="s">
        <v>26</v>
      </c>
      <c r="F246" s="50"/>
      <c r="G246" s="51"/>
      <c r="H246" s="51"/>
      <c r="I246" s="51"/>
      <c r="J246" s="51"/>
      <c r="K246" s="51"/>
    </row>
    <row r="247" spans="2:11" outlineLevel="1" x14ac:dyDescent="0.2">
      <c r="B247" s="17" t="s">
        <v>156</v>
      </c>
      <c r="F247" s="50"/>
      <c r="G247" s="51"/>
      <c r="H247" s="51"/>
      <c r="I247" s="51"/>
      <c r="J247" s="51"/>
      <c r="K247" s="51"/>
    </row>
    <row r="248" spans="2:11" outlineLevel="1" x14ac:dyDescent="0.2">
      <c r="B248" s="17" t="s">
        <v>28</v>
      </c>
      <c r="F248" s="50"/>
      <c r="G248" s="51"/>
      <c r="H248" s="51"/>
      <c r="I248" s="51"/>
      <c r="J248" s="51"/>
      <c r="K248" s="51"/>
    </row>
    <row r="249" spans="2:11" outlineLevel="1" x14ac:dyDescent="0.2">
      <c r="B249" s="134" t="s">
        <v>29</v>
      </c>
      <c r="F249" s="50"/>
      <c r="G249" s="51"/>
      <c r="H249" s="51"/>
      <c r="I249" s="51"/>
      <c r="J249" s="51"/>
      <c r="K249" s="51"/>
    </row>
    <row r="250" spans="2:11" outlineLevel="1" x14ac:dyDescent="0.2">
      <c r="F250" s="51"/>
      <c r="G250" s="51"/>
      <c r="H250" s="51"/>
      <c r="I250" s="51"/>
      <c r="J250" s="51"/>
      <c r="K250" s="51"/>
    </row>
    <row r="251" spans="2:11" outlineLevel="1" x14ac:dyDescent="0.2">
      <c r="B251" s="143" t="s">
        <v>30</v>
      </c>
      <c r="C251" s="144"/>
      <c r="D251" s="144"/>
      <c r="E251" s="144"/>
      <c r="F251" s="145"/>
      <c r="G251" s="145"/>
      <c r="H251" s="145"/>
      <c r="I251" s="145"/>
      <c r="J251" s="145"/>
      <c r="K251" s="146"/>
    </row>
    <row r="252" spans="2:11" outlineLevel="1" x14ac:dyDescent="0.2">
      <c r="B252" s="147" t="s">
        <v>26</v>
      </c>
      <c r="C252" s="148"/>
      <c r="D252" s="148"/>
      <c r="E252" s="148"/>
      <c r="F252" s="149"/>
      <c r="G252" s="149">
        <f>SUM(G225+G234+G240)</f>
        <v>2644.2</v>
      </c>
      <c r="H252" s="149">
        <f ca="1">SUM(H225+H234+H240)</f>
        <v>2612.2917358208019</v>
      </c>
      <c r="I252" s="149">
        <f ca="1">SUM(I225+I234+I240)</f>
        <v>2546.4486900978527</v>
      </c>
      <c r="J252" s="149">
        <f ca="1">SUM(J225+J234+J240)</f>
        <v>2413.4444596760927</v>
      </c>
      <c r="K252" s="150">
        <f ca="1">SUM(K225+K234+K240)</f>
        <v>2223.5798918336518</v>
      </c>
    </row>
    <row r="253" spans="2:11" outlineLevel="1" x14ac:dyDescent="0.2">
      <c r="B253" s="147" t="s">
        <v>148</v>
      </c>
      <c r="C253" s="148"/>
      <c r="D253" s="148"/>
      <c r="E253" s="148"/>
      <c r="F253" s="149"/>
      <c r="G253" s="149">
        <f t="shared" ref="G253:K254" ca="1" si="130">SUM(G227,G236,G242)</f>
        <v>31.908264179198028</v>
      </c>
      <c r="H253" s="149">
        <f t="shared" ca="1" si="130"/>
        <v>65.843045722949427</v>
      </c>
      <c r="I253" s="149">
        <f t="shared" ca="1" si="130"/>
        <v>133.00423042175976</v>
      </c>
      <c r="J253" s="149">
        <f t="shared" ca="1" si="130"/>
        <v>189.86456784244086</v>
      </c>
      <c r="K253" s="150">
        <f t="shared" ca="1" si="130"/>
        <v>243.97578585883633</v>
      </c>
    </row>
    <row r="254" spans="2:11" outlineLevel="1" x14ac:dyDescent="0.2">
      <c r="B254" s="151" t="s">
        <v>29</v>
      </c>
      <c r="C254" s="33"/>
      <c r="D254" s="33"/>
      <c r="E254" s="33"/>
      <c r="F254" s="152">
        <f>G252</f>
        <v>2644.2</v>
      </c>
      <c r="G254" s="152">
        <f t="shared" ca="1" si="130"/>
        <v>2612.2917358208019</v>
      </c>
      <c r="H254" s="152">
        <f t="shared" ca="1" si="130"/>
        <v>2546.4486900978527</v>
      </c>
      <c r="I254" s="152">
        <f t="shared" ca="1" si="130"/>
        <v>2413.4444596760927</v>
      </c>
      <c r="J254" s="152">
        <f t="shared" ca="1" si="130"/>
        <v>2223.5798918336518</v>
      </c>
      <c r="K254" s="153">
        <f t="shared" ca="1" si="130"/>
        <v>1979.6041059748154</v>
      </c>
    </row>
    <row r="255" spans="2:11" outlineLevel="1" x14ac:dyDescent="0.2">
      <c r="B255" s="154" t="s">
        <v>155</v>
      </c>
      <c r="G255" s="154" t="b">
        <f ca="1">G252-G253=G254</f>
        <v>1</v>
      </c>
      <c r="H255" s="154" t="b">
        <f t="shared" ref="H255:K255" ca="1" si="131">H252-H253=H254</f>
        <v>1</v>
      </c>
      <c r="I255" s="154" t="b">
        <f t="shared" ca="1" si="131"/>
        <v>1</v>
      </c>
      <c r="J255" s="154" t="b">
        <f t="shared" ca="1" si="131"/>
        <v>1</v>
      </c>
      <c r="K255" s="154" t="b">
        <f t="shared" ca="1" si="131"/>
        <v>1</v>
      </c>
    </row>
    <row r="257" spans="1:11" x14ac:dyDescent="0.2">
      <c r="A257" t="s">
        <v>0</v>
      </c>
      <c r="B257" s="2" t="s">
        <v>161</v>
      </c>
      <c r="C257" s="42"/>
      <c r="D257" s="70">
        <f>2008</f>
        <v>2008</v>
      </c>
      <c r="E257" s="70">
        <f>D257+1</f>
        <v>2009</v>
      </c>
      <c r="F257" s="70">
        <f>E257+1</f>
        <v>2010</v>
      </c>
      <c r="G257" s="71">
        <f t="shared" ref="G257:K257" si="132">F257+1</f>
        <v>2011</v>
      </c>
      <c r="H257" s="71">
        <f t="shared" si="132"/>
        <v>2012</v>
      </c>
      <c r="I257" s="71">
        <f t="shared" si="132"/>
        <v>2013</v>
      </c>
      <c r="J257" s="71">
        <f t="shared" si="132"/>
        <v>2014</v>
      </c>
      <c r="K257" s="71">
        <f t="shared" si="132"/>
        <v>2015</v>
      </c>
    </row>
    <row r="258" spans="1:11" ht="5" customHeight="1" outlineLevel="1" x14ac:dyDescent="0.2"/>
    <row r="259" spans="1:11" outlineLevel="1" x14ac:dyDescent="0.2">
      <c r="B259" t="s">
        <v>61</v>
      </c>
      <c r="F259" s="50">
        <f>F83</f>
        <v>1</v>
      </c>
      <c r="G259" s="51">
        <f>IF(CIRC="OFF", G260*AVERAGE(G207,G209),0)</f>
        <v>0.63006396588486135</v>
      </c>
      <c r="H259" s="51">
        <f>IF(CIRC="OFF", H260*AVERAGE(H207,H209),0)</f>
        <v>0.63006396588486135</v>
      </c>
      <c r="I259" s="51">
        <f>IF(CIRC="OFF", I260*AVERAGE(I207,I209),0)</f>
        <v>0.63006396588486135</v>
      </c>
      <c r="J259" s="51">
        <f>IF(CIRC="OFF", J260*AVERAGE(J207,J209),0)</f>
        <v>0.63006396588486135</v>
      </c>
      <c r="K259" s="51">
        <f>IF(CIRC="OFF", K260*AVERAGE(K207,K209),0)</f>
        <v>0.63006396588486135</v>
      </c>
    </row>
    <row r="260" spans="1:11" outlineLevel="1" x14ac:dyDescent="0.2">
      <c r="B260" s="140" t="s">
        <v>162</v>
      </c>
      <c r="F260" s="67">
        <f>F259/F209</f>
        <v>5.3304904051172707E-3</v>
      </c>
      <c r="G260" s="141">
        <f>$F$260</f>
        <v>5.3304904051172707E-3</v>
      </c>
      <c r="H260" s="141">
        <f t="shared" ref="H260:K260" si="133">$F$260</f>
        <v>5.3304904051172707E-3</v>
      </c>
      <c r="I260" s="141">
        <f t="shared" si="133"/>
        <v>5.3304904051172707E-3</v>
      </c>
      <c r="J260" s="141">
        <f t="shared" si="133"/>
        <v>5.3304904051172707E-3</v>
      </c>
      <c r="K260" s="141">
        <f t="shared" si="133"/>
        <v>5.3304904051172707E-3</v>
      </c>
    </row>
    <row r="261" spans="1:11" outlineLevel="1" x14ac:dyDescent="0.2"/>
    <row r="262" spans="1:11" outlineLevel="1" x14ac:dyDescent="0.2">
      <c r="B262" t="s">
        <v>163</v>
      </c>
      <c r="F262" s="51"/>
      <c r="G262" s="51">
        <f ca="1">IF(CIRC="OFF",G263*AVERAGE(G225,G228),0)</f>
        <v>102.71232819148933</v>
      </c>
      <c r="H262" s="51">
        <f ca="1">IF(CIRC="OFF",H263*AVERAGE(H225,H228),0)</f>
        <v>101.00970180574102</v>
      </c>
      <c r="I262" s="51">
        <f ca="1">IF(CIRC="OFF",I263*AVERAGE(I225,I228),0)</f>
        <v>95.839266707263818</v>
      </c>
      <c r="J262" s="51">
        <f ca="1">IF(CIRC="OFF",J263*AVERAGE(J225,J228),0)</f>
        <v>86.381173353527231</v>
      </c>
      <c r="K262" s="51">
        <f ca="1">IF(CIRC="OFF",K263*AVERAGE(K225,K228),0)</f>
        <v>72.615347393235041</v>
      </c>
    </row>
    <row r="263" spans="1:11" outlineLevel="1" x14ac:dyDescent="0.2">
      <c r="B263" s="140" t="s">
        <v>164</v>
      </c>
      <c r="F263" s="141"/>
      <c r="G263" s="141">
        <f t="shared" ref="G263:K263" si="134">$G$30</f>
        <v>6.8199999999999997E-2</v>
      </c>
      <c r="H263" s="141">
        <f t="shared" si="134"/>
        <v>6.8199999999999997E-2</v>
      </c>
      <c r="I263" s="141">
        <f t="shared" si="134"/>
        <v>6.8199999999999997E-2</v>
      </c>
      <c r="J263" s="141">
        <f t="shared" si="134"/>
        <v>6.8199999999999997E-2</v>
      </c>
      <c r="K263" s="141">
        <f t="shared" si="134"/>
        <v>6.8199999999999997E-2</v>
      </c>
    </row>
    <row r="264" spans="1:11" outlineLevel="1" x14ac:dyDescent="0.2"/>
    <row r="265" spans="1:11" outlineLevel="1" x14ac:dyDescent="0.2">
      <c r="B265" t="s">
        <v>165</v>
      </c>
      <c r="F265" s="51"/>
      <c r="G265" s="51">
        <f ca="1">IF(CIRC="OFF",G266*AVERAGE(G234,G237),0)</f>
        <v>22.90842</v>
      </c>
      <c r="H265" s="51">
        <f ca="1">IF(CIRC="OFF",H266*AVERAGE(H234,H237),0)</f>
        <v>21.208386387915702</v>
      </c>
      <c r="I265" s="51">
        <f ca="1">IF(CIRC="OFF",I266*AVERAGE(I234,I237),0)</f>
        <v>19.529658030380777</v>
      </c>
      <c r="J265" s="51">
        <f ca="1">IF(CIRC="OFF",J266*AVERAGE(J234,J237),0)</f>
        <v>17.911942595939948</v>
      </c>
      <c r="K265" s="51">
        <f ca="1">IF(CIRC="OFF",K266*AVERAGE(K234,K237),0)</f>
        <v>16.840094352897289</v>
      </c>
    </row>
    <row r="266" spans="1:11" outlineLevel="1" x14ac:dyDescent="0.2">
      <c r="B266" s="140" t="s">
        <v>164</v>
      </c>
      <c r="F266" s="141"/>
      <c r="G266" s="141">
        <f t="shared" ref="G266:K266" si="135">$G$31</f>
        <v>7.1099999999999997E-2</v>
      </c>
      <c r="H266" s="141">
        <f t="shared" si="135"/>
        <v>7.1099999999999997E-2</v>
      </c>
      <c r="I266" s="141">
        <f t="shared" si="135"/>
        <v>7.1099999999999997E-2</v>
      </c>
      <c r="J266" s="141">
        <f t="shared" si="135"/>
        <v>7.1099999999999997E-2</v>
      </c>
      <c r="K266" s="141">
        <f t="shared" si="135"/>
        <v>7.1099999999999997E-2</v>
      </c>
    </row>
    <row r="267" spans="1:11" outlineLevel="1" x14ac:dyDescent="0.2"/>
    <row r="268" spans="1:11" outlineLevel="1" x14ac:dyDescent="0.2">
      <c r="B268" t="s">
        <v>76</v>
      </c>
      <c r="F268" s="51"/>
      <c r="G268" s="51">
        <f ca="1">IF(CIRC="OFF",G269*AVERAGE(G240,G243),0)</f>
        <v>81.52000000000001</v>
      </c>
      <c r="H268" s="51">
        <f ca="1">IF(CIRC="OFF",H269*AVERAGE(H238,H240),0)</f>
        <v>81.52000000000001</v>
      </c>
      <c r="I268" s="51">
        <f ca="1">IF(CIRC="OFF",I269*AVERAGE(I238,I240),0)</f>
        <v>81.52000000000001</v>
      </c>
      <c r="J268" s="51">
        <f ca="1">IF(CIRC="OFF",J269*AVERAGE(J238,J240),0)</f>
        <v>81.52000000000001</v>
      </c>
      <c r="K268" s="51">
        <f ca="1">IF(CIRC="OFF",K269*AVERAGE(K238,K240),0)</f>
        <v>81.52000000000001</v>
      </c>
    </row>
    <row r="269" spans="1:11" outlineLevel="1" x14ac:dyDescent="0.2">
      <c r="B269" s="140" t="s">
        <v>164</v>
      </c>
      <c r="F269" s="141"/>
      <c r="G269" s="141">
        <f t="shared" ref="G269:K269" si="136">$G$32</f>
        <v>0.1019</v>
      </c>
      <c r="H269" s="141">
        <f t="shared" si="136"/>
        <v>0.1019</v>
      </c>
      <c r="I269" s="141">
        <f t="shared" si="136"/>
        <v>0.1019</v>
      </c>
      <c r="J269" s="141">
        <f t="shared" si="136"/>
        <v>0.1019</v>
      </c>
      <c r="K269" s="141">
        <f t="shared" si="136"/>
        <v>0.1019</v>
      </c>
    </row>
    <row r="270" spans="1:11" outlineLevel="1" x14ac:dyDescent="0.2"/>
    <row r="271" spans="1:11" outlineLevel="1" x14ac:dyDescent="0.2">
      <c r="B271" t="s">
        <v>166</v>
      </c>
      <c r="G271" s="51">
        <f ca="1">SUM(G262,G265,G268)</f>
        <v>207.14074819148934</v>
      </c>
      <c r="H271" s="51">
        <f t="shared" ref="H271:K271" ca="1" si="137">SUM(H262,H265,H268)</f>
        <v>203.73808819365672</v>
      </c>
      <c r="I271" s="51">
        <f t="shared" ca="1" si="137"/>
        <v>196.8889247376446</v>
      </c>
      <c r="J271" s="51">
        <f t="shared" ca="1" si="137"/>
        <v>185.8131159494672</v>
      </c>
      <c r="K271" s="51">
        <f t="shared" ca="1" si="137"/>
        <v>170.97544174613233</v>
      </c>
    </row>
    <row r="272" spans="1:11" outlineLevel="1" x14ac:dyDescent="0.2">
      <c r="B272" s="140" t="s">
        <v>167</v>
      </c>
      <c r="G272" s="67">
        <f ca="1">G271/AVERAGE(G252,G254)</f>
        <v>7.8813306898177504E-2</v>
      </c>
      <c r="H272" s="67">
        <f t="shared" ref="H272:K272" ca="1" si="138">H271/AVERAGE(H252,H254)</f>
        <v>7.8987532371286376E-2</v>
      </c>
      <c r="I272" s="67">
        <f t="shared" ca="1" si="138"/>
        <v>7.9392405760441889E-2</v>
      </c>
      <c r="J272" s="67">
        <f t="shared" ca="1" si="138"/>
        <v>8.0143256478249589E-2</v>
      </c>
      <c r="K272" s="67">
        <f t="shared" ca="1" si="138"/>
        <v>8.1355202073132474E-2</v>
      </c>
    </row>
    <row r="274" spans="1:11" x14ac:dyDescent="0.2">
      <c r="A274" t="s">
        <v>0</v>
      </c>
      <c r="B274" s="1" t="s">
        <v>31</v>
      </c>
      <c r="C274" s="36"/>
      <c r="D274" s="36"/>
      <c r="E274" s="36"/>
      <c r="F274" s="36"/>
      <c r="G274" s="36"/>
      <c r="H274" s="36"/>
      <c r="I274" s="36"/>
      <c r="J274" s="36"/>
      <c r="K274" s="36"/>
    </row>
    <row r="275" spans="1:11" ht="5" customHeight="1" outlineLevel="1" x14ac:dyDescent="0.2"/>
    <row r="276" spans="1:11" outlineLevel="1" x14ac:dyDescent="0.2">
      <c r="B276" t="s">
        <v>32</v>
      </c>
      <c r="C276" s="51"/>
      <c r="K276" s="50">
        <f>K101</f>
        <v>685</v>
      </c>
    </row>
    <row r="277" spans="1:11" outlineLevel="1" x14ac:dyDescent="0.2">
      <c r="B277" t="s">
        <v>168</v>
      </c>
      <c r="C277" s="56"/>
      <c r="K277" s="155">
        <f>K25</f>
        <v>8.7566608367071606</v>
      </c>
    </row>
    <row r="278" spans="1:11" outlineLevel="1" x14ac:dyDescent="0.2">
      <c r="B278" t="s">
        <v>169</v>
      </c>
      <c r="C278" s="18"/>
      <c r="K278" s="51">
        <f>K276*K277</f>
        <v>5998.3126731444054</v>
      </c>
    </row>
    <row r="279" spans="1:11" outlineLevel="1" x14ac:dyDescent="0.2">
      <c r="B279" t="s">
        <v>35</v>
      </c>
      <c r="C279" s="51"/>
      <c r="K279" s="51">
        <f ca="1">K254-K207</f>
        <v>1861.4041059748154</v>
      </c>
    </row>
    <row r="280" spans="1:11" outlineLevel="1" x14ac:dyDescent="0.2">
      <c r="B280" t="s">
        <v>36</v>
      </c>
      <c r="C280" s="18"/>
      <c r="K280" s="51">
        <f ca="1">K278-K279</f>
        <v>4136.9085671695902</v>
      </c>
    </row>
    <row r="281" spans="1:11" outlineLevel="1" x14ac:dyDescent="0.2"/>
    <row r="282" spans="1:11" outlineLevel="1" x14ac:dyDescent="0.2">
      <c r="B282" t="s">
        <v>37</v>
      </c>
      <c r="C282" s="51"/>
      <c r="K282" s="51">
        <f>C46</f>
        <v>1560.0000000000005</v>
      </c>
    </row>
    <row r="283" spans="1:11" outlineLevel="1" x14ac:dyDescent="0.2"/>
    <row r="284" spans="1:11" outlineLevel="1" x14ac:dyDescent="0.2">
      <c r="B284" s="29" t="s">
        <v>38</v>
      </c>
      <c r="C284" s="30"/>
      <c r="D284" s="30"/>
      <c r="E284" s="30"/>
      <c r="F284" s="30"/>
      <c r="G284" s="30"/>
      <c r="H284" s="30"/>
      <c r="I284" s="30"/>
      <c r="J284" s="30"/>
      <c r="K284" s="156">
        <f ca="1">K280/K282</f>
        <v>2.6518644661343518</v>
      </c>
    </row>
    <row r="285" spans="1:11" outlineLevel="1" x14ac:dyDescent="0.2">
      <c r="B285" s="32" t="s">
        <v>31</v>
      </c>
      <c r="C285" s="33"/>
      <c r="D285" s="33"/>
      <c r="E285" s="33"/>
      <c r="F285" s="33"/>
      <c r="G285" s="33"/>
      <c r="H285" s="33"/>
      <c r="I285" s="33"/>
      <c r="J285" s="33"/>
      <c r="K285" s="34">
        <f ca="1">K284^(1/5)-1</f>
        <v>0.21537490495647393</v>
      </c>
    </row>
  </sheetData>
  <dataValidations count="2">
    <dataValidation type="list" allowBlank="1" showInputMessage="1" showErrorMessage="1" sqref="E9" xr:uid="{7EA23DC5-7A83-5C49-B82F-E5D646341A9F}">
      <formula1>"1,2"</formula1>
    </dataValidation>
    <dataValidation type="list" allowBlank="1" showInputMessage="1" showErrorMessage="1" sqref="E8" xr:uid="{9DCFB7B8-7F11-964C-819C-E72A32173471}">
      <formula1>"ON,OFF"</formula1>
    </dataValidation>
  </dataValidations>
  <pageMargins left="0.25" right="0.25" top="0.75" bottom="0.75" header="0.3" footer="0.3"/>
  <pageSetup scale="55" fitToHeight="30" orientation="portrait" horizontalDpi="0" verticalDpi="0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BECA0-F25F-A24B-8AE2-EFDE6BEFF85A}">
  <dimension ref="A1:H96"/>
  <sheetViews>
    <sheetView showGridLines="0" zoomScale="81" workbookViewId="0">
      <selection activeCell="J57" sqref="J57"/>
    </sheetView>
  </sheetViews>
  <sheetFormatPr baseColWidth="10" defaultRowHeight="15" outlineLevelRow="1" x14ac:dyDescent="0.2"/>
  <cols>
    <col min="1" max="1" width="2" customWidth="1"/>
    <col min="2" max="2" width="22" bestFit="1" customWidth="1"/>
  </cols>
  <sheetData>
    <row r="1" spans="1:8" ht="6" customHeight="1" x14ac:dyDescent="0.2"/>
    <row r="2" spans="1:8" x14ac:dyDescent="0.2">
      <c r="A2" t="s">
        <v>0</v>
      </c>
      <c r="B2" s="1" t="s">
        <v>1</v>
      </c>
      <c r="C2" s="1"/>
      <c r="D2" s="1"/>
      <c r="E2" s="1"/>
      <c r="F2" s="1"/>
      <c r="G2" s="1"/>
      <c r="H2" s="1"/>
    </row>
    <row r="3" spans="1:8" ht="6" customHeight="1" x14ac:dyDescent="0.2"/>
    <row r="4" spans="1:8" x14ac:dyDescent="0.2">
      <c r="A4" t="s">
        <v>0</v>
      </c>
      <c r="B4" s="2" t="s">
        <v>2</v>
      </c>
      <c r="C4" s="3">
        <v>0</v>
      </c>
      <c r="D4" s="3">
        <f>C4+1</f>
        <v>1</v>
      </c>
      <c r="E4" s="3">
        <f t="shared" ref="E4:H4" si="0">D4+1</f>
        <v>2</v>
      </c>
      <c r="F4" s="3">
        <f t="shared" si="0"/>
        <v>3</v>
      </c>
      <c r="G4" s="3">
        <f t="shared" si="0"/>
        <v>4</v>
      </c>
      <c r="H4" s="3">
        <f t="shared" si="0"/>
        <v>5</v>
      </c>
    </row>
    <row r="5" spans="1:8" ht="6" customHeight="1" outlineLevel="1" x14ac:dyDescent="0.2"/>
    <row r="6" spans="1:8" outlineLevel="1" x14ac:dyDescent="0.2">
      <c r="B6" s="4" t="s">
        <v>3</v>
      </c>
      <c r="C6" s="5">
        <f>[1]Assumptions!C10</f>
        <v>2000</v>
      </c>
      <c r="D6" s="5">
        <f>C6*(1+D7)</f>
        <v>2200</v>
      </c>
      <c r="E6" s="5">
        <f t="shared" ref="E6:H6" si="1">D6*(1+E7)</f>
        <v>2420</v>
      </c>
      <c r="F6" s="5">
        <f t="shared" si="1"/>
        <v>2662</v>
      </c>
      <c r="G6" s="5">
        <f t="shared" si="1"/>
        <v>2928.2000000000003</v>
      </c>
      <c r="H6" s="5">
        <f t="shared" si="1"/>
        <v>3221.0200000000004</v>
      </c>
    </row>
    <row r="7" spans="1:8" outlineLevel="1" x14ac:dyDescent="0.2">
      <c r="B7" s="6" t="s">
        <v>4</v>
      </c>
      <c r="C7" s="4"/>
      <c r="D7" s="7">
        <f>[1]Assumptions!$C$18</f>
        <v>0.1</v>
      </c>
      <c r="E7" s="7">
        <f>[1]Assumptions!$C$18</f>
        <v>0.1</v>
      </c>
      <c r="F7" s="7">
        <f>[1]Assumptions!$C$18</f>
        <v>0.1</v>
      </c>
      <c r="G7" s="7">
        <f>[1]Assumptions!$C$18</f>
        <v>0.1</v>
      </c>
      <c r="H7" s="7">
        <f>[1]Assumptions!$C$18</f>
        <v>0.1</v>
      </c>
    </row>
    <row r="8" spans="1:8" outlineLevel="1" x14ac:dyDescent="0.2"/>
    <row r="9" spans="1:8" outlineLevel="1" x14ac:dyDescent="0.2">
      <c r="B9" s="4" t="s">
        <v>5</v>
      </c>
      <c r="C9" s="5">
        <f>[1]Assumptions!C11</f>
        <v>900</v>
      </c>
      <c r="D9" s="5">
        <f>D10*D6</f>
        <v>990</v>
      </c>
      <c r="E9" s="5">
        <f t="shared" ref="E9:H9" si="2">E10*E6</f>
        <v>1089</v>
      </c>
      <c r="F9" s="5">
        <f t="shared" si="2"/>
        <v>1197.9000000000001</v>
      </c>
      <c r="G9" s="5">
        <f t="shared" si="2"/>
        <v>1317.69</v>
      </c>
      <c r="H9" s="5">
        <f t="shared" si="2"/>
        <v>1449.4590000000003</v>
      </c>
    </row>
    <row r="10" spans="1:8" outlineLevel="1" x14ac:dyDescent="0.2">
      <c r="B10" s="6" t="s">
        <v>6</v>
      </c>
      <c r="C10" s="7">
        <f>C9/C6</f>
        <v>0.45</v>
      </c>
      <c r="D10" s="7">
        <f>C10</f>
        <v>0.45</v>
      </c>
      <c r="E10" s="7">
        <f t="shared" ref="E10:H10" si="3">D10</f>
        <v>0.45</v>
      </c>
      <c r="F10" s="7">
        <f t="shared" si="3"/>
        <v>0.45</v>
      </c>
      <c r="G10" s="7">
        <f t="shared" si="3"/>
        <v>0.45</v>
      </c>
      <c r="H10" s="7">
        <f t="shared" si="3"/>
        <v>0.45</v>
      </c>
    </row>
    <row r="11" spans="1:8" outlineLevel="1" x14ac:dyDescent="0.2"/>
    <row r="12" spans="1:8" outlineLevel="1" x14ac:dyDescent="0.2">
      <c r="B12" s="201" t="s">
        <v>7</v>
      </c>
      <c r="C12" s="202">
        <f>C6-C9</f>
        <v>1100</v>
      </c>
      <c r="D12" s="202">
        <f t="shared" ref="D12:H12" si="4">D6-D9</f>
        <v>1210</v>
      </c>
      <c r="E12" s="202">
        <f t="shared" si="4"/>
        <v>1331</v>
      </c>
      <c r="F12" s="202">
        <f t="shared" si="4"/>
        <v>1464.1</v>
      </c>
      <c r="G12" s="202">
        <f t="shared" si="4"/>
        <v>1610.5100000000002</v>
      </c>
      <c r="H12" s="202">
        <f t="shared" si="4"/>
        <v>1771.5610000000001</v>
      </c>
    </row>
    <row r="13" spans="1:8" outlineLevel="1" x14ac:dyDescent="0.2">
      <c r="B13" s="200" t="s">
        <v>6</v>
      </c>
      <c r="C13" s="203">
        <f>C12/C6</f>
        <v>0.55000000000000004</v>
      </c>
      <c r="D13" s="203">
        <f t="shared" ref="D13:H13" si="5">D12/D6</f>
        <v>0.55000000000000004</v>
      </c>
      <c r="E13" s="203">
        <f t="shared" si="5"/>
        <v>0.55000000000000004</v>
      </c>
      <c r="F13" s="203">
        <f t="shared" si="5"/>
        <v>0.54999999999999993</v>
      </c>
      <c r="G13" s="203">
        <f t="shared" si="5"/>
        <v>0.55000000000000004</v>
      </c>
      <c r="H13" s="203">
        <f t="shared" si="5"/>
        <v>0.54999999999999993</v>
      </c>
    </row>
    <row r="14" spans="1:8" outlineLevel="1" x14ac:dyDescent="0.2"/>
    <row r="15" spans="1:8" outlineLevel="1" x14ac:dyDescent="0.2">
      <c r="B15" s="4" t="s">
        <v>8</v>
      </c>
      <c r="C15" s="5">
        <f>[1]Assumptions!C12</f>
        <v>500</v>
      </c>
      <c r="D15" s="5">
        <f>D6*D16</f>
        <v>550</v>
      </c>
      <c r="E15" s="5">
        <f t="shared" ref="E15:H15" si="6">E6*E16</f>
        <v>605</v>
      </c>
      <c r="F15" s="5">
        <f t="shared" si="6"/>
        <v>665.5</v>
      </c>
      <c r="G15" s="5">
        <f t="shared" si="6"/>
        <v>732.05000000000007</v>
      </c>
      <c r="H15" s="5">
        <f t="shared" si="6"/>
        <v>805.25500000000011</v>
      </c>
    </row>
    <row r="16" spans="1:8" outlineLevel="1" x14ac:dyDescent="0.2">
      <c r="B16" s="6" t="s">
        <v>6</v>
      </c>
      <c r="C16" s="7">
        <f>C15/C6</f>
        <v>0.25</v>
      </c>
      <c r="D16" s="7">
        <f>C16</f>
        <v>0.25</v>
      </c>
      <c r="E16" s="7">
        <f t="shared" ref="E16:H16" si="7">D16</f>
        <v>0.25</v>
      </c>
      <c r="F16" s="7">
        <f t="shared" si="7"/>
        <v>0.25</v>
      </c>
      <c r="G16" s="7">
        <f t="shared" si="7"/>
        <v>0.25</v>
      </c>
      <c r="H16" s="7">
        <f t="shared" si="7"/>
        <v>0.25</v>
      </c>
    </row>
    <row r="17" spans="2:8" outlineLevel="1" x14ac:dyDescent="0.2"/>
    <row r="18" spans="2:8" outlineLevel="1" x14ac:dyDescent="0.2">
      <c r="B18" s="201" t="s">
        <v>9</v>
      </c>
      <c r="C18" s="202">
        <f>C12-C15</f>
        <v>600</v>
      </c>
      <c r="D18" s="202">
        <f>D19*D6</f>
        <v>660</v>
      </c>
      <c r="E18" s="202">
        <f t="shared" ref="E18:H18" si="8">E19*E6</f>
        <v>726</v>
      </c>
      <c r="F18" s="202">
        <f t="shared" si="8"/>
        <v>798.6</v>
      </c>
      <c r="G18" s="202">
        <f t="shared" si="8"/>
        <v>878.46</v>
      </c>
      <c r="H18" s="202">
        <f t="shared" si="8"/>
        <v>966.30600000000004</v>
      </c>
    </row>
    <row r="19" spans="2:8" outlineLevel="1" x14ac:dyDescent="0.2">
      <c r="B19" s="200" t="s">
        <v>6</v>
      </c>
      <c r="C19" s="203">
        <f>C18/C6</f>
        <v>0.3</v>
      </c>
      <c r="D19" s="203">
        <f>C19</f>
        <v>0.3</v>
      </c>
      <c r="E19" s="203">
        <f t="shared" ref="E19:H19" si="9">D19</f>
        <v>0.3</v>
      </c>
      <c r="F19" s="203">
        <f t="shared" si="9"/>
        <v>0.3</v>
      </c>
      <c r="G19" s="203">
        <f t="shared" si="9"/>
        <v>0.3</v>
      </c>
      <c r="H19" s="203">
        <f t="shared" si="9"/>
        <v>0.3</v>
      </c>
    </row>
    <row r="20" spans="2:8" outlineLevel="1" x14ac:dyDescent="0.2"/>
    <row r="21" spans="2:8" outlineLevel="1" x14ac:dyDescent="0.2">
      <c r="B21" s="8" t="s">
        <v>10</v>
      </c>
      <c r="C21" s="5">
        <f>[1]Assumptions!C13</f>
        <v>100</v>
      </c>
      <c r="D21" s="5">
        <f>D22*D6</f>
        <v>110</v>
      </c>
      <c r="E21" s="5">
        <f t="shared" ref="E21:H21" si="10">E22*E6</f>
        <v>121</v>
      </c>
      <c r="F21" s="5">
        <f t="shared" si="10"/>
        <v>133.1</v>
      </c>
      <c r="G21" s="5">
        <f t="shared" si="10"/>
        <v>146.41000000000003</v>
      </c>
      <c r="H21" s="5">
        <f t="shared" si="10"/>
        <v>161.05100000000004</v>
      </c>
    </row>
    <row r="22" spans="2:8" outlineLevel="1" x14ac:dyDescent="0.2">
      <c r="B22" s="6" t="s">
        <v>6</v>
      </c>
      <c r="C22" s="7">
        <f>C21/C6</f>
        <v>0.05</v>
      </c>
      <c r="D22" s="7">
        <f>C22</f>
        <v>0.05</v>
      </c>
      <c r="E22" s="7">
        <f t="shared" ref="E22:H22" si="11">D22</f>
        <v>0.05</v>
      </c>
      <c r="F22" s="7">
        <f t="shared" si="11"/>
        <v>0.05</v>
      </c>
      <c r="G22" s="7">
        <f t="shared" si="11"/>
        <v>0.05</v>
      </c>
      <c r="H22" s="7">
        <f t="shared" si="11"/>
        <v>0.05</v>
      </c>
    </row>
    <row r="23" spans="2:8" outlineLevel="1" x14ac:dyDescent="0.2"/>
    <row r="24" spans="2:8" outlineLevel="1" x14ac:dyDescent="0.2">
      <c r="B24" s="199" t="s">
        <v>11</v>
      </c>
      <c r="C24" s="202">
        <f>C18+C21</f>
        <v>700</v>
      </c>
      <c r="D24" s="202">
        <f>D25*D6</f>
        <v>770</v>
      </c>
      <c r="E24" s="202">
        <f t="shared" ref="E24:H24" si="12">E25*E6</f>
        <v>847</v>
      </c>
      <c r="F24" s="202">
        <f t="shared" si="12"/>
        <v>931.69999999999993</v>
      </c>
      <c r="G24" s="202">
        <f t="shared" si="12"/>
        <v>1024.8700000000001</v>
      </c>
      <c r="H24" s="202">
        <f t="shared" si="12"/>
        <v>1127.357</v>
      </c>
    </row>
    <row r="25" spans="2:8" outlineLevel="1" x14ac:dyDescent="0.2">
      <c r="B25" s="200" t="s">
        <v>6</v>
      </c>
      <c r="C25" s="203">
        <f>C24/C6</f>
        <v>0.35</v>
      </c>
      <c r="D25" s="203">
        <f>C25</f>
        <v>0.35</v>
      </c>
      <c r="E25" s="203">
        <f t="shared" ref="E25:H25" si="13">D25</f>
        <v>0.35</v>
      </c>
      <c r="F25" s="203">
        <f t="shared" si="13"/>
        <v>0.35</v>
      </c>
      <c r="G25" s="203">
        <f t="shared" si="13"/>
        <v>0.35</v>
      </c>
      <c r="H25" s="203">
        <f t="shared" si="13"/>
        <v>0.35</v>
      </c>
    </row>
    <row r="26" spans="2:8" outlineLevel="1" x14ac:dyDescent="0.2"/>
    <row r="27" spans="2:8" outlineLevel="1" x14ac:dyDescent="0.2">
      <c r="B27" s="8" t="s">
        <v>12</v>
      </c>
      <c r="C27" s="5"/>
      <c r="D27" s="5">
        <f>D81</f>
        <v>440</v>
      </c>
      <c r="E27" s="5">
        <f t="shared" ref="E27:H27" si="14">E81</f>
        <v>431.76499999999999</v>
      </c>
      <c r="F27" s="5">
        <f t="shared" si="14"/>
        <v>418.17466324999998</v>
      </c>
      <c r="G27" s="5">
        <f t="shared" si="14"/>
        <v>396.98054172691252</v>
      </c>
      <c r="H27" s="5">
        <f t="shared" si="14"/>
        <v>368.93798838351728</v>
      </c>
    </row>
    <row r="28" spans="2:8" outlineLevel="1" x14ac:dyDescent="0.2"/>
    <row r="29" spans="2:8" outlineLevel="1" x14ac:dyDescent="0.2">
      <c r="B29" s="199" t="s">
        <v>13</v>
      </c>
      <c r="C29" s="202"/>
      <c r="D29" s="202">
        <f>D18-D27</f>
        <v>220</v>
      </c>
      <c r="E29" s="202">
        <f t="shared" ref="E29:H29" si="15">E18-E27</f>
        <v>294.23500000000001</v>
      </c>
      <c r="F29" s="202">
        <f t="shared" si="15"/>
        <v>380.42533675000004</v>
      </c>
      <c r="G29" s="202">
        <f t="shared" si="15"/>
        <v>481.47945827308752</v>
      </c>
      <c r="H29" s="202">
        <f t="shared" si="15"/>
        <v>597.36801161648282</v>
      </c>
    </row>
    <row r="30" spans="2:8" outlineLevel="1" x14ac:dyDescent="0.2">
      <c r="B30" s="200" t="s">
        <v>6</v>
      </c>
      <c r="C30" s="201"/>
      <c r="D30" s="203">
        <f>D29/D6</f>
        <v>0.1</v>
      </c>
      <c r="E30" s="203">
        <f t="shared" ref="E30:H30" si="16">E29/E6</f>
        <v>0.12158471074380166</v>
      </c>
      <c r="F30" s="203">
        <f t="shared" si="16"/>
        <v>0.14290959306912099</v>
      </c>
      <c r="G30" s="203">
        <f t="shared" si="16"/>
        <v>0.16442847424120191</v>
      </c>
      <c r="H30" s="203">
        <f t="shared" si="16"/>
        <v>0.18545926806306162</v>
      </c>
    </row>
    <row r="31" spans="2:8" outlineLevel="1" x14ac:dyDescent="0.2"/>
    <row r="32" spans="2:8" outlineLevel="1" x14ac:dyDescent="0.2">
      <c r="B32" s="8" t="s">
        <v>14</v>
      </c>
      <c r="C32" s="5"/>
      <c r="D32" s="5">
        <f>D29*D33</f>
        <v>46.199999999999996</v>
      </c>
      <c r="E32" s="5">
        <f t="shared" ref="E32:H32" si="17">E29*E33</f>
        <v>61.789349999999999</v>
      </c>
      <c r="F32" s="5">
        <f t="shared" si="17"/>
        <v>79.889320717500013</v>
      </c>
      <c r="G32" s="5">
        <f t="shared" si="17"/>
        <v>101.11068623734838</v>
      </c>
      <c r="H32" s="5">
        <f t="shared" si="17"/>
        <v>125.44728243946139</v>
      </c>
    </row>
    <row r="33" spans="1:8" outlineLevel="1" x14ac:dyDescent="0.2">
      <c r="B33" s="6" t="s">
        <v>15</v>
      </c>
      <c r="C33" s="4"/>
      <c r="D33" s="7">
        <f>[1]Assumptions!C19</f>
        <v>0.21</v>
      </c>
      <c r="E33" s="7">
        <f>D33</f>
        <v>0.21</v>
      </c>
      <c r="F33" s="7">
        <f t="shared" ref="F33:H33" si="18">E33</f>
        <v>0.21</v>
      </c>
      <c r="G33" s="7">
        <f t="shared" si="18"/>
        <v>0.21</v>
      </c>
      <c r="H33" s="7">
        <f t="shared" si="18"/>
        <v>0.21</v>
      </c>
    </row>
    <row r="34" spans="1:8" outlineLevel="1" x14ac:dyDescent="0.2"/>
    <row r="35" spans="1:8" outlineLevel="1" x14ac:dyDescent="0.2">
      <c r="B35" s="199" t="s">
        <v>16</v>
      </c>
      <c r="C35" s="202"/>
      <c r="D35" s="202">
        <f>D29-D32</f>
        <v>173.8</v>
      </c>
      <c r="E35" s="202">
        <f t="shared" ref="E35:H35" si="19">E29-E32</f>
        <v>232.44565</v>
      </c>
      <c r="F35" s="202">
        <f t="shared" si="19"/>
        <v>300.53601603250002</v>
      </c>
      <c r="G35" s="202">
        <f t="shared" si="19"/>
        <v>380.36877203573914</v>
      </c>
      <c r="H35" s="202">
        <f t="shared" si="19"/>
        <v>471.92072917702143</v>
      </c>
    </row>
    <row r="36" spans="1:8" outlineLevel="1" x14ac:dyDescent="0.2">
      <c r="B36" s="200" t="s">
        <v>6</v>
      </c>
      <c r="C36" s="201"/>
      <c r="D36" s="203">
        <f>D35/D6</f>
        <v>7.9000000000000001E-2</v>
      </c>
      <c r="E36" s="203">
        <f t="shared" ref="E36:H36" si="20">E35/E6</f>
        <v>9.6051921487603303E-2</v>
      </c>
      <c r="F36" s="203">
        <f t="shared" si="20"/>
        <v>0.11289857852460557</v>
      </c>
      <c r="G36" s="203">
        <f t="shared" si="20"/>
        <v>0.12989849465054953</v>
      </c>
      <c r="H36" s="203">
        <f t="shared" si="20"/>
        <v>0.14651282176981867</v>
      </c>
    </row>
    <row r="38" spans="1:8" x14ac:dyDescent="0.2">
      <c r="A38" t="s">
        <v>0</v>
      </c>
      <c r="B38" s="2" t="s">
        <v>17</v>
      </c>
      <c r="C38" s="3">
        <v>0</v>
      </c>
      <c r="D38" s="3">
        <f>C38+1</f>
        <v>1</v>
      </c>
      <c r="E38" s="3">
        <f t="shared" ref="E38:H38" si="21">D38+1</f>
        <v>2</v>
      </c>
      <c r="F38" s="3">
        <f t="shared" si="21"/>
        <v>3</v>
      </c>
      <c r="G38" s="3">
        <f t="shared" si="21"/>
        <v>4</v>
      </c>
      <c r="H38" s="3">
        <f t="shared" si="21"/>
        <v>5</v>
      </c>
    </row>
    <row r="39" spans="1:8" ht="6" customHeight="1" outlineLevel="1" x14ac:dyDescent="0.2"/>
    <row r="40" spans="1:8" ht="15" customHeight="1" outlineLevel="1" x14ac:dyDescent="0.2">
      <c r="B40" s="9" t="s">
        <v>10</v>
      </c>
      <c r="C40" s="10">
        <f t="shared" ref="C40:H41" si="22">C21</f>
        <v>100</v>
      </c>
      <c r="D40" s="10">
        <f t="shared" si="22"/>
        <v>110</v>
      </c>
      <c r="E40" s="10">
        <f t="shared" si="22"/>
        <v>121</v>
      </c>
      <c r="F40" s="10">
        <f t="shared" si="22"/>
        <v>133.1</v>
      </c>
      <c r="G40" s="10">
        <f t="shared" si="22"/>
        <v>146.41000000000003</v>
      </c>
      <c r="H40" s="10">
        <f t="shared" si="22"/>
        <v>161.05100000000004</v>
      </c>
    </row>
    <row r="41" spans="1:8" outlineLevel="1" x14ac:dyDescent="0.2">
      <c r="B41" s="11" t="s">
        <v>6</v>
      </c>
      <c r="C41" s="12">
        <f t="shared" si="22"/>
        <v>0.05</v>
      </c>
      <c r="D41" s="12">
        <f t="shared" si="22"/>
        <v>0.05</v>
      </c>
      <c r="E41" s="12">
        <f t="shared" si="22"/>
        <v>0.05</v>
      </c>
      <c r="F41" s="12">
        <f t="shared" si="22"/>
        <v>0.05</v>
      </c>
      <c r="G41" s="12">
        <f t="shared" si="22"/>
        <v>0.05</v>
      </c>
      <c r="H41" s="12">
        <f t="shared" si="22"/>
        <v>0.05</v>
      </c>
    </row>
    <row r="42" spans="1:8" outlineLevel="1" x14ac:dyDescent="0.2"/>
    <row r="43" spans="1:8" outlineLevel="1" x14ac:dyDescent="0.2">
      <c r="B43" s="9" t="s">
        <v>18</v>
      </c>
      <c r="C43" s="10">
        <f>[1]Assumptions!C14</f>
        <v>200</v>
      </c>
      <c r="D43" s="10">
        <f>D6*D44</f>
        <v>220</v>
      </c>
      <c r="E43" s="10">
        <f>E6*E44</f>
        <v>242</v>
      </c>
      <c r="F43" s="10">
        <f>F6*F44</f>
        <v>266.2</v>
      </c>
      <c r="G43" s="10">
        <f>G6*G44</f>
        <v>292.82000000000005</v>
      </c>
      <c r="H43" s="10">
        <f>H6*H44</f>
        <v>322.10200000000009</v>
      </c>
    </row>
    <row r="44" spans="1:8" outlineLevel="1" x14ac:dyDescent="0.2">
      <c r="B44" s="11" t="s">
        <v>6</v>
      </c>
      <c r="C44" s="12">
        <f>C43/C6</f>
        <v>0.1</v>
      </c>
      <c r="D44" s="12">
        <f>C44</f>
        <v>0.1</v>
      </c>
      <c r="E44" s="12">
        <f t="shared" ref="E44:H44" si="23">D44</f>
        <v>0.1</v>
      </c>
      <c r="F44" s="12">
        <f t="shared" si="23"/>
        <v>0.1</v>
      </c>
      <c r="G44" s="12">
        <f t="shared" si="23"/>
        <v>0.1</v>
      </c>
      <c r="H44" s="12">
        <f t="shared" si="23"/>
        <v>0.1</v>
      </c>
    </row>
    <row r="45" spans="1:8" outlineLevel="1" x14ac:dyDescent="0.2">
      <c r="B45" s="9" t="s">
        <v>19</v>
      </c>
      <c r="C45" s="9"/>
      <c r="D45" s="10">
        <f>D43-C43</f>
        <v>20</v>
      </c>
      <c r="E45" s="10">
        <f t="shared" ref="E45:H45" si="24">E43-D43</f>
        <v>22</v>
      </c>
      <c r="F45" s="10">
        <f t="shared" si="24"/>
        <v>24.199999999999989</v>
      </c>
      <c r="G45" s="10">
        <f t="shared" si="24"/>
        <v>26.620000000000061</v>
      </c>
      <c r="H45" s="10">
        <f t="shared" si="24"/>
        <v>29.282000000000039</v>
      </c>
    </row>
    <row r="46" spans="1:8" outlineLevel="1" x14ac:dyDescent="0.2"/>
    <row r="47" spans="1:8" outlineLevel="1" x14ac:dyDescent="0.2">
      <c r="B47" s="9" t="s">
        <v>20</v>
      </c>
      <c r="C47" s="10">
        <f>[1]Assumptions!C15</f>
        <v>140</v>
      </c>
      <c r="D47" s="10">
        <f>D48*D6</f>
        <v>154.00000000000003</v>
      </c>
      <c r="E47" s="10">
        <f>E48*E6</f>
        <v>169.4</v>
      </c>
      <c r="F47" s="10">
        <f>F48*F6</f>
        <v>186.34000000000003</v>
      </c>
      <c r="G47" s="10">
        <f>G48*G6</f>
        <v>204.97400000000005</v>
      </c>
      <c r="H47" s="10">
        <f>H48*H6</f>
        <v>225.47140000000005</v>
      </c>
    </row>
    <row r="48" spans="1:8" outlineLevel="1" x14ac:dyDescent="0.2">
      <c r="B48" s="11" t="s">
        <v>6</v>
      </c>
      <c r="C48" s="12">
        <f>C47/C6</f>
        <v>7.0000000000000007E-2</v>
      </c>
      <c r="D48" s="12">
        <f>C48</f>
        <v>7.0000000000000007E-2</v>
      </c>
      <c r="E48" s="12">
        <f t="shared" ref="E48:H48" si="25">D48</f>
        <v>7.0000000000000007E-2</v>
      </c>
      <c r="F48" s="12">
        <f t="shared" si="25"/>
        <v>7.0000000000000007E-2</v>
      </c>
      <c r="G48" s="12">
        <f t="shared" si="25"/>
        <v>7.0000000000000007E-2</v>
      </c>
      <c r="H48" s="12">
        <f t="shared" si="25"/>
        <v>7.0000000000000007E-2</v>
      </c>
    </row>
    <row r="50" spans="1:8" x14ac:dyDescent="0.2">
      <c r="A50" t="s">
        <v>0</v>
      </c>
      <c r="B50" s="2" t="s">
        <v>21</v>
      </c>
      <c r="C50" s="3">
        <v>0</v>
      </c>
      <c r="D50" s="3">
        <f>C50+1</f>
        <v>1</v>
      </c>
      <c r="E50" s="3">
        <f t="shared" ref="E50:H50" si="26">D50+1</f>
        <v>2</v>
      </c>
      <c r="F50" s="3">
        <f t="shared" si="26"/>
        <v>3</v>
      </c>
      <c r="G50" s="3">
        <f t="shared" si="26"/>
        <v>4</v>
      </c>
      <c r="H50" s="3">
        <f t="shared" si="26"/>
        <v>5</v>
      </c>
    </row>
    <row r="51" spans="1:8" ht="6" customHeight="1" outlineLevel="1" x14ac:dyDescent="0.2"/>
    <row r="52" spans="1:8" outlineLevel="1" x14ac:dyDescent="0.2">
      <c r="B52" s="4" t="s">
        <v>22</v>
      </c>
      <c r="C52" s="4"/>
      <c r="D52" s="5">
        <f>D35</f>
        <v>173.8</v>
      </c>
      <c r="E52" s="5">
        <f t="shared" ref="E52:H52" si="27">E35</f>
        <v>232.44565</v>
      </c>
      <c r="F52" s="5">
        <f t="shared" si="27"/>
        <v>300.53601603250002</v>
      </c>
      <c r="G52" s="5">
        <f t="shared" si="27"/>
        <v>380.36877203573914</v>
      </c>
      <c r="H52" s="5">
        <f t="shared" si="27"/>
        <v>471.92072917702143</v>
      </c>
    </row>
    <row r="53" spans="1:8" outlineLevel="1" x14ac:dyDescent="0.2">
      <c r="B53" s="4" t="s">
        <v>10</v>
      </c>
      <c r="C53" s="4"/>
      <c r="D53" s="5">
        <f>D40</f>
        <v>110</v>
      </c>
      <c r="E53" s="5">
        <f t="shared" ref="E53:H53" si="28">E40</f>
        <v>121</v>
      </c>
      <c r="F53" s="5">
        <f t="shared" si="28"/>
        <v>133.1</v>
      </c>
      <c r="G53" s="5">
        <f t="shared" si="28"/>
        <v>146.41000000000003</v>
      </c>
      <c r="H53" s="5">
        <f t="shared" si="28"/>
        <v>161.05100000000004</v>
      </c>
    </row>
    <row r="54" spans="1:8" outlineLevel="1" x14ac:dyDescent="0.2">
      <c r="B54" s="4" t="s">
        <v>20</v>
      </c>
      <c r="C54" s="4"/>
      <c r="D54" s="5">
        <f>D47</f>
        <v>154.00000000000003</v>
      </c>
      <c r="E54" s="5">
        <f t="shared" ref="E54:H54" si="29">E47</f>
        <v>169.4</v>
      </c>
      <c r="F54" s="5">
        <f t="shared" si="29"/>
        <v>186.34000000000003</v>
      </c>
      <c r="G54" s="5">
        <f t="shared" si="29"/>
        <v>204.97400000000005</v>
      </c>
      <c r="H54" s="5">
        <f t="shared" si="29"/>
        <v>225.47140000000005</v>
      </c>
    </row>
    <row r="55" spans="1:8" outlineLevel="1" x14ac:dyDescent="0.2">
      <c r="B55" t="s">
        <v>19</v>
      </c>
      <c r="D55" s="13">
        <f>D45</f>
        <v>20</v>
      </c>
      <c r="E55" s="13">
        <f t="shared" ref="E55:H55" si="30">E45</f>
        <v>22</v>
      </c>
      <c r="F55" s="13">
        <f t="shared" si="30"/>
        <v>24.199999999999989</v>
      </c>
      <c r="G55" s="13">
        <f t="shared" si="30"/>
        <v>26.620000000000061</v>
      </c>
      <c r="H55" s="13">
        <f t="shared" si="30"/>
        <v>29.282000000000039</v>
      </c>
    </row>
    <row r="56" spans="1:8" ht="16" outlineLevel="1" thickBot="1" x14ac:dyDescent="0.25">
      <c r="B56" s="14" t="s">
        <v>23</v>
      </c>
      <c r="C56" s="14"/>
      <c r="D56" s="15">
        <f>D52+D53-D54-D55</f>
        <v>109.79999999999998</v>
      </c>
      <c r="E56" s="15">
        <f t="shared" ref="E56:H56" si="31">E52+E53-E54-E55</f>
        <v>162.04564999999999</v>
      </c>
      <c r="F56" s="15">
        <f t="shared" si="31"/>
        <v>223.09601603250002</v>
      </c>
      <c r="G56" s="15">
        <f t="shared" si="31"/>
        <v>295.18477203573906</v>
      </c>
      <c r="H56" s="15">
        <f t="shared" si="31"/>
        <v>378.21832917702136</v>
      </c>
    </row>
    <row r="58" spans="1:8" x14ac:dyDescent="0.2">
      <c r="A58" t="s">
        <v>0</v>
      </c>
      <c r="B58" s="1" t="s">
        <v>24</v>
      </c>
      <c r="C58" s="1"/>
      <c r="D58" s="1"/>
      <c r="E58" s="1"/>
      <c r="F58" s="1"/>
      <c r="G58" s="1"/>
      <c r="H58" s="1"/>
    </row>
    <row r="59" spans="1:8" ht="6" customHeight="1" outlineLevel="1" x14ac:dyDescent="0.2"/>
    <row r="60" spans="1:8" outlineLevel="1" x14ac:dyDescent="0.2">
      <c r="B60" s="2"/>
      <c r="C60" s="3">
        <v>0</v>
      </c>
      <c r="D60" s="3">
        <f>C60+1</f>
        <v>1</v>
      </c>
      <c r="E60" s="3">
        <f t="shared" ref="E60:H60" si="32">D60+1</f>
        <v>2</v>
      </c>
      <c r="F60" s="3">
        <f t="shared" si="32"/>
        <v>3</v>
      </c>
      <c r="G60" s="3">
        <f t="shared" si="32"/>
        <v>4</v>
      </c>
      <c r="H60" s="3">
        <f t="shared" si="32"/>
        <v>5</v>
      </c>
    </row>
    <row r="61" spans="1:8" outlineLevel="1" x14ac:dyDescent="0.2">
      <c r="B61" s="16" t="s">
        <v>25</v>
      </c>
    </row>
    <row r="62" spans="1:8" outlineLevel="1" x14ac:dyDescent="0.2">
      <c r="B62" s="17" t="s">
        <v>26</v>
      </c>
      <c r="D62" s="18">
        <f>C65</f>
        <v>200</v>
      </c>
      <c r="E62" s="18">
        <f t="shared" ref="E62:H62" si="33">D65</f>
        <v>90.200000000000017</v>
      </c>
      <c r="F62" s="18">
        <f t="shared" si="33"/>
        <v>0</v>
      </c>
      <c r="G62" s="18">
        <f t="shared" si="33"/>
        <v>0</v>
      </c>
      <c r="H62" s="18">
        <f t="shared" si="33"/>
        <v>0</v>
      </c>
    </row>
    <row r="63" spans="1:8" outlineLevel="1" x14ac:dyDescent="0.2">
      <c r="B63" s="17" t="s">
        <v>27</v>
      </c>
      <c r="D63" s="18">
        <f>D62*[1]Assumptions!$K$9</f>
        <v>15</v>
      </c>
      <c r="E63" s="18">
        <f>E62*[1]Assumptions!$K$9</f>
        <v>6.7650000000000015</v>
      </c>
      <c r="F63" s="18">
        <f>F62*[1]Assumptions!$K$9</f>
        <v>0</v>
      </c>
      <c r="G63" s="18">
        <f>G62*[1]Assumptions!$K$9</f>
        <v>0</v>
      </c>
      <c r="H63" s="18">
        <f>H62*[1]Assumptions!$K$9</f>
        <v>0</v>
      </c>
    </row>
    <row r="64" spans="1:8" outlineLevel="1" x14ac:dyDescent="0.2">
      <c r="B64" s="17" t="s">
        <v>28</v>
      </c>
      <c r="D64" s="18">
        <f>MIN(D62,D56)</f>
        <v>109.79999999999998</v>
      </c>
      <c r="E64" s="18">
        <f t="shared" ref="E64:H64" si="34">MIN(E62,E56)</f>
        <v>90.200000000000017</v>
      </c>
      <c r="F64" s="18">
        <f t="shared" si="34"/>
        <v>0</v>
      </c>
      <c r="G64" s="18">
        <f t="shared" si="34"/>
        <v>0</v>
      </c>
      <c r="H64" s="18">
        <f t="shared" si="34"/>
        <v>0</v>
      </c>
    </row>
    <row r="65" spans="2:8" outlineLevel="1" x14ac:dyDescent="0.2">
      <c r="B65" s="19" t="s">
        <v>29</v>
      </c>
      <c r="C65" s="20">
        <f>[1]Assumptions!J9</f>
        <v>200</v>
      </c>
      <c r="D65" s="20">
        <f>D62-D64</f>
        <v>90.200000000000017</v>
      </c>
      <c r="E65" s="20">
        <f t="shared" ref="E65:H65" si="35">E62-E64</f>
        <v>0</v>
      </c>
      <c r="F65" s="20">
        <f t="shared" si="35"/>
        <v>0</v>
      </c>
      <c r="G65" s="20">
        <f t="shared" si="35"/>
        <v>0</v>
      </c>
      <c r="H65" s="20">
        <f t="shared" si="35"/>
        <v>0</v>
      </c>
    </row>
    <row r="66" spans="2:8" outlineLevel="1" x14ac:dyDescent="0.2"/>
    <row r="67" spans="2:8" outlineLevel="1" x14ac:dyDescent="0.2">
      <c r="B67" s="16" t="str">
        <f>[1]Assumptions!H10</f>
        <v>Bank Loan</v>
      </c>
    </row>
    <row r="68" spans="2:8" outlineLevel="1" x14ac:dyDescent="0.2">
      <c r="B68" s="17" t="s">
        <v>26</v>
      </c>
      <c r="D68" s="18">
        <f>C71</f>
        <v>2500</v>
      </c>
      <c r="E68" s="18">
        <f t="shared" ref="E68:H68" si="36">D71</f>
        <v>2500</v>
      </c>
      <c r="F68" s="18">
        <f t="shared" si="36"/>
        <v>2428.1543499999998</v>
      </c>
      <c r="G68" s="18">
        <f t="shared" si="36"/>
        <v>2205.0583339674999</v>
      </c>
      <c r="H68" s="18">
        <f t="shared" si="36"/>
        <v>1909.8735619317608</v>
      </c>
    </row>
    <row r="69" spans="2:8" outlineLevel="1" x14ac:dyDescent="0.2">
      <c r="B69" s="17" t="s">
        <v>27</v>
      </c>
      <c r="D69" s="21">
        <f>D68*[1]Assumptions!$K$10</f>
        <v>237.5</v>
      </c>
      <c r="E69" s="21">
        <f>E68*[1]Assumptions!$K$10</f>
        <v>237.5</v>
      </c>
      <c r="F69" s="21">
        <f>F68*[1]Assumptions!$K$10</f>
        <v>230.67466324999998</v>
      </c>
      <c r="G69" s="21">
        <f>G68*[1]Assumptions!$K$10</f>
        <v>209.48054172691249</v>
      </c>
      <c r="H69" s="21">
        <f>H68*[1]Assumptions!$K$10</f>
        <v>181.43798838351728</v>
      </c>
    </row>
    <row r="70" spans="2:8" outlineLevel="1" x14ac:dyDescent="0.2">
      <c r="B70" s="17" t="s">
        <v>28</v>
      </c>
      <c r="D70" s="18">
        <f>MIN(D68,D56-D64)</f>
        <v>0</v>
      </c>
      <c r="E70" s="18">
        <f t="shared" ref="E70:H70" si="37">MIN(E68,E56-E64)</f>
        <v>71.845649999999978</v>
      </c>
      <c r="F70" s="18">
        <f t="shared" si="37"/>
        <v>223.09601603250002</v>
      </c>
      <c r="G70" s="18">
        <f t="shared" si="37"/>
        <v>295.18477203573906</v>
      </c>
      <c r="H70" s="18">
        <f t="shared" si="37"/>
        <v>378.21832917702136</v>
      </c>
    </row>
    <row r="71" spans="2:8" outlineLevel="1" x14ac:dyDescent="0.2">
      <c r="B71" s="19" t="s">
        <v>29</v>
      </c>
      <c r="C71" s="20">
        <f>[1]Assumptions!J10</f>
        <v>2500</v>
      </c>
      <c r="D71" s="20">
        <f>D68-D70</f>
        <v>2500</v>
      </c>
      <c r="E71" s="20">
        <f t="shared" ref="E71:H71" si="38">E68-E70</f>
        <v>2428.1543499999998</v>
      </c>
      <c r="F71" s="20">
        <f t="shared" si="38"/>
        <v>2205.0583339674999</v>
      </c>
      <c r="G71" s="20">
        <f t="shared" si="38"/>
        <v>1909.8735619317608</v>
      </c>
      <c r="H71" s="20">
        <f t="shared" si="38"/>
        <v>1531.6552327547395</v>
      </c>
    </row>
    <row r="72" spans="2:8" outlineLevel="1" x14ac:dyDescent="0.2"/>
    <row r="73" spans="2:8" outlineLevel="1" x14ac:dyDescent="0.2">
      <c r="B73" s="16" t="str">
        <f>[1]Assumptions!H11</f>
        <v>Senior Notes</v>
      </c>
    </row>
    <row r="74" spans="2:8" outlineLevel="1" x14ac:dyDescent="0.2">
      <c r="B74" s="17" t="s">
        <v>26</v>
      </c>
      <c r="D74" s="18">
        <f>C77</f>
        <v>1500</v>
      </c>
      <c r="E74" s="18">
        <f t="shared" ref="E74:H74" si="39">D77</f>
        <v>1500</v>
      </c>
      <c r="F74" s="18">
        <f t="shared" si="39"/>
        <v>1500</v>
      </c>
      <c r="G74" s="18">
        <f t="shared" si="39"/>
        <v>1500</v>
      </c>
      <c r="H74" s="18">
        <f t="shared" si="39"/>
        <v>1500</v>
      </c>
    </row>
    <row r="75" spans="2:8" outlineLevel="1" x14ac:dyDescent="0.2">
      <c r="B75" s="17" t="s">
        <v>27</v>
      </c>
      <c r="D75" s="18">
        <f>D74*[1]Assumptions!$K$11</f>
        <v>187.5</v>
      </c>
      <c r="E75" s="18">
        <f>E74*[1]Assumptions!$K$11</f>
        <v>187.5</v>
      </c>
      <c r="F75" s="18">
        <f>F74*[1]Assumptions!$K$11</f>
        <v>187.5</v>
      </c>
      <c r="G75" s="18">
        <f>G74*[1]Assumptions!$K$11</f>
        <v>187.5</v>
      </c>
      <c r="H75" s="18">
        <f>H74*[1]Assumptions!$K$11</f>
        <v>187.5</v>
      </c>
    </row>
    <row r="76" spans="2:8" outlineLevel="1" x14ac:dyDescent="0.2">
      <c r="B76" s="17" t="s">
        <v>28</v>
      </c>
      <c r="D76" s="18">
        <f>MIN(D74,D56-D64-D70)</f>
        <v>0</v>
      </c>
      <c r="E76" s="18">
        <f t="shared" ref="E76:H76" si="40">MIN(E74,E56-E64-E70)</f>
        <v>0</v>
      </c>
      <c r="F76" s="18">
        <f t="shared" si="40"/>
        <v>0</v>
      </c>
      <c r="G76" s="18">
        <f t="shared" si="40"/>
        <v>0</v>
      </c>
      <c r="H76" s="18">
        <f t="shared" si="40"/>
        <v>0</v>
      </c>
    </row>
    <row r="77" spans="2:8" outlineLevel="1" x14ac:dyDescent="0.2">
      <c r="B77" s="19" t="s">
        <v>29</v>
      </c>
      <c r="C77" s="20">
        <f>[1]Assumptions!J11</f>
        <v>1500</v>
      </c>
      <c r="D77" s="20">
        <f>D74-D76</f>
        <v>1500</v>
      </c>
      <c r="E77" s="20">
        <f t="shared" ref="E77:H77" si="41">E74-E76</f>
        <v>1500</v>
      </c>
      <c r="F77" s="20">
        <f t="shared" si="41"/>
        <v>1500</v>
      </c>
      <c r="G77" s="20">
        <f t="shared" si="41"/>
        <v>1500</v>
      </c>
      <c r="H77" s="20">
        <f t="shared" si="41"/>
        <v>1500</v>
      </c>
    </row>
    <row r="78" spans="2:8" outlineLevel="1" x14ac:dyDescent="0.2"/>
    <row r="79" spans="2:8" outlineLevel="1" x14ac:dyDescent="0.2">
      <c r="B79" s="16" t="s">
        <v>30</v>
      </c>
    </row>
    <row r="80" spans="2:8" outlineLevel="1" x14ac:dyDescent="0.2">
      <c r="B80" s="17" t="s">
        <v>26</v>
      </c>
      <c r="D80" s="18">
        <f>SUM(D62,D68,D74)</f>
        <v>4200</v>
      </c>
      <c r="E80" s="18">
        <f t="shared" ref="E80:H81" si="42">SUM(E62,E68,E74)</f>
        <v>4090.2</v>
      </c>
      <c r="F80" s="18">
        <f t="shared" si="42"/>
        <v>3928.1543499999998</v>
      </c>
      <c r="G80" s="18">
        <f t="shared" si="42"/>
        <v>3705.0583339674999</v>
      </c>
      <c r="H80" s="18">
        <f t="shared" si="42"/>
        <v>3409.8735619317608</v>
      </c>
    </row>
    <row r="81" spans="1:8" outlineLevel="1" x14ac:dyDescent="0.2">
      <c r="B81" s="17" t="s">
        <v>27</v>
      </c>
      <c r="D81" s="18">
        <f>SUM(D63,D69,D75)</f>
        <v>440</v>
      </c>
      <c r="E81" s="18">
        <f t="shared" si="42"/>
        <v>431.76499999999999</v>
      </c>
      <c r="F81" s="18">
        <f t="shared" si="42"/>
        <v>418.17466324999998</v>
      </c>
      <c r="G81" s="18">
        <f t="shared" si="42"/>
        <v>396.98054172691252</v>
      </c>
      <c r="H81" s="18">
        <f t="shared" si="42"/>
        <v>368.93798838351728</v>
      </c>
    </row>
    <row r="82" spans="1:8" outlineLevel="1" x14ac:dyDescent="0.2">
      <c r="B82" s="17" t="s">
        <v>28</v>
      </c>
      <c r="D82" s="18">
        <f t="shared" ref="D82:H83" si="43">SUM(D64,D70,D76)</f>
        <v>109.79999999999998</v>
      </c>
      <c r="E82" s="18">
        <f t="shared" si="43"/>
        <v>162.04564999999999</v>
      </c>
      <c r="F82" s="18">
        <f t="shared" si="43"/>
        <v>223.09601603250002</v>
      </c>
      <c r="G82" s="18">
        <f t="shared" si="43"/>
        <v>295.18477203573906</v>
      </c>
      <c r="H82" s="18">
        <f t="shared" si="43"/>
        <v>378.21832917702136</v>
      </c>
    </row>
    <row r="83" spans="1:8" ht="16" outlineLevel="1" thickBot="1" x14ac:dyDescent="0.25">
      <c r="B83" s="22" t="s">
        <v>29</v>
      </c>
      <c r="C83" s="23">
        <f>SUM(C65,C71,C77)</f>
        <v>4200</v>
      </c>
      <c r="D83" s="23">
        <f t="shared" si="43"/>
        <v>4090.2</v>
      </c>
      <c r="E83" s="23">
        <f>SUM(E65,E71,E77)</f>
        <v>3928.1543499999998</v>
      </c>
      <c r="F83" s="23">
        <f t="shared" si="43"/>
        <v>3705.0583339674999</v>
      </c>
      <c r="G83" s="23">
        <f t="shared" si="43"/>
        <v>3409.8735619317608</v>
      </c>
      <c r="H83" s="23">
        <f t="shared" si="43"/>
        <v>3031.6552327547397</v>
      </c>
    </row>
    <row r="84" spans="1:8" ht="16" thickTop="1" x14ac:dyDescent="0.2"/>
    <row r="85" spans="1:8" x14ac:dyDescent="0.2">
      <c r="A85" t="s">
        <v>0</v>
      </c>
      <c r="B85" s="1" t="s">
        <v>31</v>
      </c>
      <c r="C85" s="1"/>
      <c r="D85" s="1"/>
      <c r="E85" s="1"/>
      <c r="F85" s="1"/>
      <c r="G85" s="1"/>
      <c r="H85" s="1"/>
    </row>
    <row r="86" spans="1:8" ht="6" customHeight="1" outlineLevel="1" x14ac:dyDescent="0.2"/>
    <row r="87" spans="1:8" outlineLevel="1" x14ac:dyDescent="0.2">
      <c r="B87" t="s">
        <v>32</v>
      </c>
      <c r="H87" s="13">
        <f>H24</f>
        <v>1127.357</v>
      </c>
    </row>
    <row r="88" spans="1:8" outlineLevel="1" x14ac:dyDescent="0.2">
      <c r="B88" s="24" t="s">
        <v>33</v>
      </c>
      <c r="C88" s="24"/>
      <c r="D88" s="24"/>
      <c r="E88" s="24"/>
      <c r="F88" s="24"/>
      <c r="G88" s="24"/>
      <c r="H88" s="25">
        <f>[1]Assumptions!F18</f>
        <v>10</v>
      </c>
    </row>
    <row r="89" spans="1:8" outlineLevel="1" x14ac:dyDescent="0.2">
      <c r="B89" t="s">
        <v>34</v>
      </c>
      <c r="H89" s="18">
        <f>H87*H88</f>
        <v>11273.57</v>
      </c>
    </row>
    <row r="90" spans="1:8" outlineLevel="1" x14ac:dyDescent="0.2">
      <c r="B90" s="24" t="s">
        <v>35</v>
      </c>
      <c r="C90" s="24"/>
      <c r="D90" s="24"/>
      <c r="E90" s="24"/>
      <c r="F90" s="24"/>
      <c r="G90" s="24"/>
      <c r="H90" s="26">
        <f>H83</f>
        <v>3031.6552327547397</v>
      </c>
    </row>
    <row r="91" spans="1:8" outlineLevel="1" x14ac:dyDescent="0.2">
      <c r="B91" s="27" t="s">
        <v>36</v>
      </c>
      <c r="C91" s="27"/>
      <c r="D91" s="27"/>
      <c r="E91" s="27"/>
      <c r="F91" s="27"/>
      <c r="G91" s="27"/>
      <c r="H91" s="28">
        <f>H89-H90</f>
        <v>8241.91476724526</v>
      </c>
    </row>
    <row r="92" spans="1:8" outlineLevel="1" x14ac:dyDescent="0.2"/>
    <row r="93" spans="1:8" outlineLevel="1" x14ac:dyDescent="0.2">
      <c r="B93" t="s">
        <v>37</v>
      </c>
      <c r="H93" s="18">
        <f>[1]Assumptions!C29</f>
        <v>2900</v>
      </c>
    </row>
    <row r="94" spans="1:8" outlineLevel="1" x14ac:dyDescent="0.2"/>
    <row r="95" spans="1:8" outlineLevel="1" x14ac:dyDescent="0.2">
      <c r="B95" s="29" t="s">
        <v>38</v>
      </c>
      <c r="C95" s="30"/>
      <c r="D95" s="30"/>
      <c r="E95" s="30"/>
      <c r="F95" s="30"/>
      <c r="G95" s="30"/>
      <c r="H95" s="31">
        <f>H91/H93</f>
        <v>2.8420395749121585</v>
      </c>
    </row>
    <row r="96" spans="1:8" outlineLevel="1" x14ac:dyDescent="0.2">
      <c r="B96" s="32" t="s">
        <v>31</v>
      </c>
      <c r="C96" s="33"/>
      <c r="D96" s="33"/>
      <c r="E96" s="33"/>
      <c r="F96" s="33"/>
      <c r="G96" s="33"/>
      <c r="H96" s="34">
        <f>H95^(1/5)-1</f>
        <v>0.23232717123052216</v>
      </c>
    </row>
  </sheetData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DDB75-D21E-BF41-A4A8-1FC2FE238B88}">
  <sheetPr>
    <tabColor theme="3" tint="9.9978637043366805E-2"/>
  </sheetPr>
  <dimension ref="A1"/>
  <sheetViews>
    <sheetView showGridLines="0" workbookViewId="0">
      <selection activeCell="H35" sqref="H35"/>
    </sheetView>
  </sheetViews>
  <sheetFormatPr baseColWidth="10" defaultRowHeight="1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36050-20C1-C643-B1AF-2F063D6B4957}">
  <dimension ref="A1:K29"/>
  <sheetViews>
    <sheetView showGridLines="0" workbookViewId="0">
      <selection activeCell="E34" sqref="E34"/>
    </sheetView>
  </sheetViews>
  <sheetFormatPr baseColWidth="10" defaultRowHeight="15" x14ac:dyDescent="0.2"/>
  <cols>
    <col min="1" max="1" width="2" customWidth="1"/>
    <col min="2" max="2" width="19.1640625" bestFit="1" customWidth="1"/>
    <col min="3" max="3" width="12" bestFit="1" customWidth="1"/>
    <col min="5" max="5" width="14" bestFit="1" customWidth="1"/>
    <col min="8" max="8" width="14.1640625" bestFit="1" customWidth="1"/>
  </cols>
  <sheetData>
    <row r="1" spans="1:11" ht="11" customHeight="1" x14ac:dyDescent="0.2"/>
    <row r="2" spans="1:11" x14ac:dyDescent="0.2">
      <c r="B2" t="s">
        <v>171</v>
      </c>
    </row>
    <row r="3" spans="1:11" x14ac:dyDescent="0.2">
      <c r="A3" t="s">
        <v>0</v>
      </c>
      <c r="B3" s="1" t="s">
        <v>45</v>
      </c>
      <c r="C3" s="1"/>
      <c r="D3" s="1"/>
      <c r="E3" s="1"/>
      <c r="F3" s="1"/>
      <c r="G3" s="1"/>
      <c r="H3" s="1"/>
      <c r="I3" s="1"/>
      <c r="J3" s="1"/>
      <c r="K3" s="1"/>
    </row>
    <row r="4" spans="1:11" ht="6" customHeight="1" x14ac:dyDescent="0.2"/>
    <row r="5" spans="1:11" x14ac:dyDescent="0.2">
      <c r="B5" s="2" t="s">
        <v>1</v>
      </c>
      <c r="C5" s="42"/>
      <c r="D5" s="37"/>
      <c r="E5" s="2" t="s">
        <v>172</v>
      </c>
      <c r="F5" s="42"/>
      <c r="G5" s="37"/>
      <c r="H5" s="2" t="s">
        <v>66</v>
      </c>
      <c r="I5" s="42"/>
      <c r="J5" s="158" t="s">
        <v>67</v>
      </c>
      <c r="K5" s="158" t="s">
        <v>161</v>
      </c>
    </row>
    <row r="6" spans="1:11" x14ac:dyDescent="0.2">
      <c r="B6" s="16" t="s">
        <v>173</v>
      </c>
      <c r="E6" t="s">
        <v>60</v>
      </c>
      <c r="F6">
        <f>[1]Financials!C28</f>
        <v>700</v>
      </c>
      <c r="H6" t="s">
        <v>25</v>
      </c>
      <c r="J6" s="159">
        <v>200</v>
      </c>
      <c r="K6" s="60">
        <v>7.4999999999999997E-2</v>
      </c>
    </row>
    <row r="7" spans="1:11" x14ac:dyDescent="0.2">
      <c r="B7" s="4" t="s">
        <v>3</v>
      </c>
      <c r="C7" s="160">
        <v>2000</v>
      </c>
      <c r="E7" s="161" t="s">
        <v>174</v>
      </c>
      <c r="F7" s="162">
        <v>10</v>
      </c>
      <c r="H7" s="4" t="s">
        <v>175</v>
      </c>
      <c r="I7" s="4"/>
      <c r="J7" s="160">
        <v>2500</v>
      </c>
      <c r="K7" s="163">
        <v>9.5000000000000001E-2</v>
      </c>
    </row>
    <row r="8" spans="1:11" x14ac:dyDescent="0.2">
      <c r="B8" s="4" t="s">
        <v>5</v>
      </c>
      <c r="C8" s="160">
        <v>900</v>
      </c>
      <c r="E8" s="164" t="s">
        <v>34</v>
      </c>
      <c r="F8" s="165">
        <f>F6*F7</f>
        <v>7000</v>
      </c>
      <c r="H8" s="4" t="s">
        <v>76</v>
      </c>
      <c r="I8" s="4"/>
      <c r="J8" s="160">
        <v>1500</v>
      </c>
      <c r="K8" s="163">
        <v>0.125</v>
      </c>
    </row>
    <row r="9" spans="1:11" x14ac:dyDescent="0.2">
      <c r="B9" s="4" t="s">
        <v>176</v>
      </c>
      <c r="C9" s="160">
        <v>500</v>
      </c>
      <c r="E9" t="s">
        <v>177</v>
      </c>
      <c r="F9" s="159">
        <v>1000</v>
      </c>
    </row>
    <row r="10" spans="1:11" x14ac:dyDescent="0.2">
      <c r="B10" s="4" t="s">
        <v>10</v>
      </c>
      <c r="C10" s="160">
        <v>100</v>
      </c>
      <c r="E10" s="164" t="s">
        <v>178</v>
      </c>
      <c r="F10" s="165">
        <f>F8-F9</f>
        <v>6000</v>
      </c>
    </row>
    <row r="11" spans="1:11" x14ac:dyDescent="0.2">
      <c r="B11" s="4" t="s">
        <v>18</v>
      </c>
      <c r="C11" s="160">
        <v>200</v>
      </c>
    </row>
    <row r="12" spans="1:11" x14ac:dyDescent="0.2">
      <c r="B12" s="4" t="s">
        <v>20</v>
      </c>
      <c r="C12" s="160">
        <v>140</v>
      </c>
      <c r="E12" s="4" t="s">
        <v>179</v>
      </c>
      <c r="F12" s="160">
        <v>100</v>
      </c>
    </row>
    <row r="14" spans="1:11" x14ac:dyDescent="0.2">
      <c r="B14" s="2" t="s">
        <v>180</v>
      </c>
      <c r="C14" s="42"/>
      <c r="D14" s="37"/>
      <c r="E14" s="2" t="s">
        <v>181</v>
      </c>
      <c r="F14" s="42"/>
      <c r="G14" s="37"/>
      <c r="H14" s="37"/>
      <c r="I14" s="37"/>
      <c r="J14" s="37"/>
      <c r="K14" s="37"/>
    </row>
    <row r="15" spans="1:11" x14ac:dyDescent="0.2">
      <c r="B15" t="s">
        <v>96</v>
      </c>
      <c r="C15" s="60">
        <v>0.1</v>
      </c>
      <c r="E15" s="161" t="s">
        <v>182</v>
      </c>
      <c r="F15" s="162">
        <v>10</v>
      </c>
    </row>
    <row r="16" spans="1:11" x14ac:dyDescent="0.2">
      <c r="B16" s="4" t="s">
        <v>101</v>
      </c>
      <c r="C16" s="163">
        <v>0.21</v>
      </c>
    </row>
    <row r="18" spans="1:11" x14ac:dyDescent="0.2">
      <c r="A18" t="s">
        <v>0</v>
      </c>
      <c r="B18" s="1" t="s">
        <v>80</v>
      </c>
      <c r="C18" s="1"/>
      <c r="D18" s="1"/>
      <c r="E18" s="1"/>
      <c r="F18" s="1"/>
      <c r="G18" s="1"/>
      <c r="H18" s="1"/>
      <c r="I18" s="1"/>
      <c r="J18" s="1"/>
      <c r="K18" s="1"/>
    </row>
    <row r="19" spans="1:11" ht="6" customHeight="1" x14ac:dyDescent="0.2"/>
    <row r="20" spans="1:11" x14ac:dyDescent="0.2">
      <c r="B20" s="2" t="s">
        <v>81</v>
      </c>
      <c r="C20" s="166" t="s">
        <v>67</v>
      </c>
      <c r="D20" s="166" t="s">
        <v>68</v>
      </c>
      <c r="E20" s="166" t="s">
        <v>183</v>
      </c>
      <c r="G20" s="2" t="s">
        <v>82</v>
      </c>
      <c r="H20" s="42"/>
      <c r="I20" s="166" t="s">
        <v>67</v>
      </c>
      <c r="J20" s="166" t="s">
        <v>68</v>
      </c>
      <c r="K20" s="166" t="s">
        <v>183</v>
      </c>
    </row>
    <row r="21" spans="1:11" x14ac:dyDescent="0.2">
      <c r="B21" t="str">
        <f>H6</f>
        <v>Revolver</v>
      </c>
      <c r="C21" s="13">
        <f>J6</f>
        <v>200</v>
      </c>
      <c r="D21" s="167">
        <f>C21/$F$6</f>
        <v>0.2857142857142857</v>
      </c>
      <c r="E21" s="67">
        <f>C21/$I$28</f>
        <v>2.8169014084507043E-2</v>
      </c>
      <c r="G21" t="s">
        <v>87</v>
      </c>
      <c r="I21" s="13">
        <f>F9</f>
        <v>1000</v>
      </c>
      <c r="J21" s="167">
        <f>I21/$F$6</f>
        <v>1.4285714285714286</v>
      </c>
      <c r="K21" s="67">
        <f>I21/$I$28</f>
        <v>0.14084507042253522</v>
      </c>
    </row>
    <row r="22" spans="1:11" x14ac:dyDescent="0.2">
      <c r="B22" s="4" t="str">
        <f t="shared" ref="B22:B23" si="0">H7</f>
        <v>Bank Loan</v>
      </c>
      <c r="C22" s="5">
        <f t="shared" ref="C22:C23" si="1">J7</f>
        <v>2500</v>
      </c>
      <c r="D22" s="168">
        <f t="shared" ref="D22:D23" si="2">C22/$F$6</f>
        <v>3.5714285714285716</v>
      </c>
      <c r="E22" s="7">
        <f>C22/I28</f>
        <v>0.352112676056338</v>
      </c>
      <c r="G22" t="s">
        <v>86</v>
      </c>
      <c r="I22" s="18">
        <f>F10</f>
        <v>6000</v>
      </c>
      <c r="J22" s="167">
        <f>I22/$F$6</f>
        <v>8.5714285714285712</v>
      </c>
      <c r="K22" s="67">
        <f t="shared" ref="K22:K25" si="3">I22/$I$28</f>
        <v>0.84507042253521125</v>
      </c>
    </row>
    <row r="23" spans="1:11" x14ac:dyDescent="0.2">
      <c r="B23" s="169" t="str">
        <f t="shared" si="0"/>
        <v>Senior Notes</v>
      </c>
      <c r="C23" s="170">
        <f t="shared" si="1"/>
        <v>1500</v>
      </c>
      <c r="D23" s="171">
        <f t="shared" si="2"/>
        <v>2.1428571428571428</v>
      </c>
      <c r="E23" s="172">
        <f>C23/I28</f>
        <v>0.21126760563380281</v>
      </c>
      <c r="J23" s="167"/>
    </row>
    <row r="24" spans="1:11" x14ac:dyDescent="0.2">
      <c r="B24" s="173" t="s">
        <v>93</v>
      </c>
      <c r="C24" s="174">
        <f>SUM(C21:C23)</f>
        <v>4200</v>
      </c>
      <c r="D24" s="175">
        <f t="shared" ref="D24:E24" si="4">SUM(D21:D23)</f>
        <v>6</v>
      </c>
      <c r="E24" s="176">
        <f t="shared" si="4"/>
        <v>0.59154929577464788</v>
      </c>
      <c r="J24" s="167"/>
    </row>
    <row r="25" spans="1:11" x14ac:dyDescent="0.2">
      <c r="G25" t="str">
        <f>E12</f>
        <v>Fees &amp; Expenses</v>
      </c>
      <c r="I25" s="13">
        <f>F12</f>
        <v>100</v>
      </c>
      <c r="J25" s="167">
        <f>I25/F6</f>
        <v>0.14285714285714285</v>
      </c>
      <c r="K25" s="67">
        <f t="shared" si="3"/>
        <v>1.4084507042253521E-2</v>
      </c>
    </row>
    <row r="26" spans="1:11" x14ac:dyDescent="0.2">
      <c r="B26" t="s">
        <v>91</v>
      </c>
      <c r="C26" s="18">
        <f>C28-C24</f>
        <v>2900</v>
      </c>
      <c r="D26" s="167">
        <f>C26/F6</f>
        <v>4.1428571428571432</v>
      </c>
      <c r="E26" s="67">
        <f>C26/I28</f>
        <v>0.40845070422535212</v>
      </c>
      <c r="J26" s="167"/>
    </row>
    <row r="27" spans="1:11" x14ac:dyDescent="0.2">
      <c r="J27" s="167"/>
    </row>
    <row r="28" spans="1:11" ht="16" thickBot="1" x14ac:dyDescent="0.25">
      <c r="B28" s="195" t="s">
        <v>184</v>
      </c>
      <c r="C28" s="196">
        <f>I28</f>
        <v>7100</v>
      </c>
      <c r="D28" s="197">
        <f>SUM(D24,D26)</f>
        <v>10.142857142857142</v>
      </c>
      <c r="E28" s="198">
        <f>SUM(E24,E26)</f>
        <v>1</v>
      </c>
      <c r="G28" s="195" t="s">
        <v>185</v>
      </c>
      <c r="H28" s="195"/>
      <c r="I28" s="196">
        <f>SUM(I21:I22,I25)</f>
        <v>7100</v>
      </c>
      <c r="J28" s="197">
        <f t="shared" ref="J28:K28" si="5">SUM(J21:J22,J25)</f>
        <v>10.142857142857142</v>
      </c>
      <c r="K28" s="198">
        <f t="shared" si="5"/>
        <v>1</v>
      </c>
    </row>
    <row r="29" spans="1:11" ht="16" thickTop="1" x14ac:dyDescent="0.2"/>
  </sheetData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F6F73-1FE6-3949-8F53-E2F8EA38DF92}">
  <dimension ref="A2:E31"/>
  <sheetViews>
    <sheetView showGridLines="0" zoomScale="96" workbookViewId="0">
      <selection activeCell="B38" sqref="B38"/>
    </sheetView>
  </sheetViews>
  <sheetFormatPr baseColWidth="10" defaultRowHeight="15" x14ac:dyDescent="0.2"/>
  <cols>
    <col min="1" max="1" width="2" customWidth="1"/>
    <col min="2" max="2" width="38.5" bestFit="1" customWidth="1"/>
    <col min="3" max="3" width="11" bestFit="1" customWidth="1"/>
    <col min="4" max="4" width="12.33203125" bestFit="1" customWidth="1"/>
    <col min="5" max="5" width="12.83203125" bestFit="1" customWidth="1"/>
  </cols>
  <sheetData>
    <row r="2" spans="1:5" s="27" customFormat="1" x14ac:dyDescent="0.2">
      <c r="B2" s="178" t="s">
        <v>186</v>
      </c>
    </row>
    <row r="4" spans="1:5" x14ac:dyDescent="0.2">
      <c r="A4" t="s">
        <v>0</v>
      </c>
      <c r="B4" s="1" t="s">
        <v>187</v>
      </c>
      <c r="C4" s="36"/>
      <c r="D4" s="36"/>
      <c r="E4" s="36"/>
    </row>
    <row r="5" spans="1:5" ht="6" customHeight="1" x14ac:dyDescent="0.2"/>
    <row r="6" spans="1:5" x14ac:dyDescent="0.2">
      <c r="B6" t="s">
        <v>188</v>
      </c>
      <c r="E6" s="179">
        <f>'[1]LBO - 2'!K14</f>
        <v>24</v>
      </c>
    </row>
    <row r="7" spans="1:5" x14ac:dyDescent="0.2">
      <c r="B7" t="s">
        <v>189</v>
      </c>
      <c r="E7" s="180">
        <v>136.554642</v>
      </c>
    </row>
    <row r="8" spans="1:5" x14ac:dyDescent="0.2">
      <c r="B8" t="s">
        <v>190</v>
      </c>
      <c r="E8" s="181">
        <f>E31</f>
        <v>7.4211999999999998</v>
      </c>
    </row>
    <row r="9" spans="1:5" x14ac:dyDescent="0.2">
      <c r="B9" t="s">
        <v>191</v>
      </c>
      <c r="E9" s="182">
        <f>SUMPRODUCT(D21:D30,E21:E30)</f>
        <v>129.351516</v>
      </c>
    </row>
    <row r="10" spans="1:5" x14ac:dyDescent="0.2">
      <c r="B10" t="s">
        <v>192</v>
      </c>
      <c r="E10" s="181">
        <f>E9/E6</f>
        <v>5.3896465000000005</v>
      </c>
    </row>
    <row r="11" spans="1:5" x14ac:dyDescent="0.2">
      <c r="B11" t="s">
        <v>193</v>
      </c>
      <c r="E11" s="181">
        <f>E8-E10</f>
        <v>2.0315534999999993</v>
      </c>
    </row>
    <row r="12" spans="1:5" x14ac:dyDescent="0.2">
      <c r="B12" t="s">
        <v>194</v>
      </c>
      <c r="E12" s="183">
        <v>1.7296</v>
      </c>
    </row>
    <row r="14" spans="1:5" x14ac:dyDescent="0.2">
      <c r="B14" t="s">
        <v>195</v>
      </c>
      <c r="E14" s="183">
        <f>48.1/E6</f>
        <v>2.0041666666666669</v>
      </c>
    </row>
    <row r="16" spans="1:5" x14ac:dyDescent="0.2">
      <c r="B16" s="61" t="s">
        <v>196</v>
      </c>
      <c r="C16" s="184"/>
      <c r="D16" s="184"/>
      <c r="E16" s="185">
        <f>E7+E14</f>
        <v>138.55880866666666</v>
      </c>
    </row>
    <row r="18" spans="1:5" x14ac:dyDescent="0.2">
      <c r="A18" t="s">
        <v>0</v>
      </c>
      <c r="B18" s="1" t="s">
        <v>197</v>
      </c>
      <c r="C18" s="36"/>
      <c r="D18" s="36"/>
      <c r="E18" s="36"/>
    </row>
    <row r="19" spans="1:5" ht="7" customHeight="1" x14ac:dyDescent="0.2"/>
    <row r="20" spans="1:5" x14ac:dyDescent="0.2">
      <c r="C20" s="54" t="s">
        <v>198</v>
      </c>
      <c r="D20" s="54" t="s">
        <v>199</v>
      </c>
      <c r="E20" s="54" t="s">
        <v>200</v>
      </c>
    </row>
    <row r="21" spans="1:5" x14ac:dyDescent="0.2">
      <c r="B21" s="186">
        <v>1</v>
      </c>
      <c r="C21" s="187">
        <v>7.4211999999999998</v>
      </c>
      <c r="D21" s="188">
        <v>17.43</v>
      </c>
      <c r="E21" s="189">
        <f>IF(D21&lt;$E$6,C21)</f>
        <v>7.4211999999999998</v>
      </c>
    </row>
    <row r="22" spans="1:5" x14ac:dyDescent="0.2">
      <c r="B22" s="186">
        <v>2</v>
      </c>
      <c r="C22" s="187"/>
      <c r="D22" s="188"/>
      <c r="E22" s="189">
        <f>IF(D22&lt;$E$6,C22)</f>
        <v>0</v>
      </c>
    </row>
    <row r="23" spans="1:5" x14ac:dyDescent="0.2">
      <c r="B23" s="186">
        <v>3</v>
      </c>
      <c r="C23" s="187"/>
      <c r="D23" s="188"/>
      <c r="E23" s="189">
        <f t="shared" ref="E23:E30" si="0">IF(D23&lt;$E$6,C23)</f>
        <v>0</v>
      </c>
    </row>
    <row r="24" spans="1:5" x14ac:dyDescent="0.2">
      <c r="B24" s="186">
        <v>4</v>
      </c>
      <c r="C24" s="187"/>
      <c r="D24" s="188"/>
      <c r="E24" s="189">
        <f t="shared" si="0"/>
        <v>0</v>
      </c>
    </row>
    <row r="25" spans="1:5" x14ac:dyDescent="0.2">
      <c r="B25" s="186">
        <v>5</v>
      </c>
      <c r="C25" s="187"/>
      <c r="D25" s="188"/>
      <c r="E25" s="189">
        <f t="shared" si="0"/>
        <v>0</v>
      </c>
    </row>
    <row r="26" spans="1:5" x14ac:dyDescent="0.2">
      <c r="B26" s="186">
        <v>6</v>
      </c>
      <c r="C26" s="187"/>
      <c r="D26" s="188"/>
      <c r="E26" s="189">
        <f t="shared" si="0"/>
        <v>0</v>
      </c>
    </row>
    <row r="27" spans="1:5" x14ac:dyDescent="0.2">
      <c r="B27" s="186">
        <v>7</v>
      </c>
      <c r="C27" s="187"/>
      <c r="D27" s="188"/>
      <c r="E27" s="189">
        <f t="shared" si="0"/>
        <v>0</v>
      </c>
    </row>
    <row r="28" spans="1:5" x14ac:dyDescent="0.2">
      <c r="B28" s="186">
        <v>8</v>
      </c>
      <c r="C28" s="187"/>
      <c r="D28" s="188"/>
      <c r="E28" s="189">
        <f t="shared" si="0"/>
        <v>0</v>
      </c>
    </row>
    <row r="29" spans="1:5" x14ac:dyDescent="0.2">
      <c r="B29" s="186">
        <v>9</v>
      </c>
      <c r="C29" s="187"/>
      <c r="D29" s="188"/>
      <c r="E29" s="189">
        <f t="shared" si="0"/>
        <v>0</v>
      </c>
    </row>
    <row r="30" spans="1:5" x14ac:dyDescent="0.2">
      <c r="B30" s="186">
        <v>10</v>
      </c>
      <c r="C30" s="190"/>
      <c r="D30" s="191"/>
      <c r="E30" s="189">
        <f t="shared" si="0"/>
        <v>0</v>
      </c>
    </row>
    <row r="31" spans="1:5" x14ac:dyDescent="0.2">
      <c r="B31" s="192" t="s">
        <v>79</v>
      </c>
      <c r="C31" s="193"/>
      <c r="D31" s="193"/>
      <c r="E31" s="194">
        <f>E21</f>
        <v>7.4211999999999998</v>
      </c>
    </row>
  </sheetData>
  <pageMargins left="0.7" right="0.7" top="0.75" bottom="0.75" header="0.3" footer="0.3"/>
  <pageSetup orientation="portrait" horizontalDpi="0" verticalDpi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E95ED-0A8E-0347-91F6-8CBDDBAE1E3C}">
  <sheetPr>
    <tabColor rgb="FFFFC000"/>
  </sheetPr>
  <dimension ref="A1"/>
  <sheetViews>
    <sheetView showGridLines="0" workbookViewId="0">
      <selection activeCell="H35" sqref="H35"/>
    </sheetView>
  </sheetViews>
  <sheetFormatPr baseColWidth="10" defaultRowHeight="1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6C0B0-B0D3-6B49-9AE1-2C38624C4C09}">
  <sheetPr>
    <tabColor theme="3" tint="9.9978637043366805E-2"/>
  </sheetPr>
  <dimension ref="A1"/>
  <sheetViews>
    <sheetView showGridLines="0" workbookViewId="0">
      <selection activeCell="H35" sqref="H35"/>
    </sheetView>
  </sheetViews>
  <sheetFormatPr baseColWidth="10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LBO Model &gt;</vt:lpstr>
      <vt:lpstr>Model - 1 &gt;</vt:lpstr>
      <vt:lpstr>LBO</vt:lpstr>
      <vt:lpstr>Financials</vt:lpstr>
      <vt:lpstr>Data - 1 &gt;</vt:lpstr>
      <vt:lpstr>Assumptions</vt:lpstr>
      <vt:lpstr>Shares</vt:lpstr>
      <vt:lpstr>DCF Model &gt;</vt:lpstr>
      <vt:lpstr>Model - 2 &gt;</vt:lpstr>
      <vt:lpstr>Historical FS</vt:lpstr>
      <vt:lpstr>Ratio Analysis</vt:lpstr>
      <vt:lpstr>WACC</vt:lpstr>
      <vt:lpstr>Intrinsic Growth </vt:lpstr>
      <vt:lpstr>DCF</vt:lpstr>
      <vt:lpstr>Data - 2 &gt;</vt:lpstr>
      <vt:lpstr>Data Sheet</vt:lpstr>
      <vt:lpstr>Raw FS</vt:lpstr>
      <vt:lpstr>Peer Comps</vt:lpstr>
      <vt:lpstr>Rm</vt:lpstr>
      <vt:lpstr>LBO!Print_Area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Gagan Bhaskar Naik</dc:creator>
  <cp:lastModifiedBy>Gagan Bhaskar Naik</cp:lastModifiedBy>
  <dcterms:created xsi:type="dcterms:W3CDTF">2025-06-12T14:51:47Z</dcterms:created>
  <dcterms:modified xsi:type="dcterms:W3CDTF">2026-01-28T17:39:31Z</dcterms:modified>
</cp:coreProperties>
</file>