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dastro" sheetId="1" state="visible" r:id="rId3"/>
    <sheet name="Movimentações" sheetId="2" state="visible" r:id="rId4"/>
    <sheet name="Saldo Atual" sheetId="3" state="visible" r:id="rId5"/>
    <sheet name="Painel" sheetId="4" state="visible" r:id="rId6"/>
    <sheet name="Resumo Mensal" sheetId="5" state="visible" r:id="rId7"/>
    <sheet name="Instruçõ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<sst xmlns="http://schemas.openxmlformats.org/spreadsheetml/2006/main" count="201" uniqueCount="137">
  <si>
    <t xml:space="preserve">CADASTRO DE PRODUTOS</t>
  </si>
  <si>
    <t xml:space="preserve">Registro mestre de produtos — preencha antes de lançar movimentações</t>
  </si>
  <si>
    <t xml:space="preserve">Cód.</t>
  </si>
  <si>
    <t xml:space="preserve">Nome do Produto</t>
  </si>
  <si>
    <t xml:space="preserve">Categoria</t>
  </si>
  <si>
    <t xml:space="preserve">Unidade</t>
  </si>
  <si>
    <t xml:space="preserve">Est. Inicial</t>
  </si>
  <si>
    <t xml:space="preserve">Custo Inicial R$</t>
  </si>
  <si>
    <t xml:space="preserve">Est. Mínimo</t>
  </si>
  <si>
    <t xml:space="preserve">Est. Máximo</t>
  </si>
  <si>
    <t xml:space="preserve">Preço Venda R$</t>
  </si>
  <si>
    <t xml:space="preserve">Fornecedor</t>
  </si>
  <si>
    <t xml:space="preserve">Observações</t>
  </si>
  <si>
    <t xml:space="preserve">P001</t>
  </si>
  <si>
    <t xml:space="preserve">Camisa Polo M</t>
  </si>
  <si>
    <t xml:space="preserve">Vestuário</t>
  </si>
  <si>
    <t xml:space="preserve">un</t>
  </si>
  <si>
    <t xml:space="preserve">Fornecedor A</t>
  </si>
  <si>
    <t xml:space="preserve">P002</t>
  </si>
  <si>
    <t xml:space="preserve">Calça Jeans 42</t>
  </si>
  <si>
    <t xml:space="preserve">Fornecedor B</t>
  </si>
  <si>
    <t xml:space="preserve">P003</t>
  </si>
  <si>
    <t xml:space="preserve">Tênis Casual 40</t>
  </si>
  <si>
    <t xml:space="preserve">Calçados</t>
  </si>
  <si>
    <t xml:space="preserve">par</t>
  </si>
  <si>
    <t xml:space="preserve">Fornecedor C</t>
  </si>
  <si>
    <t xml:space="preserve">P004</t>
  </si>
  <si>
    <t xml:space="preserve">Parafuso 6x40mm</t>
  </si>
  <si>
    <t xml:space="preserve">Ferragens</t>
  </si>
  <si>
    <t xml:space="preserve">cx</t>
  </si>
  <si>
    <t xml:space="preserve">Fornecedor D</t>
  </si>
  <si>
    <t xml:space="preserve">P005</t>
  </si>
  <si>
    <t xml:space="preserve">Tinta Acrílica 18L</t>
  </si>
  <si>
    <t xml:space="preserve">Tintas</t>
  </si>
  <si>
    <t xml:space="preserve">gl</t>
  </si>
  <si>
    <t xml:space="preserve">Fornecedor E</t>
  </si>
  <si>
    <t xml:space="preserve">📌  Dica: o Código do Produto (coluna A) é a chave de ligação com a aba Movimentações. Use códigos únicos e não os altere depois de lançar movimentações.</t>
  </si>
  <si>
    <t xml:space="preserve">MOVIMENTAÇÕES DE ESTOQUE</t>
  </si>
  <si>
    <t xml:space="preserve">Registro de entradas (E), saídas (S) e ajustes (AJ) — insira novas linhas abaixo</t>
  </si>
  <si>
    <t xml:space="preserve">Data</t>
  </si>
  <si>
    <t xml:space="preserve">Cód. Produto</t>
  </si>
  <si>
    <t xml:space="preserve">Tipo</t>
  </si>
  <si>
    <t xml:space="preserve">Quantidade</t>
  </si>
  <si>
    <t xml:space="preserve">Custo Unit.
R$ (Entrada)</t>
  </si>
  <si>
    <t xml:space="preserve">Valor Entrada
R$</t>
  </si>
  <si>
    <t xml:space="preserve">Custo Saída
(CMP) R$</t>
  </si>
  <si>
    <t xml:space="preserve">Nº Doc / NF</t>
  </si>
  <si>
    <t xml:space="preserve">Responsável</t>
  </si>
  <si>
    <t xml:space="preserve">E</t>
  </si>
  <si>
    <t xml:space="preserve">NF-001</t>
  </si>
  <si>
    <t xml:space="preserve">João</t>
  </si>
  <si>
    <t xml:space="preserve">Compra inicial</t>
  </si>
  <si>
    <t xml:space="preserve">NF-002</t>
  </si>
  <si>
    <t xml:space="preserve">NF-003</t>
  </si>
  <si>
    <t xml:space="preserve">NF-004</t>
  </si>
  <si>
    <t xml:space="preserve">NF-005</t>
  </si>
  <si>
    <t xml:space="preserve">S</t>
  </si>
  <si>
    <t xml:space="preserve">PED-001</t>
  </si>
  <si>
    <t xml:space="preserve">Maria</t>
  </si>
  <si>
    <t xml:space="preserve">Venda balcão</t>
  </si>
  <si>
    <t xml:space="preserve">PED-002</t>
  </si>
  <si>
    <t xml:space="preserve">Venda online</t>
  </si>
  <si>
    <t xml:space="preserve">PED-003</t>
  </si>
  <si>
    <t xml:space="preserve">Carlos</t>
  </si>
  <si>
    <t xml:space="preserve">PED-004</t>
  </si>
  <si>
    <t xml:space="preserve">Venda atacado</t>
  </si>
  <si>
    <t xml:space="preserve">NF-006</t>
  </si>
  <si>
    <t xml:space="preserve">Reposição</t>
  </si>
  <si>
    <t xml:space="preserve">PED-005</t>
  </si>
  <si>
    <t xml:space="preserve">PED-006</t>
  </si>
  <si>
    <t xml:space="preserve">PED-007</t>
  </si>
  <si>
    <t xml:space="preserve">NF-007</t>
  </si>
  <si>
    <t xml:space="preserve">PED-008</t>
  </si>
  <si>
    <t xml:space="preserve">🟢 E = Entrada (preencha o Custo Unit.)   🟠 S = Saída (custo calculado automaticamente pelo CMP — não preencha o Custo Unit.)   🔵 AJ = Ajuste de inventário (quantidade positiva = sobra encontrada / negativa = falta encontrada)</t>
  </si>
  <si>
    <t xml:space="preserve">SALDO ATUAL DO ESTOQUE</t>
  </si>
  <si>
    <t xml:space="preserve">Posição em tempo real — atualizado automaticamente a partir das Movimentações</t>
  </si>
  <si>
    <t xml:space="preserve">Produto</t>
  </si>
  <si>
    <t xml:space="preserve">Un.</t>
  </si>
  <si>
    <t xml:space="preserve">Entradas</t>
  </si>
  <si>
    <t xml:space="preserve">Saídas</t>
  </si>
  <si>
    <t xml:space="preserve">Saldo Atual</t>
  </si>
  <si>
    <t xml:space="preserve">Custo Médio R$</t>
  </si>
  <si>
    <t xml:space="preserve">Valor em Estoque R$</t>
  </si>
  <si>
    <t xml:space="preserve">% do Total</t>
  </si>
  <si>
    <t xml:space="preserve">Status</t>
  </si>
  <si>
    <t xml:space="preserve">TOTAL GERAL</t>
  </si>
  <si>
    <t xml:space="preserve">PAINEL DE CONTROLE — ESTOQUE</t>
  </si>
  <si>
    <t xml:space="preserve">Visão geral do estoque — atualizado automaticamente</t>
  </si>
  <si>
    <t xml:space="preserve">Total de SKUs Cadastrados</t>
  </si>
  <si>
    <t xml:space="preserve">Valor Total em Estoque</t>
  </si>
  <si>
    <t xml:space="preserve">SKUs com Estoque Baixo</t>
  </si>
  <si>
    <t xml:space="preserve">SKUs sem Estoque</t>
  </si>
  <si>
    <t xml:space="preserve">⚠️  PRODUTOS QUE PRECISAM DE ATENÇÃO</t>
  </si>
  <si>
    <t xml:space="preserve">CMP R$</t>
  </si>
  <si>
    <t xml:space="preserve">📌  Esta aba exibe apenas os primeiros 15 produtos cadastrados com alertas. Consulte a aba 'Saldo Atual' para a visão completa de todos os produtos.</t>
  </si>
  <si>
    <t xml:space="preserve">RESUMO MENSAL DE MOVIMENTAÇÕES</t>
  </si>
  <si>
    <t xml:space="preserve">Entradas, saídas e valor movimentado por mês — 2025</t>
  </si>
  <si>
    <t xml:space="preserve">Mês</t>
  </si>
  <si>
    <t xml:space="preserve">Qtd. Entradas</t>
  </si>
  <si>
    <t xml:space="preserve">Valor Entradas R$</t>
  </si>
  <si>
    <t xml:space="preserve">Qtd. Saídas</t>
  </si>
  <si>
    <t xml:space="preserve">Valor Saídas R$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</si>
  <si>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</si>
  <si>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</si>
  <si>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</si>
  <si>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</si>
  <si>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</si>
  <si>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</si>
  <si>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</si>
  <si>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</si>
  <si>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</si>
  <si>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</si>
  <si>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</si>
  <si>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</si>
  <si>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 ANUAL</t>
  </si>
  <si>
    <t xml:space="preserve">INSTRUÇÕES DE USO</t>
  </si>
  <si>
    <t xml:space="preserve">Como preencher e manter a planilha de estoque</t>
  </si>
  <si>
    <t xml:space="preserve">Passo</t>
  </si>
  <si>
    <t xml:space="preserve">Instruções</t>
  </si>
  <si>
    <t xml:space="preserve">1️⃣  Cadastre seus produtos</t>
  </si>
  <si>
    <t xml:space="preserve">Abra a aba 'Cadastro' e preencha cada produto: código único, nome, categoria, unidade de medida, estoque inicial (quantidade que você já tem hoje), custo inicial (preço pago por unidade), estoque mínimo (ponto de pedido) e estoque máximo.</t>
  </si>
  <si>
    <t xml:space="preserve">2️⃣  Registre as movimentações</t>
  </si>
  <si>
    <t xml:space="preserve">Na aba 'Movimentações', registre cada entrada ou saída. Use E (Entrada) para compras/recebimentos e S (Saída) para vendas/consumo. O nome do produto é preenchido automaticamente pelo código. Informe o custo unitário APENAS nas entradas — o campo é bloqueado em saídas, pois o custo da saída é calculado sozinho pelo Custo Médio Ponderado (coluna 'Custo Saída (CMP) R$').</t>
  </si>
  <si>
    <t xml:space="preserve">3️⃣  Consulte o saldo em tempo real</t>
  </si>
  <si>
    <t xml:space="preserve">A aba 'Saldo Atual' mostra automaticamente: saldo de cada produto, custo médio ponderado (CMP), valor em estoque e status (✅ OK / ⚠️ Baixo / ⛔ Sem estoque). Não edite nenhuma célula desta aba — tudo é calculado.</t>
  </si>
  <si>
    <t xml:space="preserve">4️⃣  Monitore os alertas no Painel</t>
  </si>
  <si>
    <t xml:space="preserve">A aba 'Painel' exibe os cards principais (valor total, SKUs em alerta) e lista os produtos que precisam de atenção. Consulte diariamente para não deixar faltar mercadoria.</t>
  </si>
  <si>
    <t xml:space="preserve">5️⃣  Acompanhe por mês</t>
  </si>
  <si>
    <t xml:space="preserve">A aba 'Resumo Mensal' consolida entradas e saídas mês a mês com totais e gráfico comparativo.</t>
  </si>
  <si>
    <t xml:space="preserve">📌  Dica — Ajuste de Inventário</t>
  </si>
  <si>
    <t xml:space="preserve">Ao fazer inventário físico e encontrar divergência, registre na aba Movimentações com o tipo AJ (Ajuste), usando a Quantidade com sinal: se o físico for MAIOR que o sistema, lance a diferença como número POSITIVO; se for MENOR, lance como número NEGATIVO. O ajuste entra direto no saldo.</t>
  </si>
  <si>
    <t xml:space="preserve">📌  Dica — Custo Médio Ponderado</t>
  </si>
  <si>
    <t xml:space="preserve">O CMP é calculado automaticamente como a média ponderada de todos os preços de entrada. Esse mesmo CMP é usado para valorar cada saída (coluna 'Custo Saída (CMP) R$' na aba Movimentações), gerando o Custo da Mercadoria Vendida sem que você precise informar nada na hora da venda.</t>
  </si>
  <si>
    <t xml:space="preserve">📌  Dica — Novos produtos</t>
  </si>
  <si>
    <t xml:space="preserve">Para adicionar novos produtos além dos 50 pré-cadastrados, basta preencher nas linhas seguintes do Cadastro. Os SUMPRODUCT da aba Saldo Atual irão ignorar linhas com código vazio.</t>
  </si>
  <si>
    <t xml:space="preserve">⚠️  Importante</t>
  </si>
  <si>
    <t xml:space="preserve">Nunca altere os códigos de produtos após registrar movimentações — isso quebrará os vínculos entre abas. Se precisar corrigir um código, faça um ajuste de inventário (AJ) do código antigo e crie um novo produto.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</si>
</sst>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\(#,##0\);\-"/>
    <numFmt numFmtId="166" formatCode="&quot;R$ &quot;#,##0.00;&quot;(R$ &quot;#,##0.00\);\-"/>
    <numFmt numFmtId="167" formatCode="dd/mm/yyyy"/>
    <numFmt numFmtId="168" formatCode="#,##0.00;\(#,##0.00\);\-"/>
    <numFmt numFmtId="169" formatCode="0.0%;\(0.0%\);\-"/>
    <numFmt numFmtId="170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D47A1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37474F"/>
        <bgColor rgb="FF555555"/>
      </patternFill>
    </fill>
    <fill>
      <patternFill patternType="solid">
        <fgColor rgb="FFE8F5E9"/>
        <bgColor rgb="FFECEFF1"/>
      </patternFill>
    </fill>
    <fill>
      <patternFill patternType="solid">
        <fgColor rgb="FFFFFFFF"/>
        <bgColor rgb="FFF9F9F9"/>
      </patternFill>
    </fill>
    <fill>
      <patternFill patternType="solid">
        <fgColor rgb="FFFFF9C4"/>
        <bgColor rgb="FFFFEBEE"/>
      </patternFill>
    </fill>
    <fill>
      <patternFill patternType="solid">
        <fgColor rgb="FFE65100"/>
        <bgColor rgb="FFC0504D"/>
      </patternFill>
    </fill>
    <fill>
      <patternFill patternType="solid">
        <fgColor rgb="FFB71C1C"/>
        <bgColor rgb="FF99336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medium">
        <color rgb="FF2E7D32"/>
      </left>
      <right/>
      <top style="medium">
        <color rgb="FF2E7D32"/>
      </top>
      <bottom style="medium">
        <color rgb="FF2E7D32"/>
      </bottom>
      <diagonal/>
    </border>
    <border diagonalUp="false" diagonalDown="false"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Arial"/>
        <charset val="1"/>
        <family val="0"/>
        <color rgb="FF1B5E20"/>
        <sz val="10"/>
      </font>
      <fill>
        <patternFill>
          <bgColor rgb="FFE8F5E9"/>
        </patternFill>
      </fill>
    </dxf>
    <dxf>
      <font>
        <name val="Arial"/>
        <charset val="1"/>
        <family val="0"/>
        <color rgb="FFE65100"/>
        <sz val="10"/>
      </font>
      <fill>
        <patternFill>
          <bgColor rgb="FFFFE0B2"/>
        </patternFill>
      </fill>
    </dxf>
    <dxf>
      <font>
        <name val="Arial"/>
        <charset val="1"/>
        <family val="0"/>
        <color rgb="FF0D47A1"/>
        <sz val="10"/>
      </font>
      <fill>
        <patternFill>
          <bgColor rgb="FFE3F2FD"/>
        </patternFill>
      </fill>
    </dxf>
    <dxf>
      <font>
        <name val="Arial"/>
        <charset val="1"/>
        <family val="0"/>
        <i val="1"/>
        <color rgb="FF9E9E9E"/>
        <sz val="10"/>
      </font>
      <fill>
        <patternFill>
          <bgColor rgb="FFECEFF1"/>
        </patternFill>
      </fill>
    </dxf>
    <dxf>
      <font>
        <name val="Arial"/>
        <charset val="1"/>
        <family val="0"/>
        <b val="1"/>
        <color rgb="FF2E7D32"/>
        <sz val="10"/>
      </font>
      <fill>
        <patternFill>
          <bgColor rgb="FFE8F5E9"/>
        </patternFill>
      </fill>
    </dxf>
    <dxf>
      <font>
        <name val="Arial"/>
        <charset val="1"/>
        <family val="0"/>
        <b val="1"/>
        <color rgb="FFE65100"/>
        <sz val="10"/>
      </font>
      <fill>
        <patternFill>
          <bgColor rgb="FFFFE0B2"/>
        </patternFill>
      </fill>
    </dxf>
    <dxf>
      <font>
        <name val="Arial"/>
        <charset val="1"/>
        <family val="0"/>
        <b val="1"/>
        <color rgb="FFB71C1C"/>
        <sz val="10"/>
      </font>
      <fill>
        <patternFill>
          <bgColor rgb="FFFFEBEE"/>
        </patternFill>
      </fill>
    </dxf>
    <dxf>
      <fill>
        <patternFill>
          <bgColor rgb="FFFFE0B2"/>
        </patternFill>
      </fill>
    </dxf>
    <dxf>
      <fill>
        <patternFill>
          <bgColor rgb="FFFFEB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DBDBD"/>
      <rgbColor rgb="FF878787"/>
      <rgbColor rgb="FF9999FF"/>
      <rgbColor rgb="FFC0504D"/>
      <rgbColor rgb="FFFFF9C4"/>
      <rgbColor rgb="FFE3F2F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CEFF1"/>
      <rgbColor rgb="FFFFEBEE"/>
      <rgbColor rgb="FFF9F9F9"/>
      <rgbColor rgb="FFFF99CC"/>
      <rgbColor rgb="FFCC99FF"/>
      <rgbColor rgb="FFFFE0B2"/>
      <rgbColor rgb="FF3366FF"/>
      <rgbColor rgb="FF33CCCC"/>
      <rgbColor rgb="FF99CC00"/>
      <rgbColor rgb="FFFFCC00"/>
      <rgbColor rgb="FFFF9900"/>
      <rgbColor rgb="FFE65100"/>
      <rgbColor rgb="FF4F81BD"/>
      <rgbColor rgb="FF9E9E9E"/>
      <rgbColor rgb="FF0D47A1"/>
      <rgbColor rgb="FF2E7D32"/>
      <rgbColor rgb="FF003300"/>
      <rgbColor rgb="FF333300"/>
      <rgbColor rgb="FFB71C1C"/>
      <rgbColor rgb="FF993366"/>
      <rgbColor rgb="FF555555"/>
      <rgbColor rgb="FF3747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Movimentações Mensais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"Valor Entradas"</c:f>
              <c:strCache>
                <c:ptCount val="1"/>
                <c:pt idx="0">
                  <c:v>Valor Entradas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'Resumo Mensal'!$B$5:$B$16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Mensal'!$D$5:$D$16</c:f>
              <c:numCache>
                <c:formatCode>"R$ "#,##0.00;"(R$ "#,##0.00\);\-</c:formatCode>
                <c:ptCount val="12"/>
                <c:pt idx="0">
                  <c:v>9470</c:v>
                </c:pt>
                <c:pt idx="1">
                  <c:v>240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"Valor Saídas"</c:f>
              <c:strCache>
                <c:ptCount val="1"/>
                <c:pt idx="0">
                  <c:v>Valor Saídas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'Resumo Mensal'!$B$5:$B$16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Mensal'!$F$5:$F$16</c:f>
              <c:numCache>
                <c:formatCode>"R$ "#,##0.00;"(R$ "#,##0.00\);\-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69540183"/>
        <c:axId val="95686999"/>
      </c:barChart>
      <c:catAx>
        <c:axId val="695401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Mês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686999"/>
        <c:crosses val="autoZero"/>
        <c:auto val="1"/>
        <c:lblAlgn val="ctr"/>
        <c:lblOffset val="100"/>
        <c:noMultiLvlLbl val="0"/>
      </c:catAx>
      <c:valAx>
        <c:axId val="9568699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R$ &quot;#,##0.00;&quot;(R$ &quot;#,##0.0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5401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7</xdr:col>
      <xdr:colOff>503280</xdr:colOff>
      <xdr:row>40</xdr:row>
      <xdr:rowOff>128880</xdr:rowOff>
    </xdr:to>
    <xdr:graphicFrame>
      <xdr:nvGraphicFramePr>
        <xdr:cNvPr id="0" name="Chart 1"/>
        <xdr:cNvGraphicFramePr/>
      </xdr:nvGraphicFramePr>
      <xdr:xfrm>
        <a:off x="211320" y="400068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3"/>
    <col collapsed="false" customWidth="true" hidden="false" outlineLevel="0" max="6" min="6" style="0" width="16"/>
    <col collapsed="false" customWidth="true" hidden="false" outlineLevel="0" max="8" min="7" style="0" width="13"/>
    <col collapsed="false" customWidth="true" hidden="false" outlineLevel="0" max="9" min="9" style="0" width="16"/>
    <col collapsed="false" customWidth="true" hidden="false" outlineLevel="0" max="10" min="10" style="0" width="22"/>
    <col collapsed="false" customWidth="true" hidden="false" outlineLevel="0" max="11" min="11" style="0" width="2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8" hidden="false" customHeight="true" outlineLevel="0" collapsed="false">
      <c r="A5" s="4" t="s">
        <v>13</v>
      </c>
      <c r="B5" s="5" t="s">
        <v>14</v>
      </c>
      <c r="C5" s="5" t="s">
        <v>15</v>
      </c>
      <c r="D5" s="5" t="s">
        <v>16</v>
      </c>
      <c r="E5" s="6" t="n">
        <v>30</v>
      </c>
      <c r="F5" s="7" t="n">
        <v>45</v>
      </c>
      <c r="G5" s="6" t="n">
        <v>5</v>
      </c>
      <c r="H5" s="6" t="n">
        <v>100</v>
      </c>
      <c r="I5" s="7" t="n">
        <v>89.9</v>
      </c>
      <c r="J5" s="5" t="s">
        <v>17</v>
      </c>
      <c r="K5" s="5"/>
    </row>
    <row r="6" customFormat="false" ht="18" hidden="false" customHeight="true" outlineLevel="0" collapsed="false">
      <c r="A6" s="8" t="s">
        <v>18</v>
      </c>
      <c r="B6" s="9" t="s">
        <v>19</v>
      </c>
      <c r="C6" s="9" t="s">
        <v>15</v>
      </c>
      <c r="D6" s="9" t="s">
        <v>16</v>
      </c>
      <c r="E6" s="10" t="n">
        <v>20</v>
      </c>
      <c r="F6" s="11" t="n">
        <v>78</v>
      </c>
      <c r="G6" s="10" t="n">
        <v>5</v>
      </c>
      <c r="H6" s="10" t="n">
        <v>60</v>
      </c>
      <c r="I6" s="11" t="n">
        <v>159.9</v>
      </c>
      <c r="J6" s="9" t="s">
        <v>20</v>
      </c>
      <c r="K6" s="9"/>
    </row>
    <row r="7" customFormat="false" ht="18" hidden="false" customHeight="true" outlineLevel="0" collapsed="false">
      <c r="A7" s="4" t="s">
        <v>21</v>
      </c>
      <c r="B7" s="5" t="s">
        <v>22</v>
      </c>
      <c r="C7" s="5" t="s">
        <v>23</v>
      </c>
      <c r="D7" s="5" t="s">
        <v>24</v>
      </c>
      <c r="E7" s="6" t="n">
        <v>15</v>
      </c>
      <c r="F7" s="7" t="n">
        <v>95</v>
      </c>
      <c r="G7" s="6" t="n">
        <v>3</v>
      </c>
      <c r="H7" s="6" t="n">
        <v>40</v>
      </c>
      <c r="I7" s="7" t="n">
        <v>189.9</v>
      </c>
      <c r="J7" s="5" t="s">
        <v>25</v>
      </c>
      <c r="K7" s="5"/>
    </row>
    <row r="8" customFormat="false" ht="18" hidden="false" customHeight="true" outlineLevel="0" collapsed="false">
      <c r="A8" s="8" t="s">
        <v>26</v>
      </c>
      <c r="B8" s="9" t="s">
        <v>27</v>
      </c>
      <c r="C8" s="9" t="s">
        <v>28</v>
      </c>
      <c r="D8" s="9" t="s">
        <v>29</v>
      </c>
      <c r="E8" s="10" t="n">
        <v>200</v>
      </c>
      <c r="F8" s="11" t="n">
        <v>0.8</v>
      </c>
      <c r="G8" s="10" t="n">
        <v>50</v>
      </c>
      <c r="H8" s="10" t="n">
        <v>500</v>
      </c>
      <c r="I8" s="11" t="n">
        <v>2.5</v>
      </c>
      <c r="J8" s="9" t="s">
        <v>30</v>
      </c>
      <c r="K8" s="9"/>
    </row>
    <row r="9" customFormat="false" ht="18" hidden="false" customHeight="true" outlineLevel="0" collapsed="false">
      <c r="A9" s="4" t="s">
        <v>31</v>
      </c>
      <c r="B9" s="5" t="s">
        <v>32</v>
      </c>
      <c r="C9" s="5" t="s">
        <v>33</v>
      </c>
      <c r="D9" s="5" t="s">
        <v>34</v>
      </c>
      <c r="E9" s="6" t="n">
        <v>12</v>
      </c>
      <c r="F9" s="7" t="n">
        <v>89</v>
      </c>
      <c r="G9" s="6" t="n">
        <v>3</v>
      </c>
      <c r="H9" s="6" t="n">
        <v>30</v>
      </c>
      <c r="I9" s="7" t="n">
        <v>179</v>
      </c>
      <c r="J9" s="5" t="s">
        <v>35</v>
      </c>
      <c r="K9" s="5"/>
    </row>
    <row r="10" customFormat="false" ht="18" hidden="false" customHeight="true" outlineLevel="0" collapsed="false">
      <c r="A10" s="9"/>
      <c r="B10" s="9"/>
      <c r="C10" s="9"/>
      <c r="D10" s="9"/>
      <c r="E10" s="10"/>
      <c r="F10" s="11"/>
      <c r="G10" s="10"/>
      <c r="H10" s="10"/>
      <c r="I10" s="11"/>
      <c r="J10" s="9"/>
      <c r="K10" s="9"/>
    </row>
    <row r="11" customFormat="false" ht="18" hidden="false" customHeight="true" outlineLevel="0" collapsed="false">
      <c r="A11" s="5"/>
      <c r="B11" s="5"/>
      <c r="C11" s="5"/>
      <c r="D11" s="5"/>
      <c r="E11" s="6"/>
      <c r="F11" s="7"/>
      <c r="G11" s="6"/>
      <c r="H11" s="6"/>
      <c r="I11" s="7"/>
      <c r="J11" s="5"/>
      <c r="K11" s="5"/>
    </row>
    <row r="12" customFormat="false" ht="18" hidden="false" customHeight="true" outlineLevel="0" collapsed="false">
      <c r="A12" s="9"/>
      <c r="B12" s="9"/>
      <c r="C12" s="9"/>
      <c r="D12" s="9"/>
      <c r="E12" s="10"/>
      <c r="F12" s="11"/>
      <c r="G12" s="10"/>
      <c r="H12" s="10"/>
      <c r="I12" s="11"/>
      <c r="J12" s="9"/>
      <c r="K12" s="9"/>
    </row>
    <row r="13" customFormat="false" ht="18" hidden="false" customHeight="true" outlineLevel="0" collapsed="false">
      <c r="A13" s="5"/>
      <c r="B13" s="5"/>
      <c r="C13" s="5"/>
      <c r="D13" s="5"/>
      <c r="E13" s="6"/>
      <c r="F13" s="7"/>
      <c r="G13" s="6"/>
      <c r="H13" s="6"/>
      <c r="I13" s="7"/>
      <c r="J13" s="5"/>
      <c r="K13" s="5"/>
    </row>
    <row r="14" customFormat="false" ht="18" hidden="false" customHeight="true" outlineLevel="0" collapsed="false">
      <c r="A14" s="9"/>
      <c r="B14" s="9"/>
      <c r="C14" s="9"/>
      <c r="D14" s="9"/>
      <c r="E14" s="10"/>
      <c r="F14" s="11"/>
      <c r="G14" s="10"/>
      <c r="H14" s="10"/>
      <c r="I14" s="11"/>
      <c r="J14" s="9"/>
      <c r="K14" s="9"/>
    </row>
    <row r="15" customFormat="false" ht="18" hidden="false" customHeight="true" outlineLevel="0" collapsed="false">
      <c r="A15" s="5"/>
      <c r="B15" s="5"/>
      <c r="C15" s="5"/>
      <c r="D15" s="5"/>
      <c r="E15" s="6"/>
      <c r="F15" s="7"/>
      <c r="G15" s="6"/>
      <c r="H15" s="6"/>
      <c r="I15" s="7"/>
      <c r="J15" s="5"/>
      <c r="K15" s="5"/>
    </row>
    <row r="16" customFormat="false" ht="18" hidden="false" customHeight="true" outlineLevel="0" collapsed="false">
      <c r="A16" s="9"/>
      <c r="B16" s="9"/>
      <c r="C16" s="9"/>
      <c r="D16" s="9"/>
      <c r="E16" s="10"/>
      <c r="F16" s="11"/>
      <c r="G16" s="10"/>
      <c r="H16" s="10"/>
      <c r="I16" s="11"/>
      <c r="J16" s="9"/>
      <c r="K16" s="9"/>
    </row>
    <row r="17" customFormat="false" ht="18" hidden="false" customHeight="true" outlineLevel="0" collapsed="false">
      <c r="A17" s="5"/>
      <c r="B17" s="5"/>
      <c r="C17" s="5"/>
      <c r="D17" s="5"/>
      <c r="E17" s="6"/>
      <c r="F17" s="7"/>
      <c r="G17" s="6"/>
      <c r="H17" s="6"/>
      <c r="I17" s="7"/>
      <c r="J17" s="5"/>
      <c r="K17" s="5"/>
    </row>
    <row r="18" customFormat="false" ht="18" hidden="false" customHeight="true" outlineLevel="0" collapsed="false">
      <c r="A18" s="9"/>
      <c r="B18" s="9"/>
      <c r="C18" s="9"/>
      <c r="D18" s="9"/>
      <c r="E18" s="10"/>
      <c r="F18" s="11"/>
      <c r="G18" s="10"/>
      <c r="H18" s="10"/>
      <c r="I18" s="11"/>
      <c r="J18" s="9"/>
      <c r="K18" s="9"/>
    </row>
    <row r="19" customFormat="false" ht="18" hidden="false" customHeight="true" outlineLevel="0" collapsed="false">
      <c r="A19" s="5"/>
      <c r="B19" s="5"/>
      <c r="C19" s="5"/>
      <c r="D19" s="5"/>
      <c r="E19" s="6"/>
      <c r="F19" s="7"/>
      <c r="G19" s="6"/>
      <c r="H19" s="6"/>
      <c r="I19" s="7"/>
      <c r="J19" s="5"/>
      <c r="K19" s="5"/>
    </row>
    <row r="20" customFormat="false" ht="18" hidden="false" customHeight="true" outlineLevel="0" collapsed="false">
      <c r="A20" s="9"/>
      <c r="B20" s="9"/>
      <c r="C20" s="9"/>
      <c r="D20" s="9"/>
      <c r="E20" s="10"/>
      <c r="F20" s="11"/>
      <c r="G20" s="10"/>
      <c r="H20" s="10"/>
      <c r="I20" s="11"/>
      <c r="J20" s="9"/>
      <c r="K20" s="9"/>
    </row>
    <row r="21" customFormat="false" ht="18" hidden="false" customHeight="true" outlineLevel="0" collapsed="false">
      <c r="A21" s="5"/>
      <c r="B21" s="5"/>
      <c r="C21" s="5"/>
      <c r="D21" s="5"/>
      <c r="E21" s="6"/>
      <c r="F21" s="7"/>
      <c r="G21" s="6"/>
      <c r="H21" s="6"/>
      <c r="I21" s="7"/>
      <c r="J21" s="5"/>
      <c r="K21" s="5"/>
    </row>
    <row r="22" customFormat="false" ht="18" hidden="false" customHeight="true" outlineLevel="0" collapsed="false">
      <c r="A22" s="9"/>
      <c r="B22" s="9"/>
      <c r="C22" s="9"/>
      <c r="D22" s="9"/>
      <c r="E22" s="10"/>
      <c r="F22" s="11"/>
      <c r="G22" s="10"/>
      <c r="H22" s="10"/>
      <c r="I22" s="11"/>
      <c r="J22" s="9"/>
      <c r="K22" s="9"/>
    </row>
    <row r="23" customFormat="false" ht="18" hidden="false" customHeight="true" outlineLevel="0" collapsed="false">
      <c r="A23" s="5"/>
      <c r="B23" s="5"/>
      <c r="C23" s="5"/>
      <c r="D23" s="5"/>
      <c r="E23" s="6"/>
      <c r="F23" s="7"/>
      <c r="G23" s="6"/>
      <c r="H23" s="6"/>
      <c r="I23" s="7"/>
      <c r="J23" s="5"/>
      <c r="K23" s="5"/>
    </row>
    <row r="24" customFormat="false" ht="18" hidden="false" customHeight="true" outlineLevel="0" collapsed="false">
      <c r="A24" s="9"/>
      <c r="B24" s="9"/>
      <c r="C24" s="9"/>
      <c r="D24" s="9"/>
      <c r="E24" s="10"/>
      <c r="F24" s="11"/>
      <c r="G24" s="10"/>
      <c r="H24" s="10"/>
      <c r="I24" s="11"/>
      <c r="J24" s="9"/>
      <c r="K24" s="9"/>
    </row>
    <row r="25" customFormat="false" ht="18" hidden="false" customHeight="true" outlineLevel="0" collapsed="false">
      <c r="A25" s="5"/>
      <c r="B25" s="5"/>
      <c r="C25" s="5"/>
      <c r="D25" s="5"/>
      <c r="E25" s="6"/>
      <c r="F25" s="7"/>
      <c r="G25" s="6"/>
      <c r="H25" s="6"/>
      <c r="I25" s="7"/>
      <c r="J25" s="5"/>
      <c r="K25" s="5"/>
    </row>
    <row r="26" customFormat="false" ht="18" hidden="false" customHeight="true" outlineLevel="0" collapsed="false">
      <c r="A26" s="9"/>
      <c r="B26" s="9"/>
      <c r="C26" s="9"/>
      <c r="D26" s="9"/>
      <c r="E26" s="10"/>
      <c r="F26" s="11"/>
      <c r="G26" s="10"/>
      <c r="H26" s="10"/>
      <c r="I26" s="11"/>
      <c r="J26" s="9"/>
      <c r="K26" s="9"/>
    </row>
    <row r="27" customFormat="false" ht="18" hidden="false" customHeight="true" outlineLevel="0" collapsed="false">
      <c r="A27" s="5"/>
      <c r="B27" s="5"/>
      <c r="C27" s="5"/>
      <c r="D27" s="5"/>
      <c r="E27" s="6"/>
      <c r="F27" s="7"/>
      <c r="G27" s="6"/>
      <c r="H27" s="6"/>
      <c r="I27" s="7"/>
      <c r="J27" s="5"/>
      <c r="K27" s="5"/>
    </row>
    <row r="28" customFormat="false" ht="18" hidden="false" customHeight="true" outlineLevel="0" collapsed="false">
      <c r="A28" s="9"/>
      <c r="B28" s="9"/>
      <c r="C28" s="9"/>
      <c r="D28" s="9"/>
      <c r="E28" s="10"/>
      <c r="F28" s="11"/>
      <c r="G28" s="10"/>
      <c r="H28" s="10"/>
      <c r="I28" s="11"/>
      <c r="J28" s="9"/>
      <c r="K28" s="9"/>
    </row>
    <row r="29" customFormat="false" ht="18" hidden="false" customHeight="true" outlineLevel="0" collapsed="false">
      <c r="A29" s="5"/>
      <c r="B29" s="5"/>
      <c r="C29" s="5"/>
      <c r="D29" s="5"/>
      <c r="E29" s="6"/>
      <c r="F29" s="7"/>
      <c r="G29" s="6"/>
      <c r="H29" s="6"/>
      <c r="I29" s="7"/>
      <c r="J29" s="5"/>
      <c r="K29" s="5"/>
    </row>
    <row r="30" customFormat="false" ht="18" hidden="false" customHeight="true" outlineLevel="0" collapsed="false">
      <c r="A30" s="9"/>
      <c r="B30" s="9"/>
      <c r="C30" s="9"/>
      <c r="D30" s="9"/>
      <c r="E30" s="10"/>
      <c r="F30" s="11"/>
      <c r="G30" s="10"/>
      <c r="H30" s="10"/>
      <c r="I30" s="11"/>
      <c r="J30" s="9"/>
      <c r="K30" s="9"/>
    </row>
    <row r="31" customFormat="false" ht="18" hidden="false" customHeight="true" outlineLevel="0" collapsed="false">
      <c r="A31" s="5"/>
      <c r="B31" s="5"/>
      <c r="C31" s="5"/>
      <c r="D31" s="5"/>
      <c r="E31" s="6"/>
      <c r="F31" s="7"/>
      <c r="G31" s="6"/>
      <c r="H31" s="6"/>
      <c r="I31" s="7"/>
      <c r="J31" s="5"/>
      <c r="K31" s="5"/>
    </row>
    <row r="32" customFormat="false" ht="18" hidden="false" customHeight="true" outlineLevel="0" collapsed="false">
      <c r="A32" s="9"/>
      <c r="B32" s="9"/>
      <c r="C32" s="9"/>
      <c r="D32" s="9"/>
      <c r="E32" s="10"/>
      <c r="F32" s="11"/>
      <c r="G32" s="10"/>
      <c r="H32" s="10"/>
      <c r="I32" s="11"/>
      <c r="J32" s="9"/>
      <c r="K32" s="9"/>
    </row>
    <row r="33" customFormat="false" ht="18" hidden="false" customHeight="true" outlineLevel="0" collapsed="false">
      <c r="A33" s="5"/>
      <c r="B33" s="5"/>
      <c r="C33" s="5"/>
      <c r="D33" s="5"/>
      <c r="E33" s="6"/>
      <c r="F33" s="7"/>
      <c r="G33" s="6"/>
      <c r="H33" s="6"/>
      <c r="I33" s="7"/>
      <c r="J33" s="5"/>
      <c r="K33" s="5"/>
    </row>
    <row r="34" customFormat="false" ht="18" hidden="false" customHeight="true" outlineLevel="0" collapsed="false">
      <c r="A34" s="9"/>
      <c r="B34" s="9"/>
      <c r="C34" s="9"/>
      <c r="D34" s="9"/>
      <c r="E34" s="10"/>
      <c r="F34" s="11"/>
      <c r="G34" s="10"/>
      <c r="H34" s="10"/>
      <c r="I34" s="11"/>
      <c r="J34" s="9"/>
      <c r="K34" s="9"/>
    </row>
    <row r="35" customFormat="false" ht="18" hidden="false" customHeight="true" outlineLevel="0" collapsed="false">
      <c r="A35" s="5"/>
      <c r="B35" s="5"/>
      <c r="C35" s="5"/>
      <c r="D35" s="5"/>
      <c r="E35" s="6"/>
      <c r="F35" s="7"/>
      <c r="G35" s="6"/>
      <c r="H35" s="6"/>
      <c r="I35" s="7"/>
      <c r="J35" s="5"/>
      <c r="K35" s="5"/>
    </row>
    <row r="36" customFormat="false" ht="18" hidden="false" customHeight="true" outlineLevel="0" collapsed="false">
      <c r="A36" s="9"/>
      <c r="B36" s="9"/>
      <c r="C36" s="9"/>
      <c r="D36" s="9"/>
      <c r="E36" s="10"/>
      <c r="F36" s="11"/>
      <c r="G36" s="10"/>
      <c r="H36" s="10"/>
      <c r="I36" s="11"/>
      <c r="J36" s="9"/>
      <c r="K36" s="9"/>
    </row>
    <row r="37" customFormat="false" ht="18" hidden="false" customHeight="true" outlineLevel="0" collapsed="false">
      <c r="A37" s="5"/>
      <c r="B37" s="5"/>
      <c r="C37" s="5"/>
      <c r="D37" s="5"/>
      <c r="E37" s="6"/>
      <c r="F37" s="7"/>
      <c r="G37" s="6"/>
      <c r="H37" s="6"/>
      <c r="I37" s="7"/>
      <c r="J37" s="5"/>
      <c r="K37" s="5"/>
    </row>
    <row r="38" customFormat="false" ht="18" hidden="false" customHeight="true" outlineLevel="0" collapsed="false">
      <c r="A38" s="9"/>
      <c r="B38" s="9"/>
      <c r="C38" s="9"/>
      <c r="D38" s="9"/>
      <c r="E38" s="10"/>
      <c r="F38" s="11"/>
      <c r="G38" s="10"/>
      <c r="H38" s="10"/>
      <c r="I38" s="11"/>
      <c r="J38" s="9"/>
      <c r="K38" s="9"/>
    </row>
    <row r="39" customFormat="false" ht="18" hidden="false" customHeight="true" outlineLevel="0" collapsed="false">
      <c r="A39" s="5"/>
      <c r="B39" s="5"/>
      <c r="C39" s="5"/>
      <c r="D39" s="5"/>
      <c r="E39" s="6"/>
      <c r="F39" s="7"/>
      <c r="G39" s="6"/>
      <c r="H39" s="6"/>
      <c r="I39" s="7"/>
      <c r="J39" s="5"/>
      <c r="K39" s="5"/>
    </row>
    <row r="40" customFormat="false" ht="18" hidden="false" customHeight="true" outlineLevel="0" collapsed="false">
      <c r="A40" s="9"/>
      <c r="B40" s="9"/>
      <c r="C40" s="9"/>
      <c r="D40" s="9"/>
      <c r="E40" s="10"/>
      <c r="F40" s="11"/>
      <c r="G40" s="10"/>
      <c r="H40" s="10"/>
      <c r="I40" s="11"/>
      <c r="J40" s="9"/>
      <c r="K40" s="9"/>
    </row>
    <row r="41" customFormat="false" ht="18" hidden="false" customHeight="true" outlineLevel="0" collapsed="false">
      <c r="A41" s="5"/>
      <c r="B41" s="5"/>
      <c r="C41" s="5"/>
      <c r="D41" s="5"/>
      <c r="E41" s="6"/>
      <c r="F41" s="7"/>
      <c r="G41" s="6"/>
      <c r="H41" s="6"/>
      <c r="I41" s="7"/>
      <c r="J41" s="5"/>
      <c r="K41" s="5"/>
    </row>
    <row r="42" customFormat="false" ht="18" hidden="false" customHeight="true" outlineLevel="0" collapsed="false">
      <c r="A42" s="9"/>
      <c r="B42" s="9"/>
      <c r="C42" s="9"/>
      <c r="D42" s="9"/>
      <c r="E42" s="10"/>
      <c r="F42" s="11"/>
      <c r="G42" s="10"/>
      <c r="H42" s="10"/>
      <c r="I42" s="11"/>
      <c r="J42" s="9"/>
      <c r="K42" s="9"/>
    </row>
    <row r="43" customFormat="false" ht="18" hidden="false" customHeight="true" outlineLevel="0" collapsed="false">
      <c r="A43" s="5"/>
      <c r="B43" s="5"/>
      <c r="C43" s="5"/>
      <c r="D43" s="5"/>
      <c r="E43" s="6"/>
      <c r="F43" s="7"/>
      <c r="G43" s="6"/>
      <c r="H43" s="6"/>
      <c r="I43" s="7"/>
      <c r="J43" s="5"/>
      <c r="K43" s="5"/>
    </row>
    <row r="44" customFormat="false" ht="18" hidden="false" customHeight="true" outlineLevel="0" collapsed="false">
      <c r="A44" s="9"/>
      <c r="B44" s="9"/>
      <c r="C44" s="9"/>
      <c r="D44" s="9"/>
      <c r="E44" s="10"/>
      <c r="F44" s="11"/>
      <c r="G44" s="10"/>
      <c r="H44" s="10"/>
      <c r="I44" s="11"/>
      <c r="J44" s="9"/>
      <c r="K44" s="9"/>
    </row>
    <row r="45" customFormat="false" ht="18" hidden="false" customHeight="true" outlineLevel="0" collapsed="false">
      <c r="A45" s="5"/>
      <c r="B45" s="5"/>
      <c r="C45" s="5"/>
      <c r="D45" s="5"/>
      <c r="E45" s="6"/>
      <c r="F45" s="7"/>
      <c r="G45" s="6"/>
      <c r="H45" s="6"/>
      <c r="I45" s="7"/>
      <c r="J45" s="5"/>
      <c r="K45" s="5"/>
    </row>
    <row r="46" customFormat="false" ht="18" hidden="false" customHeight="true" outlineLevel="0" collapsed="false">
      <c r="A46" s="9"/>
      <c r="B46" s="9"/>
      <c r="C46" s="9"/>
      <c r="D46" s="9"/>
      <c r="E46" s="10"/>
      <c r="F46" s="11"/>
      <c r="G46" s="10"/>
      <c r="H46" s="10"/>
      <c r="I46" s="11"/>
      <c r="J46" s="9"/>
      <c r="K46" s="9"/>
    </row>
    <row r="47" customFormat="false" ht="18" hidden="false" customHeight="true" outlineLevel="0" collapsed="false">
      <c r="A47" s="5"/>
      <c r="B47" s="5"/>
      <c r="C47" s="5"/>
      <c r="D47" s="5"/>
      <c r="E47" s="6"/>
      <c r="F47" s="7"/>
      <c r="G47" s="6"/>
      <c r="H47" s="6"/>
      <c r="I47" s="7"/>
      <c r="J47" s="5"/>
      <c r="K47" s="5"/>
    </row>
    <row r="48" customFormat="false" ht="18" hidden="false" customHeight="true" outlineLevel="0" collapsed="false">
      <c r="A48" s="9"/>
      <c r="B48" s="9"/>
      <c r="C48" s="9"/>
      <c r="D48" s="9"/>
      <c r="E48" s="10"/>
      <c r="F48" s="11"/>
      <c r="G48" s="10"/>
      <c r="H48" s="10"/>
      <c r="I48" s="11"/>
      <c r="J48" s="9"/>
      <c r="K48" s="9"/>
    </row>
    <row r="49" customFormat="false" ht="18" hidden="false" customHeight="true" outlineLevel="0" collapsed="false">
      <c r="A49" s="5"/>
      <c r="B49" s="5"/>
      <c r="C49" s="5"/>
      <c r="D49" s="5"/>
      <c r="E49" s="6"/>
      <c r="F49" s="7"/>
      <c r="G49" s="6"/>
      <c r="H49" s="6"/>
      <c r="I49" s="7"/>
      <c r="J49" s="5"/>
      <c r="K49" s="5"/>
    </row>
    <row r="50" customFormat="false" ht="18" hidden="false" customHeight="true" outlineLevel="0" collapsed="false">
      <c r="A50" s="9"/>
      <c r="B50" s="9"/>
      <c r="C50" s="9"/>
      <c r="D50" s="9"/>
      <c r="E50" s="10"/>
      <c r="F50" s="11"/>
      <c r="G50" s="10"/>
      <c r="H50" s="10"/>
      <c r="I50" s="11"/>
      <c r="J50" s="9"/>
      <c r="K50" s="9"/>
    </row>
    <row r="51" customFormat="false" ht="18" hidden="false" customHeight="true" outlineLevel="0" collapsed="false">
      <c r="A51" s="5"/>
      <c r="B51" s="5"/>
      <c r="C51" s="5"/>
      <c r="D51" s="5"/>
      <c r="E51" s="6"/>
      <c r="F51" s="7"/>
      <c r="G51" s="6"/>
      <c r="H51" s="6"/>
      <c r="I51" s="7"/>
      <c r="J51" s="5"/>
      <c r="K51" s="5"/>
    </row>
    <row r="52" customFormat="false" ht="18" hidden="false" customHeight="true" outlineLevel="0" collapsed="false">
      <c r="A52" s="9"/>
      <c r="B52" s="9"/>
      <c r="C52" s="9"/>
      <c r="D52" s="9"/>
      <c r="E52" s="10"/>
      <c r="F52" s="11"/>
      <c r="G52" s="10"/>
      <c r="H52" s="10"/>
      <c r="I52" s="11"/>
      <c r="J52" s="9"/>
      <c r="K52" s="9"/>
    </row>
    <row r="53" customFormat="false" ht="18" hidden="false" customHeight="true" outlineLevel="0" collapsed="false">
      <c r="A53" s="5"/>
      <c r="B53" s="5"/>
      <c r="C53" s="5"/>
      <c r="D53" s="5"/>
      <c r="E53" s="6"/>
      <c r="F53" s="7"/>
      <c r="G53" s="6"/>
      <c r="H53" s="6"/>
      <c r="I53" s="7"/>
      <c r="J53" s="5"/>
      <c r="K53" s="5"/>
    </row>
    <row r="54" customFormat="false" ht="18" hidden="false" customHeight="true" outlineLevel="0" collapsed="false">
      <c r="A54" s="9"/>
      <c r="B54" s="9"/>
      <c r="C54" s="9"/>
      <c r="D54" s="9"/>
      <c r="E54" s="10"/>
      <c r="F54" s="11"/>
      <c r="G54" s="10"/>
      <c r="H54" s="10"/>
      <c r="I54" s="11"/>
      <c r="J54" s="9"/>
      <c r="K54" s="9"/>
    </row>
    <row r="56" customFormat="false" ht="27.75" hidden="false" customHeight="true" outlineLevel="0" collapsed="false">
      <c r="A56" s="12" t="s">
        <v>36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</sheetData>
  <mergeCells count="3">
    <mergeCell ref="A1:K1"/>
    <mergeCell ref="A2:K2"/>
    <mergeCell ref="A56:K56"/>
  </mergeCells>
  <dataValidations count="2">
    <dataValidation allowBlank="true" errorStyle="stop" operator="between" showDropDown="false" showErrorMessage="false" showInputMessage="false" sqref="C5:C54" type="list">
      <formula1>"Vestuário,Calçados,Ferragens,Tintas,Alimentos,Eletrônicos,Limpeza,Outros"</formula1>
      <formula2>0</formula2>
    </dataValidation>
    <dataValidation allowBlank="true" errorStyle="stop" operator="between" showDropDown="false" showErrorMessage="false" showInputMessage="false" sqref="D5:D54" type="list">
      <formula1>"un,kg,g,l,ml,m,m²,cx,pc,par,rl,fl,gl"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26"/>
    <col collapsed="false" customWidth="true" hidden="false" outlineLevel="0" max="4" min="4" style="0" width="12"/>
    <col collapsed="false" customWidth="true" hidden="false" outlineLevel="0" max="5" min="5" style="0" width="13"/>
    <col collapsed="false" customWidth="true" hidden="false" outlineLevel="0" max="7" min="6" style="0" width="16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28"/>
  </cols>
  <sheetData>
    <row r="1" customFormat="false" ht="27.75" hidden="false" customHeight="true" outlineLevel="0" collapsed="false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5" hidden="false" customHeight="true" outlineLevel="0" collapsed="false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6" hidden="false" customHeight="true" outlineLevel="0" collapsed="false"/>
    <row r="4" customFormat="false" ht="31.5" hidden="false" customHeight="true" outlineLevel="0" collapsed="false">
      <c r="A4" s="13" t="s">
        <v>39</v>
      </c>
      <c r="B4" s="13" t="s">
        <v>40</v>
      </c>
      <c r="C4" s="13" t="s">
        <v>3</v>
      </c>
      <c r="D4" s="13" t="s">
        <v>41</v>
      </c>
      <c r="E4" s="13" t="s">
        <v>42</v>
      </c>
      <c r="F4" s="13" t="s">
        <v>43</v>
      </c>
      <c r="G4" s="13" t="s">
        <v>44</v>
      </c>
      <c r="H4" s="13" t="s">
        <v>45</v>
      </c>
      <c r="I4" s="13" t="s">
        <v>46</v>
      </c>
      <c r="J4" s="13" t="s">
        <v>47</v>
      </c>
      <c r="K4" s="13" t="s">
        <v>12</v>
      </c>
    </row>
    <row r="5" customFormat="false" ht="18" hidden="false" customHeight="true" outlineLevel="0" collapsed="false">
      <c r="A5" s="14" t="n">
        <v>45672</v>
      </c>
      <c r="B5" s="15" t="s">
        <v>13</v>
      </c>
      <c r="C5" s="16" t="str">
        <f aca="false">IFERROR(VLOOKUP(B5,Cadastro!$A$5:$B$54,2,0),"")</f>
        <v>Camisa Polo M</v>
      </c>
      <c r="D5" s="15" t="s">
        <v>48</v>
      </c>
      <c r="E5" s="17" t="n">
        <v>50</v>
      </c>
      <c r="F5" s="7" t="n">
        <v>44.5</v>
      </c>
      <c r="G5" s="7" t="n">
        <f aca="false">IF(AND($D5="E",E5&lt;&gt;"",F5&lt;&gt;""),E5*F5,"-")</f>
        <v>2225</v>
      </c>
      <c r="H5" s="7" t="str">
        <f aca="false">IF($D5="S",IF(AND(B5&lt;&gt;"",E5&lt;&gt;""),E5*IFERROR(VLOOKUP(B5,'Saldo Atual'!$A:$K,11,0),0),"-"),"-")</f>
        <v>-</v>
      </c>
      <c r="I5" s="15" t="s">
        <v>49</v>
      </c>
      <c r="J5" s="5" t="s">
        <v>50</v>
      </c>
      <c r="K5" s="5" t="s">
        <v>51</v>
      </c>
    </row>
    <row r="6" customFormat="false" ht="18" hidden="false" customHeight="true" outlineLevel="0" collapsed="false">
      <c r="A6" s="18" t="n">
        <v>45672</v>
      </c>
      <c r="B6" s="19" t="s">
        <v>18</v>
      </c>
      <c r="C6" s="20" t="str">
        <f aca="false">IFERROR(VLOOKUP(B6,Cadastro!$A$5:$B$54,2,0),"")</f>
        <v>Calça Jeans 42</v>
      </c>
      <c r="D6" s="19" t="s">
        <v>48</v>
      </c>
      <c r="E6" s="21" t="n">
        <v>30</v>
      </c>
      <c r="F6" s="11" t="n">
        <v>77</v>
      </c>
      <c r="G6" s="11" t="n">
        <f aca="false">IF(AND($D6="E",E6&lt;&gt;"",F6&lt;&gt;""),E6*F6,"-")</f>
        <v>2310</v>
      </c>
      <c r="H6" s="11" t="str">
        <f aca="false">IF($D6="S",IF(AND(B6&lt;&gt;"",E6&lt;&gt;""),E6*IFERROR(VLOOKUP(B6,'Saldo Atual'!$A:$K,11,0),0),"-"),"-")</f>
        <v>-</v>
      </c>
      <c r="I6" s="19" t="s">
        <v>52</v>
      </c>
      <c r="J6" s="9" t="s">
        <v>50</v>
      </c>
      <c r="K6" s="9" t="s">
        <v>51</v>
      </c>
    </row>
    <row r="7" customFormat="false" ht="18" hidden="false" customHeight="true" outlineLevel="0" collapsed="false">
      <c r="A7" s="14" t="n">
        <v>45672</v>
      </c>
      <c r="B7" s="15" t="s">
        <v>21</v>
      </c>
      <c r="C7" s="16" t="str">
        <f aca="false">IFERROR(VLOOKUP(B7,Cadastro!$A$5:$B$54,2,0),"")</f>
        <v>Tênis Casual 40</v>
      </c>
      <c r="D7" s="15" t="s">
        <v>48</v>
      </c>
      <c r="E7" s="17" t="n">
        <v>20</v>
      </c>
      <c r="F7" s="7" t="n">
        <v>94</v>
      </c>
      <c r="G7" s="7" t="n">
        <f aca="false">IF(AND($D7="E",E7&lt;&gt;"",F7&lt;&gt;""),E7*F7,"-")</f>
        <v>1880</v>
      </c>
      <c r="H7" s="7" t="str">
        <f aca="false">IF($D7="S",IF(AND(B7&lt;&gt;"",E7&lt;&gt;""),E7*IFERROR(VLOOKUP(B7,'Saldo Atual'!$A:$K,11,0),0),"-"),"-")</f>
        <v>-</v>
      </c>
      <c r="I7" s="15" t="s">
        <v>53</v>
      </c>
      <c r="J7" s="5" t="s">
        <v>50</v>
      </c>
      <c r="K7" s="5" t="s">
        <v>51</v>
      </c>
    </row>
    <row r="8" customFormat="false" ht="18" hidden="false" customHeight="true" outlineLevel="0" collapsed="false">
      <c r="A8" s="18" t="n">
        <v>45672</v>
      </c>
      <c r="B8" s="19" t="s">
        <v>26</v>
      </c>
      <c r="C8" s="20" t="str">
        <f aca="false">IFERROR(VLOOKUP(B8,Cadastro!$A$5:$B$54,2,0),"")</f>
        <v>Parafuso 6x40mm</v>
      </c>
      <c r="D8" s="19" t="s">
        <v>48</v>
      </c>
      <c r="E8" s="21" t="n">
        <v>500</v>
      </c>
      <c r="F8" s="11" t="n">
        <v>0.79</v>
      </c>
      <c r="G8" s="11" t="n">
        <f aca="false">IF(AND($D8="E",E8&lt;&gt;"",F8&lt;&gt;""),E8*F8,"-")</f>
        <v>395</v>
      </c>
      <c r="H8" s="11" t="str">
        <f aca="false">IF($D8="S",IF(AND(B8&lt;&gt;"",E8&lt;&gt;""),E8*IFERROR(VLOOKUP(B8,'Saldo Atual'!$A:$K,11,0),0),"-"),"-")</f>
        <v>-</v>
      </c>
      <c r="I8" s="19" t="s">
        <v>54</v>
      </c>
      <c r="J8" s="9" t="s">
        <v>50</v>
      </c>
      <c r="K8" s="9" t="s">
        <v>51</v>
      </c>
    </row>
    <row r="9" customFormat="false" ht="18" hidden="false" customHeight="true" outlineLevel="0" collapsed="false">
      <c r="A9" s="14" t="n">
        <v>45672</v>
      </c>
      <c r="B9" s="15" t="s">
        <v>31</v>
      </c>
      <c r="C9" s="16" t="str">
        <f aca="false">IFERROR(VLOOKUP(B9,Cadastro!$A$5:$B$54,2,0),"")</f>
        <v>Tinta Acrílica 18L</v>
      </c>
      <c r="D9" s="15" t="s">
        <v>48</v>
      </c>
      <c r="E9" s="17" t="n">
        <v>20</v>
      </c>
      <c r="F9" s="7" t="n">
        <v>88</v>
      </c>
      <c r="G9" s="7" t="n">
        <f aca="false">IF(AND($D9="E",E9&lt;&gt;"",F9&lt;&gt;""),E9*F9,"-")</f>
        <v>1760</v>
      </c>
      <c r="H9" s="7" t="str">
        <f aca="false">IF($D9="S",IF(AND(B9&lt;&gt;"",E9&lt;&gt;""),E9*IFERROR(VLOOKUP(B9,'Saldo Atual'!$A:$K,11,0),0),"-"),"-")</f>
        <v>-</v>
      </c>
      <c r="I9" s="15" t="s">
        <v>55</v>
      </c>
      <c r="J9" s="5" t="s">
        <v>50</v>
      </c>
      <c r="K9" s="5" t="s">
        <v>51</v>
      </c>
    </row>
    <row r="10" customFormat="false" ht="18" hidden="false" customHeight="true" outlineLevel="0" collapsed="false">
      <c r="A10" s="18" t="n">
        <v>45675</v>
      </c>
      <c r="B10" s="19" t="s">
        <v>13</v>
      </c>
      <c r="C10" s="20" t="str">
        <f aca="false">IFERROR(VLOOKUP(B10,Cadastro!$A$5:$B$54,2,0),"")</f>
        <v>Camisa Polo M</v>
      </c>
      <c r="D10" s="19" t="s">
        <v>56</v>
      </c>
      <c r="E10" s="21" t="n">
        <v>8</v>
      </c>
      <c r="F10" s="11"/>
      <c r="G10" s="11" t="str">
        <f aca="false">IF(AND($D10="E",E10&lt;&gt;"",F10&lt;&gt;""),E10*F10,"-")</f>
        <v>-</v>
      </c>
      <c r="H10" s="11" t="n">
        <f aca="false">IF($D10="S",IF(AND(B10&lt;&gt;"",E10&lt;&gt;""),E10*IFERROR(VLOOKUP(B10,'Saldo Atual'!$A:$K,11,0),0),"-"),"-")</f>
        <v>357.142857142857</v>
      </c>
      <c r="I10" s="19" t="s">
        <v>57</v>
      </c>
      <c r="J10" s="9" t="s">
        <v>58</v>
      </c>
      <c r="K10" s="9" t="s">
        <v>59</v>
      </c>
    </row>
    <row r="11" customFormat="false" ht="18" hidden="false" customHeight="true" outlineLevel="0" collapsed="false">
      <c r="A11" s="14" t="n">
        <v>45677</v>
      </c>
      <c r="B11" s="15" t="s">
        <v>18</v>
      </c>
      <c r="C11" s="16" t="str">
        <f aca="false">IFERROR(VLOOKUP(B11,Cadastro!$A$5:$B$54,2,0),"")</f>
        <v>Calça Jeans 42</v>
      </c>
      <c r="D11" s="15" t="s">
        <v>56</v>
      </c>
      <c r="E11" s="17" t="n">
        <v>5</v>
      </c>
      <c r="F11" s="7"/>
      <c r="G11" s="7" t="str">
        <f aca="false">IF(AND($D11="E",E11&lt;&gt;"",F11&lt;&gt;""),E11*F11,"-")</f>
        <v>-</v>
      </c>
      <c r="H11" s="7" t="n">
        <f aca="false">IF($D11="S",IF(AND(B11&lt;&gt;"",E11&lt;&gt;""),E11*IFERROR(VLOOKUP(B11,'Saldo Atual'!$A:$K,11,0),0),"-"),"-")</f>
        <v>385</v>
      </c>
      <c r="I11" s="15" t="s">
        <v>60</v>
      </c>
      <c r="J11" s="5" t="s">
        <v>58</v>
      </c>
      <c r="K11" s="5" t="s">
        <v>61</v>
      </c>
    </row>
    <row r="12" customFormat="false" ht="18" hidden="false" customHeight="true" outlineLevel="0" collapsed="false">
      <c r="A12" s="18" t="n">
        <v>45679</v>
      </c>
      <c r="B12" s="19" t="s">
        <v>21</v>
      </c>
      <c r="C12" s="20" t="str">
        <f aca="false">IFERROR(VLOOKUP(B12,Cadastro!$A$5:$B$54,2,0),"")</f>
        <v>Tênis Casual 40</v>
      </c>
      <c r="D12" s="19" t="s">
        <v>56</v>
      </c>
      <c r="E12" s="21" t="n">
        <v>3</v>
      </c>
      <c r="F12" s="11"/>
      <c r="G12" s="11" t="str">
        <f aca="false">IF(AND($D12="E",E12&lt;&gt;"",F12&lt;&gt;""),E12*F12,"-")</f>
        <v>-</v>
      </c>
      <c r="H12" s="11" t="n">
        <f aca="false">IF($D12="S",IF(AND(B12&lt;&gt;"",E12&lt;&gt;""),E12*IFERROR(VLOOKUP(B12,'Saldo Atual'!$A:$K,11,0),0),"-"),"-")</f>
        <v>282</v>
      </c>
      <c r="I12" s="19" t="s">
        <v>62</v>
      </c>
      <c r="J12" s="9" t="s">
        <v>63</v>
      </c>
      <c r="K12" s="9" t="s">
        <v>59</v>
      </c>
    </row>
    <row r="13" customFormat="false" ht="18" hidden="false" customHeight="true" outlineLevel="0" collapsed="false">
      <c r="A13" s="14" t="n">
        <v>45682</v>
      </c>
      <c r="B13" s="15" t="s">
        <v>26</v>
      </c>
      <c r="C13" s="16" t="str">
        <f aca="false">IFERROR(VLOOKUP(B13,Cadastro!$A$5:$B$54,2,0),"")</f>
        <v>Parafuso 6x40mm</v>
      </c>
      <c r="D13" s="15" t="s">
        <v>56</v>
      </c>
      <c r="E13" s="17" t="n">
        <v>120</v>
      </c>
      <c r="F13" s="7"/>
      <c r="G13" s="7" t="str">
        <f aca="false">IF(AND($D13="E",E13&lt;&gt;"",F13&lt;&gt;""),E13*F13,"-")</f>
        <v>-</v>
      </c>
      <c r="H13" s="7" t="n">
        <f aca="false">IF($D13="S",IF(AND(B13&lt;&gt;"",E13&lt;&gt;""),E13*IFERROR(VLOOKUP(B13,'Saldo Atual'!$A:$K,11,0),0),"-"),"-")</f>
        <v>95.25</v>
      </c>
      <c r="I13" s="15" t="s">
        <v>64</v>
      </c>
      <c r="J13" s="5" t="s">
        <v>63</v>
      </c>
      <c r="K13" s="5" t="s">
        <v>65</v>
      </c>
    </row>
    <row r="14" customFormat="false" ht="18" hidden="false" customHeight="true" outlineLevel="0" collapsed="false">
      <c r="A14" s="18" t="n">
        <v>45685</v>
      </c>
      <c r="B14" s="19" t="s">
        <v>13</v>
      </c>
      <c r="C14" s="20" t="str">
        <f aca="false">IFERROR(VLOOKUP(B14,Cadastro!$A$5:$B$54,2,0),"")</f>
        <v>Camisa Polo M</v>
      </c>
      <c r="D14" s="19" t="s">
        <v>48</v>
      </c>
      <c r="E14" s="21" t="n">
        <v>20</v>
      </c>
      <c r="F14" s="11" t="n">
        <v>45</v>
      </c>
      <c r="G14" s="11" t="n">
        <f aca="false">IF(AND($D14="E",E14&lt;&gt;"",F14&lt;&gt;""),E14*F14,"-")</f>
        <v>900</v>
      </c>
      <c r="H14" s="11" t="str">
        <f aca="false">IF($D14="S",IF(AND(B14&lt;&gt;"",E14&lt;&gt;""),E14*IFERROR(VLOOKUP(B14,'Saldo Atual'!$A:$K,11,0),0),"-"),"-")</f>
        <v>-</v>
      </c>
      <c r="I14" s="19" t="s">
        <v>66</v>
      </c>
      <c r="J14" s="9" t="s">
        <v>50</v>
      </c>
      <c r="K14" s="9" t="s">
        <v>67</v>
      </c>
    </row>
    <row r="15" customFormat="false" ht="18" hidden="false" customHeight="true" outlineLevel="0" collapsed="false">
      <c r="A15" s="14" t="n">
        <v>45693</v>
      </c>
      <c r="B15" s="15" t="s">
        <v>18</v>
      </c>
      <c r="C15" s="16" t="str">
        <f aca="false">IFERROR(VLOOKUP(B15,Cadastro!$A$5:$B$54,2,0),"")</f>
        <v>Calça Jeans 42</v>
      </c>
      <c r="D15" s="15" t="s">
        <v>56</v>
      </c>
      <c r="E15" s="17" t="n">
        <v>8</v>
      </c>
      <c r="F15" s="7"/>
      <c r="G15" s="7" t="str">
        <f aca="false">IF(AND($D15="E",E15&lt;&gt;"",F15&lt;&gt;""),E15*F15,"-")</f>
        <v>-</v>
      </c>
      <c r="H15" s="7" t="n">
        <f aca="false">IF($D15="S",IF(AND(B15&lt;&gt;"",E15&lt;&gt;""),E15*IFERROR(VLOOKUP(B15,'Saldo Atual'!$A:$K,11,0),0),"-"),"-")</f>
        <v>616</v>
      </c>
      <c r="I15" s="15" t="s">
        <v>68</v>
      </c>
      <c r="J15" s="5" t="s">
        <v>58</v>
      </c>
      <c r="K15" s="5" t="s">
        <v>61</v>
      </c>
    </row>
    <row r="16" customFormat="false" ht="18" hidden="false" customHeight="true" outlineLevel="0" collapsed="false">
      <c r="A16" s="18" t="n">
        <v>45698</v>
      </c>
      <c r="B16" s="19" t="s">
        <v>31</v>
      </c>
      <c r="C16" s="20" t="str">
        <f aca="false">IFERROR(VLOOKUP(B16,Cadastro!$A$5:$B$54,2,0),"")</f>
        <v>Tinta Acrílica 18L</v>
      </c>
      <c r="D16" s="19" t="s">
        <v>56</v>
      </c>
      <c r="E16" s="21" t="n">
        <v>4</v>
      </c>
      <c r="F16" s="11"/>
      <c r="G16" s="11" t="str">
        <f aca="false">IF(AND($D16="E",E16&lt;&gt;"",F16&lt;&gt;""),E16*F16,"-")</f>
        <v>-</v>
      </c>
      <c r="H16" s="11" t="n">
        <f aca="false">IF($D16="S",IF(AND(B16&lt;&gt;"",E16&lt;&gt;""),E16*IFERROR(VLOOKUP(B16,'Saldo Atual'!$A:$K,11,0),0),"-"),"-")</f>
        <v>352</v>
      </c>
      <c r="I16" s="19" t="s">
        <v>69</v>
      </c>
      <c r="J16" s="9" t="s">
        <v>63</v>
      </c>
      <c r="K16" s="9" t="s">
        <v>59</v>
      </c>
    </row>
    <row r="17" customFormat="false" ht="18" hidden="false" customHeight="true" outlineLevel="0" collapsed="false">
      <c r="A17" s="14" t="n">
        <v>45703</v>
      </c>
      <c r="B17" s="15" t="s">
        <v>21</v>
      </c>
      <c r="C17" s="16" t="str">
        <f aca="false">IFERROR(VLOOKUP(B17,Cadastro!$A$5:$B$54,2,0),"")</f>
        <v>Tênis Casual 40</v>
      </c>
      <c r="D17" s="15" t="s">
        <v>56</v>
      </c>
      <c r="E17" s="17" t="n">
        <v>5</v>
      </c>
      <c r="F17" s="7"/>
      <c r="G17" s="7" t="str">
        <f aca="false">IF(AND($D17="E",E17&lt;&gt;"",F17&lt;&gt;""),E17*F17,"-")</f>
        <v>-</v>
      </c>
      <c r="H17" s="7" t="n">
        <f aca="false">IF($D17="S",IF(AND(B17&lt;&gt;"",E17&lt;&gt;""),E17*IFERROR(VLOOKUP(B17,'Saldo Atual'!$A:$K,11,0),0),"-"),"-")</f>
        <v>470</v>
      </c>
      <c r="I17" s="15" t="s">
        <v>70</v>
      </c>
      <c r="J17" s="5" t="s">
        <v>58</v>
      </c>
      <c r="K17" s="5" t="s">
        <v>59</v>
      </c>
    </row>
    <row r="18" customFormat="false" ht="18" hidden="false" customHeight="true" outlineLevel="0" collapsed="false">
      <c r="A18" s="18" t="n">
        <v>45708</v>
      </c>
      <c r="B18" s="19" t="s">
        <v>26</v>
      </c>
      <c r="C18" s="20" t="str">
        <f aca="false">IFERROR(VLOOKUP(B18,Cadastro!$A$5:$B$54,2,0),"")</f>
        <v>Parafuso 6x40mm</v>
      </c>
      <c r="D18" s="19" t="s">
        <v>48</v>
      </c>
      <c r="E18" s="21" t="n">
        <v>300</v>
      </c>
      <c r="F18" s="11" t="n">
        <v>0.8</v>
      </c>
      <c r="G18" s="11" t="n">
        <f aca="false">IF(AND($D18="E",E18&lt;&gt;"",F18&lt;&gt;""),E18*F18,"-")</f>
        <v>240</v>
      </c>
      <c r="H18" s="11" t="str">
        <f aca="false">IF($D18="S",IF(AND(B18&lt;&gt;"",E18&lt;&gt;""),E18*IFERROR(VLOOKUP(B18,'Saldo Atual'!$A:$K,11,0),0),"-"),"-")</f>
        <v>-</v>
      </c>
      <c r="I18" s="19" t="s">
        <v>71</v>
      </c>
      <c r="J18" s="9" t="s">
        <v>50</v>
      </c>
      <c r="K18" s="9" t="s">
        <v>67</v>
      </c>
    </row>
    <row r="19" customFormat="false" ht="18" hidden="false" customHeight="true" outlineLevel="0" collapsed="false">
      <c r="A19" s="14" t="n">
        <v>45713</v>
      </c>
      <c r="B19" s="15" t="s">
        <v>13</v>
      </c>
      <c r="C19" s="16" t="str">
        <f aca="false">IFERROR(VLOOKUP(B19,Cadastro!$A$5:$B$54,2,0),"")</f>
        <v>Camisa Polo M</v>
      </c>
      <c r="D19" s="15" t="s">
        <v>56</v>
      </c>
      <c r="E19" s="17" t="n">
        <v>10</v>
      </c>
      <c r="F19" s="7"/>
      <c r="G19" s="7" t="str">
        <f aca="false">IF(AND($D19="E",E19&lt;&gt;"",F19&lt;&gt;""),E19*F19,"-")</f>
        <v>-</v>
      </c>
      <c r="H19" s="7" t="n">
        <f aca="false">IF($D19="S",IF(AND(B19&lt;&gt;"",E19&lt;&gt;""),E19*IFERROR(VLOOKUP(B19,'Saldo Atual'!$A:$K,11,0),0),"-"),"-")</f>
        <v>446.428571428571</v>
      </c>
      <c r="I19" s="15" t="s">
        <v>72</v>
      </c>
      <c r="J19" s="5" t="s">
        <v>63</v>
      </c>
      <c r="K19" s="5" t="s">
        <v>65</v>
      </c>
    </row>
    <row r="20" customFormat="false" ht="18" hidden="false" customHeight="true" outlineLevel="0" collapsed="false">
      <c r="A20" s="18"/>
      <c r="B20" s="19"/>
      <c r="C20" s="20" t="str">
        <f aca="false">IFERROR(VLOOKUP(B20,Cadastro!$A$5:$B$54,2,0),"")</f>
        <v/>
      </c>
      <c r="D20" s="19"/>
      <c r="E20" s="21"/>
      <c r="F20" s="11"/>
      <c r="G20" s="11" t="str">
        <f aca="false">IF(AND($D20="E",E20&lt;&gt;"",F20&lt;&gt;""),E20*F20,"-")</f>
        <v>-</v>
      </c>
      <c r="H20" s="11" t="str">
        <f aca="false">IF($D20="S",IF(AND(B20&lt;&gt;"",E20&lt;&gt;""),E20*IFERROR(VLOOKUP(B20,'Saldo Atual'!$A:$K,11,0),0),"-"),"-")</f>
        <v>-</v>
      </c>
      <c r="I20" s="19"/>
      <c r="J20" s="9"/>
      <c r="K20" s="9"/>
    </row>
    <row r="21" customFormat="false" ht="18" hidden="false" customHeight="true" outlineLevel="0" collapsed="false">
      <c r="A21" s="14"/>
      <c r="B21" s="15"/>
      <c r="C21" s="16" t="str">
        <f aca="false">IFERROR(VLOOKUP(B21,Cadastro!$A$5:$B$54,2,0),"")</f>
        <v/>
      </c>
      <c r="D21" s="15"/>
      <c r="E21" s="17"/>
      <c r="F21" s="7"/>
      <c r="G21" s="7" t="str">
        <f aca="false">IF(AND($D21="E",E21&lt;&gt;"",F21&lt;&gt;""),E21*F21,"-")</f>
        <v>-</v>
      </c>
      <c r="H21" s="7" t="str">
        <f aca="false">IF($D21="S",IF(AND(B21&lt;&gt;"",E21&lt;&gt;""),E21*IFERROR(VLOOKUP(B21,'Saldo Atual'!$A:$K,11,0),0),"-"),"-")</f>
        <v>-</v>
      </c>
      <c r="I21" s="15"/>
      <c r="J21" s="5"/>
      <c r="K21" s="5"/>
    </row>
    <row r="22" customFormat="false" ht="18" hidden="false" customHeight="true" outlineLevel="0" collapsed="false">
      <c r="A22" s="18"/>
      <c r="B22" s="19"/>
      <c r="C22" s="20" t="str">
        <f aca="false">IFERROR(VLOOKUP(B22,Cadastro!$A$5:$B$54,2,0),"")</f>
        <v/>
      </c>
      <c r="D22" s="19"/>
      <c r="E22" s="21"/>
      <c r="F22" s="11"/>
      <c r="G22" s="11" t="str">
        <f aca="false">IF(AND($D22="E",E22&lt;&gt;"",F22&lt;&gt;""),E22*F22,"-")</f>
        <v>-</v>
      </c>
      <c r="H22" s="11" t="str">
        <f aca="false">IF($D22="S",IF(AND(B22&lt;&gt;"",E22&lt;&gt;""),E22*IFERROR(VLOOKUP(B22,'Saldo Atual'!$A:$K,11,0),0),"-"),"-")</f>
        <v>-</v>
      </c>
      <c r="I22" s="19"/>
      <c r="J22" s="9"/>
      <c r="K22" s="9"/>
    </row>
    <row r="23" customFormat="false" ht="18" hidden="false" customHeight="true" outlineLevel="0" collapsed="false">
      <c r="A23" s="14"/>
      <c r="B23" s="15"/>
      <c r="C23" s="16" t="str">
        <f aca="false">IFERROR(VLOOKUP(B23,Cadastro!$A$5:$B$54,2,0),"")</f>
        <v/>
      </c>
      <c r="D23" s="15"/>
      <c r="E23" s="17"/>
      <c r="F23" s="7"/>
      <c r="G23" s="7" t="str">
        <f aca="false">IF(AND($D23="E",E23&lt;&gt;"",F23&lt;&gt;""),E23*F23,"-")</f>
        <v>-</v>
      </c>
      <c r="H23" s="7" t="str">
        <f aca="false">IF($D23="S",IF(AND(B23&lt;&gt;"",E23&lt;&gt;""),E23*IFERROR(VLOOKUP(B23,'Saldo Atual'!$A:$K,11,0),0),"-"),"-")</f>
        <v>-</v>
      </c>
      <c r="I23" s="15"/>
      <c r="J23" s="5"/>
      <c r="K23" s="5"/>
    </row>
    <row r="24" customFormat="false" ht="18" hidden="false" customHeight="true" outlineLevel="0" collapsed="false">
      <c r="A24" s="18"/>
      <c r="B24" s="19"/>
      <c r="C24" s="20" t="str">
        <f aca="false">IFERROR(VLOOKUP(B24,Cadastro!$A$5:$B$54,2,0),"")</f>
        <v/>
      </c>
      <c r="D24" s="19"/>
      <c r="E24" s="21"/>
      <c r="F24" s="11"/>
      <c r="G24" s="11" t="str">
        <f aca="false">IF(AND($D24="E",E24&lt;&gt;"",F24&lt;&gt;""),E24*F24,"-")</f>
        <v>-</v>
      </c>
      <c r="H24" s="11" t="str">
        <f aca="false">IF($D24="S",IF(AND(B24&lt;&gt;"",E24&lt;&gt;""),E24*IFERROR(VLOOKUP(B24,'Saldo Atual'!$A:$K,11,0),0),"-"),"-")</f>
        <v>-</v>
      </c>
      <c r="I24" s="19"/>
      <c r="J24" s="9"/>
      <c r="K24" s="9"/>
    </row>
    <row r="25" customFormat="false" ht="18" hidden="false" customHeight="true" outlineLevel="0" collapsed="false">
      <c r="A25" s="14"/>
      <c r="B25" s="15"/>
      <c r="C25" s="16" t="str">
        <f aca="false">IFERROR(VLOOKUP(B25,Cadastro!$A$5:$B$54,2,0),"")</f>
        <v/>
      </c>
      <c r="D25" s="15"/>
      <c r="E25" s="17"/>
      <c r="F25" s="7"/>
      <c r="G25" s="7" t="str">
        <f aca="false">IF(AND($D25="E",E25&lt;&gt;"",F25&lt;&gt;""),E25*F25,"-")</f>
        <v>-</v>
      </c>
      <c r="H25" s="7" t="str">
        <f aca="false">IF($D25="S",IF(AND(B25&lt;&gt;"",E25&lt;&gt;""),E25*IFERROR(VLOOKUP(B25,'Saldo Atual'!$A:$K,11,0),0),"-"),"-")</f>
        <v>-</v>
      </c>
      <c r="I25" s="15"/>
      <c r="J25" s="5"/>
      <c r="K25" s="5"/>
    </row>
    <row r="26" customFormat="false" ht="18" hidden="false" customHeight="true" outlineLevel="0" collapsed="false">
      <c r="A26" s="18"/>
      <c r="B26" s="19"/>
      <c r="C26" s="20" t="str">
        <f aca="false">IFERROR(VLOOKUP(B26,Cadastro!$A$5:$B$54,2,0),"")</f>
        <v/>
      </c>
      <c r="D26" s="19"/>
      <c r="E26" s="21"/>
      <c r="F26" s="11"/>
      <c r="G26" s="11" t="str">
        <f aca="false">IF(AND($D26="E",E26&lt;&gt;"",F26&lt;&gt;""),E26*F26,"-")</f>
        <v>-</v>
      </c>
      <c r="H26" s="11" t="str">
        <f aca="false">IF($D26="S",IF(AND(B26&lt;&gt;"",E26&lt;&gt;""),E26*IFERROR(VLOOKUP(B26,'Saldo Atual'!$A:$K,11,0),0),"-"),"-")</f>
        <v>-</v>
      </c>
      <c r="I26" s="19"/>
      <c r="J26" s="9"/>
      <c r="K26" s="9"/>
    </row>
    <row r="27" customFormat="false" ht="18" hidden="false" customHeight="true" outlineLevel="0" collapsed="false">
      <c r="A27" s="14"/>
      <c r="B27" s="15"/>
      <c r="C27" s="16" t="str">
        <f aca="false">IFERROR(VLOOKUP(B27,Cadastro!$A$5:$B$54,2,0),"")</f>
        <v/>
      </c>
      <c r="D27" s="15"/>
      <c r="E27" s="17"/>
      <c r="F27" s="7"/>
      <c r="G27" s="7" t="str">
        <f aca="false">IF(AND($D27="E",E27&lt;&gt;"",F27&lt;&gt;""),E27*F27,"-")</f>
        <v>-</v>
      </c>
      <c r="H27" s="7" t="str">
        <f aca="false">IF($D27="S",IF(AND(B27&lt;&gt;"",E27&lt;&gt;""),E27*IFERROR(VLOOKUP(B27,'Saldo Atual'!$A:$K,11,0),0),"-"),"-")</f>
        <v>-</v>
      </c>
      <c r="I27" s="15"/>
      <c r="J27" s="5"/>
      <c r="K27" s="5"/>
    </row>
    <row r="28" customFormat="false" ht="18" hidden="false" customHeight="true" outlineLevel="0" collapsed="false">
      <c r="A28" s="18"/>
      <c r="B28" s="19"/>
      <c r="C28" s="20" t="str">
        <f aca="false">IFERROR(VLOOKUP(B28,Cadastro!$A$5:$B$54,2,0),"")</f>
        <v/>
      </c>
      <c r="D28" s="19"/>
      <c r="E28" s="21"/>
      <c r="F28" s="11"/>
      <c r="G28" s="11" t="str">
        <f aca="false">IF(AND($D28="E",E28&lt;&gt;"",F28&lt;&gt;""),E28*F28,"-")</f>
        <v>-</v>
      </c>
      <c r="H28" s="11" t="str">
        <f aca="false">IF($D28="S",IF(AND(B28&lt;&gt;"",E28&lt;&gt;""),E28*IFERROR(VLOOKUP(B28,'Saldo Atual'!$A:$K,11,0),0),"-"),"-")</f>
        <v>-</v>
      </c>
      <c r="I28" s="19"/>
      <c r="J28" s="9"/>
      <c r="K28" s="9"/>
    </row>
    <row r="29" customFormat="false" ht="18" hidden="false" customHeight="true" outlineLevel="0" collapsed="false">
      <c r="A29" s="14"/>
      <c r="B29" s="15"/>
      <c r="C29" s="16" t="str">
        <f aca="false">IFERROR(VLOOKUP(B29,Cadastro!$A$5:$B$54,2,0),"")</f>
        <v/>
      </c>
      <c r="D29" s="15"/>
      <c r="E29" s="17"/>
      <c r="F29" s="7"/>
      <c r="G29" s="7" t="str">
        <f aca="false">IF(AND($D29="E",E29&lt;&gt;"",F29&lt;&gt;""),E29*F29,"-")</f>
        <v>-</v>
      </c>
      <c r="H29" s="7" t="str">
        <f aca="false">IF($D29="S",IF(AND(B29&lt;&gt;"",E29&lt;&gt;""),E29*IFERROR(VLOOKUP(B29,'Saldo Atual'!$A:$K,11,0),0),"-"),"-")</f>
        <v>-</v>
      </c>
      <c r="I29" s="15"/>
      <c r="J29" s="5"/>
      <c r="K29" s="5"/>
    </row>
    <row r="30" customFormat="false" ht="18" hidden="false" customHeight="true" outlineLevel="0" collapsed="false">
      <c r="A30" s="18"/>
      <c r="B30" s="19"/>
      <c r="C30" s="20" t="str">
        <f aca="false">IFERROR(VLOOKUP(B30,Cadastro!$A$5:$B$54,2,0),"")</f>
        <v/>
      </c>
      <c r="D30" s="19"/>
      <c r="E30" s="21"/>
      <c r="F30" s="11"/>
      <c r="G30" s="11" t="str">
        <f aca="false">IF(AND($D30="E",E30&lt;&gt;"",F30&lt;&gt;""),E30*F30,"-")</f>
        <v>-</v>
      </c>
      <c r="H30" s="11" t="str">
        <f aca="false">IF($D30="S",IF(AND(B30&lt;&gt;"",E30&lt;&gt;""),E30*IFERROR(VLOOKUP(B30,'Saldo Atual'!$A:$K,11,0),0),"-"),"-")</f>
        <v>-</v>
      </c>
      <c r="I30" s="19"/>
      <c r="J30" s="9"/>
      <c r="K30" s="9"/>
    </row>
    <row r="31" customFormat="false" ht="18" hidden="false" customHeight="true" outlineLevel="0" collapsed="false">
      <c r="A31" s="14"/>
      <c r="B31" s="15"/>
      <c r="C31" s="16" t="str">
        <f aca="false">IFERROR(VLOOKUP(B31,Cadastro!$A$5:$B$54,2,0),"")</f>
        <v/>
      </c>
      <c r="D31" s="15"/>
      <c r="E31" s="17"/>
      <c r="F31" s="7"/>
      <c r="G31" s="7" t="str">
        <f aca="false">IF(AND($D31="E",E31&lt;&gt;"",F31&lt;&gt;""),E31*F31,"-")</f>
        <v>-</v>
      </c>
      <c r="H31" s="7" t="str">
        <f aca="false">IF($D31="S",IF(AND(B31&lt;&gt;"",E31&lt;&gt;""),E31*IFERROR(VLOOKUP(B31,'Saldo Atual'!$A:$K,11,0),0),"-"),"-")</f>
        <v>-</v>
      </c>
      <c r="I31" s="15"/>
      <c r="J31" s="5"/>
      <c r="K31" s="5"/>
    </row>
    <row r="32" customFormat="false" ht="18" hidden="false" customHeight="true" outlineLevel="0" collapsed="false">
      <c r="A32" s="18"/>
      <c r="B32" s="19"/>
      <c r="C32" s="20" t="str">
        <f aca="false">IFERROR(VLOOKUP(B32,Cadastro!$A$5:$B$54,2,0),"")</f>
        <v/>
      </c>
      <c r="D32" s="19"/>
      <c r="E32" s="21"/>
      <c r="F32" s="11"/>
      <c r="G32" s="11" t="str">
        <f aca="false">IF(AND($D32="E",E32&lt;&gt;"",F32&lt;&gt;""),E32*F32,"-")</f>
        <v>-</v>
      </c>
      <c r="H32" s="11" t="str">
        <f aca="false">IF($D32="S",IF(AND(B32&lt;&gt;"",E32&lt;&gt;""),E32*IFERROR(VLOOKUP(B32,'Saldo Atual'!$A:$K,11,0),0),"-"),"-")</f>
        <v>-</v>
      </c>
      <c r="I32" s="19"/>
      <c r="J32" s="9"/>
      <c r="K32" s="9"/>
    </row>
    <row r="33" customFormat="false" ht="18" hidden="false" customHeight="true" outlineLevel="0" collapsed="false">
      <c r="A33" s="14"/>
      <c r="B33" s="15"/>
      <c r="C33" s="16" t="str">
        <f aca="false">IFERROR(VLOOKUP(B33,Cadastro!$A$5:$B$54,2,0),"")</f>
        <v/>
      </c>
      <c r="D33" s="15"/>
      <c r="E33" s="17"/>
      <c r="F33" s="7"/>
      <c r="G33" s="7" t="str">
        <f aca="false">IF(AND($D33="E",E33&lt;&gt;"",F33&lt;&gt;""),E33*F33,"-")</f>
        <v>-</v>
      </c>
      <c r="H33" s="7" t="str">
        <f aca="false">IF($D33="S",IF(AND(B33&lt;&gt;"",E33&lt;&gt;""),E33*IFERROR(VLOOKUP(B33,'Saldo Atual'!$A:$K,11,0),0),"-"),"-")</f>
        <v>-</v>
      </c>
      <c r="I33" s="15"/>
      <c r="J33" s="5"/>
      <c r="K33" s="5"/>
    </row>
    <row r="34" customFormat="false" ht="18" hidden="false" customHeight="true" outlineLevel="0" collapsed="false">
      <c r="A34" s="18"/>
      <c r="B34" s="19"/>
      <c r="C34" s="20" t="str">
        <f aca="false">IFERROR(VLOOKUP(B34,Cadastro!$A$5:$B$54,2,0),"")</f>
        <v/>
      </c>
      <c r="D34" s="19"/>
      <c r="E34" s="21"/>
      <c r="F34" s="11"/>
      <c r="G34" s="11" t="str">
        <f aca="false">IF(AND($D34="E",E34&lt;&gt;"",F34&lt;&gt;""),E34*F34,"-")</f>
        <v>-</v>
      </c>
      <c r="H34" s="11" t="str">
        <f aca="false">IF($D34="S",IF(AND(B34&lt;&gt;"",E34&lt;&gt;""),E34*IFERROR(VLOOKUP(B34,'Saldo Atual'!$A:$K,11,0),0),"-"),"-")</f>
        <v>-</v>
      </c>
      <c r="I34" s="19"/>
      <c r="J34" s="9"/>
      <c r="K34" s="9"/>
    </row>
    <row r="35" customFormat="false" ht="18" hidden="false" customHeight="true" outlineLevel="0" collapsed="false">
      <c r="A35" s="14"/>
      <c r="B35" s="15"/>
      <c r="C35" s="16" t="str">
        <f aca="false">IFERROR(VLOOKUP(B35,Cadastro!$A$5:$B$54,2,0),"")</f>
        <v/>
      </c>
      <c r="D35" s="15"/>
      <c r="E35" s="17"/>
      <c r="F35" s="7"/>
      <c r="G35" s="7" t="str">
        <f aca="false">IF(AND($D35="E",E35&lt;&gt;"",F35&lt;&gt;""),E35*F35,"-")</f>
        <v>-</v>
      </c>
      <c r="H35" s="7" t="str">
        <f aca="false">IF($D35="S",IF(AND(B35&lt;&gt;"",E35&lt;&gt;""),E35*IFERROR(VLOOKUP(B35,'Saldo Atual'!$A:$K,11,0),0),"-"),"-")</f>
        <v>-</v>
      </c>
      <c r="I35" s="15"/>
      <c r="J35" s="5"/>
      <c r="K35" s="5"/>
    </row>
    <row r="36" customFormat="false" ht="18" hidden="false" customHeight="true" outlineLevel="0" collapsed="false">
      <c r="A36" s="18"/>
      <c r="B36" s="19"/>
      <c r="C36" s="20" t="str">
        <f aca="false">IFERROR(VLOOKUP(B36,Cadastro!$A$5:$B$54,2,0),"")</f>
        <v/>
      </c>
      <c r="D36" s="19"/>
      <c r="E36" s="21"/>
      <c r="F36" s="11"/>
      <c r="G36" s="11" t="str">
        <f aca="false">IF(AND($D36="E",E36&lt;&gt;"",F36&lt;&gt;""),E36*F36,"-")</f>
        <v>-</v>
      </c>
      <c r="H36" s="11" t="str">
        <f aca="false">IF($D36="S",IF(AND(B36&lt;&gt;"",E36&lt;&gt;""),E36*IFERROR(VLOOKUP(B36,'Saldo Atual'!$A:$K,11,0),0),"-"),"-")</f>
        <v>-</v>
      </c>
      <c r="I36" s="19"/>
      <c r="J36" s="9"/>
      <c r="K36" s="9"/>
    </row>
    <row r="37" customFormat="false" ht="18" hidden="false" customHeight="true" outlineLevel="0" collapsed="false">
      <c r="A37" s="14"/>
      <c r="B37" s="15"/>
      <c r="C37" s="16" t="str">
        <f aca="false">IFERROR(VLOOKUP(B37,Cadastro!$A$5:$B$54,2,0),"")</f>
        <v/>
      </c>
      <c r="D37" s="15"/>
      <c r="E37" s="17"/>
      <c r="F37" s="7"/>
      <c r="G37" s="7" t="str">
        <f aca="false">IF(AND($D37="E",E37&lt;&gt;"",F37&lt;&gt;""),E37*F37,"-")</f>
        <v>-</v>
      </c>
      <c r="H37" s="7" t="str">
        <f aca="false">IF($D37="S",IF(AND(B37&lt;&gt;"",E37&lt;&gt;""),E37*IFERROR(VLOOKUP(B37,'Saldo Atual'!$A:$K,11,0),0),"-"),"-")</f>
        <v>-</v>
      </c>
      <c r="I37" s="15"/>
      <c r="J37" s="5"/>
      <c r="K37" s="5"/>
    </row>
    <row r="38" customFormat="false" ht="18" hidden="false" customHeight="true" outlineLevel="0" collapsed="false">
      <c r="A38" s="18"/>
      <c r="B38" s="19"/>
      <c r="C38" s="20" t="str">
        <f aca="false">IFERROR(VLOOKUP(B38,Cadastro!$A$5:$B$54,2,0),"")</f>
        <v/>
      </c>
      <c r="D38" s="19"/>
      <c r="E38" s="21"/>
      <c r="F38" s="11"/>
      <c r="G38" s="11" t="str">
        <f aca="false">IF(AND($D38="E",E38&lt;&gt;"",F38&lt;&gt;""),E38*F38,"-")</f>
        <v>-</v>
      </c>
      <c r="H38" s="11" t="str">
        <f aca="false">IF($D38="S",IF(AND(B38&lt;&gt;"",E38&lt;&gt;""),E38*IFERROR(VLOOKUP(B38,'Saldo Atual'!$A:$K,11,0),0),"-"),"-")</f>
        <v>-</v>
      </c>
      <c r="I38" s="19"/>
      <c r="J38" s="9"/>
      <c r="K38" s="9"/>
    </row>
    <row r="39" customFormat="false" ht="18" hidden="false" customHeight="true" outlineLevel="0" collapsed="false">
      <c r="A39" s="14"/>
      <c r="B39" s="15"/>
      <c r="C39" s="16" t="str">
        <f aca="false">IFERROR(VLOOKUP(B39,Cadastro!$A$5:$B$54,2,0),"")</f>
        <v/>
      </c>
      <c r="D39" s="15"/>
      <c r="E39" s="17"/>
      <c r="F39" s="7"/>
      <c r="G39" s="7" t="str">
        <f aca="false">IF(AND($D39="E",E39&lt;&gt;"",F39&lt;&gt;""),E39*F39,"-")</f>
        <v>-</v>
      </c>
      <c r="H39" s="7" t="str">
        <f aca="false">IF($D39="S",IF(AND(B39&lt;&gt;"",E39&lt;&gt;""),E39*IFERROR(VLOOKUP(B39,'Saldo Atual'!$A:$K,11,0),0),"-"),"-")</f>
        <v>-</v>
      </c>
      <c r="I39" s="15"/>
      <c r="J39" s="5"/>
      <c r="K39" s="5"/>
    </row>
    <row r="40" customFormat="false" ht="18" hidden="false" customHeight="true" outlineLevel="0" collapsed="false">
      <c r="A40" s="18"/>
      <c r="B40" s="19"/>
      <c r="C40" s="20" t="str">
        <f aca="false">IFERROR(VLOOKUP(B40,Cadastro!$A$5:$B$54,2,0),"")</f>
        <v/>
      </c>
      <c r="D40" s="19"/>
      <c r="E40" s="21"/>
      <c r="F40" s="11"/>
      <c r="G40" s="11" t="str">
        <f aca="false">IF(AND($D40="E",E40&lt;&gt;"",F40&lt;&gt;""),E40*F40,"-")</f>
        <v>-</v>
      </c>
      <c r="H40" s="11" t="str">
        <f aca="false">IF($D40="S",IF(AND(B40&lt;&gt;"",E40&lt;&gt;""),E40*IFERROR(VLOOKUP(B40,'Saldo Atual'!$A:$K,11,0),0),"-"),"-")</f>
        <v>-</v>
      </c>
      <c r="I40" s="19"/>
      <c r="J40" s="9"/>
      <c r="K40" s="9"/>
    </row>
    <row r="41" customFormat="false" ht="18" hidden="false" customHeight="true" outlineLevel="0" collapsed="false">
      <c r="A41" s="14"/>
      <c r="B41" s="15"/>
      <c r="C41" s="16" t="str">
        <f aca="false">IFERROR(VLOOKUP(B41,Cadastro!$A$5:$B$54,2,0),"")</f>
        <v/>
      </c>
      <c r="D41" s="15"/>
      <c r="E41" s="17"/>
      <c r="F41" s="7"/>
      <c r="G41" s="7" t="str">
        <f aca="false">IF(AND($D41="E",E41&lt;&gt;"",F41&lt;&gt;""),E41*F41,"-")</f>
        <v>-</v>
      </c>
      <c r="H41" s="7" t="str">
        <f aca="false">IF($D41="S",IF(AND(B41&lt;&gt;"",E41&lt;&gt;""),E41*IFERROR(VLOOKUP(B41,'Saldo Atual'!$A:$K,11,0),0),"-"),"-")</f>
        <v>-</v>
      </c>
      <c r="I41" s="15"/>
      <c r="J41" s="5"/>
      <c r="K41" s="5"/>
    </row>
    <row r="42" customFormat="false" ht="18" hidden="false" customHeight="true" outlineLevel="0" collapsed="false">
      <c r="A42" s="18"/>
      <c r="B42" s="19"/>
      <c r="C42" s="20" t="str">
        <f aca="false">IFERROR(VLOOKUP(B42,Cadastro!$A$5:$B$54,2,0),"")</f>
        <v/>
      </c>
      <c r="D42" s="19"/>
      <c r="E42" s="21"/>
      <c r="F42" s="11"/>
      <c r="G42" s="11" t="str">
        <f aca="false">IF(AND($D42="E",E42&lt;&gt;"",F42&lt;&gt;""),E42*F42,"-")</f>
        <v>-</v>
      </c>
      <c r="H42" s="11" t="str">
        <f aca="false">IF($D42="S",IF(AND(B42&lt;&gt;"",E42&lt;&gt;""),E42*IFERROR(VLOOKUP(B42,'Saldo Atual'!$A:$K,11,0),0),"-"),"-")</f>
        <v>-</v>
      </c>
      <c r="I42" s="19"/>
      <c r="J42" s="9"/>
      <c r="K42" s="9"/>
    </row>
    <row r="43" customFormat="false" ht="18" hidden="false" customHeight="true" outlineLevel="0" collapsed="false">
      <c r="A43" s="14"/>
      <c r="B43" s="15"/>
      <c r="C43" s="16" t="str">
        <f aca="false">IFERROR(VLOOKUP(B43,Cadastro!$A$5:$B$54,2,0),"")</f>
        <v/>
      </c>
      <c r="D43" s="15"/>
      <c r="E43" s="17"/>
      <c r="F43" s="7"/>
      <c r="G43" s="7" t="str">
        <f aca="false">IF(AND($D43="E",E43&lt;&gt;"",F43&lt;&gt;""),E43*F43,"-")</f>
        <v>-</v>
      </c>
      <c r="H43" s="7" t="str">
        <f aca="false">IF($D43="S",IF(AND(B43&lt;&gt;"",E43&lt;&gt;""),E43*IFERROR(VLOOKUP(B43,'Saldo Atual'!$A:$K,11,0),0),"-"),"-")</f>
        <v>-</v>
      </c>
      <c r="I43" s="15"/>
      <c r="J43" s="5"/>
      <c r="K43" s="5"/>
    </row>
    <row r="44" customFormat="false" ht="18" hidden="false" customHeight="true" outlineLevel="0" collapsed="false">
      <c r="A44" s="18"/>
      <c r="B44" s="19"/>
      <c r="C44" s="20" t="str">
        <f aca="false">IFERROR(VLOOKUP(B44,Cadastro!$A$5:$B$54,2,0),"")</f>
        <v/>
      </c>
      <c r="D44" s="19"/>
      <c r="E44" s="21"/>
      <c r="F44" s="11"/>
      <c r="G44" s="11" t="str">
        <f aca="false">IF(AND($D44="E",E44&lt;&gt;"",F44&lt;&gt;""),E44*F44,"-")</f>
        <v>-</v>
      </c>
      <c r="H44" s="11" t="str">
        <f aca="false">IF($D44="S",IF(AND(B44&lt;&gt;"",E44&lt;&gt;""),E44*IFERROR(VLOOKUP(B44,'Saldo Atual'!$A:$K,11,0),0),"-"),"-")</f>
        <v>-</v>
      </c>
      <c r="I44" s="19"/>
      <c r="J44" s="9"/>
      <c r="K44" s="9"/>
    </row>
    <row r="45" customFormat="false" ht="18" hidden="false" customHeight="true" outlineLevel="0" collapsed="false">
      <c r="A45" s="14"/>
      <c r="B45" s="15"/>
      <c r="C45" s="16" t="str">
        <f aca="false">IFERROR(VLOOKUP(B45,Cadastro!$A$5:$B$54,2,0),"")</f>
        <v/>
      </c>
      <c r="D45" s="15"/>
      <c r="E45" s="17"/>
      <c r="F45" s="7"/>
      <c r="G45" s="7" t="str">
        <f aca="false">IF(AND($D45="E",E45&lt;&gt;"",F45&lt;&gt;""),E45*F45,"-")</f>
        <v>-</v>
      </c>
      <c r="H45" s="7" t="str">
        <f aca="false">IF($D45="S",IF(AND(B45&lt;&gt;"",E45&lt;&gt;""),E45*IFERROR(VLOOKUP(B45,'Saldo Atual'!$A:$K,11,0),0),"-"),"-")</f>
        <v>-</v>
      </c>
      <c r="I45" s="15"/>
      <c r="J45" s="5"/>
      <c r="K45" s="5"/>
    </row>
    <row r="46" customFormat="false" ht="18" hidden="false" customHeight="true" outlineLevel="0" collapsed="false">
      <c r="A46" s="18"/>
      <c r="B46" s="19"/>
      <c r="C46" s="20" t="str">
        <f aca="false">IFERROR(VLOOKUP(B46,Cadastro!$A$5:$B$54,2,0),"")</f>
        <v/>
      </c>
      <c r="D46" s="19"/>
      <c r="E46" s="21"/>
      <c r="F46" s="11"/>
      <c r="G46" s="11" t="str">
        <f aca="false">IF(AND($D46="E",E46&lt;&gt;"",F46&lt;&gt;""),E46*F46,"-")</f>
        <v>-</v>
      </c>
      <c r="H46" s="11" t="str">
        <f aca="false">IF($D46="S",IF(AND(B46&lt;&gt;"",E46&lt;&gt;""),E46*IFERROR(VLOOKUP(B46,'Saldo Atual'!$A:$K,11,0),0),"-"),"-")</f>
        <v>-</v>
      </c>
      <c r="I46" s="19"/>
      <c r="J46" s="9"/>
      <c r="K46" s="9"/>
    </row>
    <row r="47" customFormat="false" ht="18" hidden="false" customHeight="true" outlineLevel="0" collapsed="false">
      <c r="A47" s="14"/>
      <c r="B47" s="15"/>
      <c r="C47" s="16" t="str">
        <f aca="false">IFERROR(VLOOKUP(B47,Cadastro!$A$5:$B$54,2,0),"")</f>
        <v/>
      </c>
      <c r="D47" s="15"/>
      <c r="E47" s="17"/>
      <c r="F47" s="7"/>
      <c r="G47" s="7" t="str">
        <f aca="false">IF(AND($D47="E",E47&lt;&gt;"",F47&lt;&gt;""),E47*F47,"-")</f>
        <v>-</v>
      </c>
      <c r="H47" s="7" t="str">
        <f aca="false">IF($D47="S",IF(AND(B47&lt;&gt;"",E47&lt;&gt;""),E47*IFERROR(VLOOKUP(B47,'Saldo Atual'!$A:$K,11,0),0),"-"),"-")</f>
        <v>-</v>
      </c>
      <c r="I47" s="15"/>
      <c r="J47" s="5"/>
      <c r="K47" s="5"/>
    </row>
    <row r="48" customFormat="false" ht="18" hidden="false" customHeight="true" outlineLevel="0" collapsed="false">
      <c r="A48" s="18"/>
      <c r="B48" s="19"/>
      <c r="C48" s="20" t="str">
        <f aca="false">IFERROR(VLOOKUP(B48,Cadastro!$A$5:$B$54,2,0),"")</f>
        <v/>
      </c>
      <c r="D48" s="19"/>
      <c r="E48" s="21"/>
      <c r="F48" s="11"/>
      <c r="G48" s="11" t="str">
        <f aca="false">IF(AND($D48="E",E48&lt;&gt;"",F48&lt;&gt;""),E48*F48,"-")</f>
        <v>-</v>
      </c>
      <c r="H48" s="11" t="str">
        <f aca="false">IF($D48="S",IF(AND(B48&lt;&gt;"",E48&lt;&gt;""),E48*IFERROR(VLOOKUP(B48,'Saldo Atual'!$A:$K,11,0),0),"-"),"-")</f>
        <v>-</v>
      </c>
      <c r="I48" s="19"/>
      <c r="J48" s="9"/>
      <c r="K48" s="9"/>
    </row>
    <row r="49" customFormat="false" ht="18" hidden="false" customHeight="true" outlineLevel="0" collapsed="false">
      <c r="A49" s="14"/>
      <c r="B49" s="15"/>
      <c r="C49" s="16" t="str">
        <f aca="false">IFERROR(VLOOKUP(B49,Cadastro!$A$5:$B$54,2,0),"")</f>
        <v/>
      </c>
      <c r="D49" s="15"/>
      <c r="E49" s="17"/>
      <c r="F49" s="7"/>
      <c r="G49" s="7" t="str">
        <f aca="false">IF(AND($D49="E",E49&lt;&gt;"",F49&lt;&gt;""),E49*F49,"-")</f>
        <v>-</v>
      </c>
      <c r="H49" s="7" t="str">
        <f aca="false">IF($D49="S",IF(AND(B49&lt;&gt;"",E49&lt;&gt;""),E49*IFERROR(VLOOKUP(B49,'Saldo Atual'!$A:$K,11,0),0),"-"),"-")</f>
        <v>-</v>
      </c>
      <c r="I49" s="15"/>
      <c r="J49" s="5"/>
      <c r="K49" s="5"/>
    </row>
    <row r="50" customFormat="false" ht="18" hidden="false" customHeight="true" outlineLevel="0" collapsed="false">
      <c r="A50" s="18"/>
      <c r="B50" s="19"/>
      <c r="C50" s="20" t="str">
        <f aca="false">IFERROR(VLOOKUP(B50,Cadastro!$A$5:$B$54,2,0),"")</f>
        <v/>
      </c>
      <c r="D50" s="19"/>
      <c r="E50" s="21"/>
      <c r="F50" s="11"/>
      <c r="G50" s="11" t="str">
        <f aca="false">IF(AND($D50="E",E50&lt;&gt;"",F50&lt;&gt;""),E50*F50,"-")</f>
        <v>-</v>
      </c>
      <c r="H50" s="11" t="str">
        <f aca="false">IF($D50="S",IF(AND(B50&lt;&gt;"",E50&lt;&gt;""),E50*IFERROR(VLOOKUP(B50,'Saldo Atual'!$A:$K,11,0),0),"-"),"-")</f>
        <v>-</v>
      </c>
      <c r="I50" s="19"/>
      <c r="J50" s="9"/>
      <c r="K50" s="9"/>
    </row>
    <row r="51" customFormat="false" ht="18" hidden="false" customHeight="true" outlineLevel="0" collapsed="false">
      <c r="A51" s="14"/>
      <c r="B51" s="15"/>
      <c r="C51" s="16" t="str">
        <f aca="false">IFERROR(VLOOKUP(B51,Cadastro!$A$5:$B$54,2,0),"")</f>
        <v/>
      </c>
      <c r="D51" s="15"/>
      <c r="E51" s="17"/>
      <c r="F51" s="7"/>
      <c r="G51" s="7" t="str">
        <f aca="false">IF(AND($D51="E",E51&lt;&gt;"",F51&lt;&gt;""),E51*F51,"-")</f>
        <v>-</v>
      </c>
      <c r="H51" s="7" t="str">
        <f aca="false">IF($D51="S",IF(AND(B51&lt;&gt;"",E51&lt;&gt;""),E51*IFERROR(VLOOKUP(B51,'Saldo Atual'!$A:$K,11,0),0),"-"),"-")</f>
        <v>-</v>
      </c>
      <c r="I51" s="15"/>
      <c r="J51" s="5"/>
      <c r="K51" s="5"/>
    </row>
    <row r="52" customFormat="false" ht="18" hidden="false" customHeight="true" outlineLevel="0" collapsed="false">
      <c r="A52" s="18"/>
      <c r="B52" s="19"/>
      <c r="C52" s="20" t="str">
        <f aca="false">IFERROR(VLOOKUP(B52,Cadastro!$A$5:$B$54,2,0),"")</f>
        <v/>
      </c>
      <c r="D52" s="19"/>
      <c r="E52" s="21"/>
      <c r="F52" s="11"/>
      <c r="G52" s="11" t="str">
        <f aca="false">IF(AND($D52="E",E52&lt;&gt;"",F52&lt;&gt;""),E52*F52,"-")</f>
        <v>-</v>
      </c>
      <c r="H52" s="11" t="str">
        <f aca="false">IF($D52="S",IF(AND(B52&lt;&gt;"",E52&lt;&gt;""),E52*IFERROR(VLOOKUP(B52,'Saldo Atual'!$A:$K,11,0),0),"-"),"-")</f>
        <v>-</v>
      </c>
      <c r="I52" s="19"/>
      <c r="J52" s="9"/>
      <c r="K52" s="9"/>
    </row>
    <row r="53" customFormat="false" ht="18" hidden="false" customHeight="true" outlineLevel="0" collapsed="false">
      <c r="A53" s="14"/>
      <c r="B53" s="15"/>
      <c r="C53" s="16" t="str">
        <f aca="false">IFERROR(VLOOKUP(B53,Cadastro!$A$5:$B$54,2,0),"")</f>
        <v/>
      </c>
      <c r="D53" s="15"/>
      <c r="E53" s="17"/>
      <c r="F53" s="7"/>
      <c r="G53" s="7" t="str">
        <f aca="false">IF(AND($D53="E",E53&lt;&gt;"",F53&lt;&gt;""),E53*F53,"-")</f>
        <v>-</v>
      </c>
      <c r="H53" s="7" t="str">
        <f aca="false">IF($D53="S",IF(AND(B53&lt;&gt;"",E53&lt;&gt;""),E53*IFERROR(VLOOKUP(B53,'Saldo Atual'!$A:$K,11,0),0),"-"),"-")</f>
        <v>-</v>
      </c>
      <c r="I53" s="15"/>
      <c r="J53" s="5"/>
      <c r="K53" s="5"/>
    </row>
    <row r="54" customFormat="false" ht="18" hidden="false" customHeight="true" outlineLevel="0" collapsed="false">
      <c r="A54" s="18"/>
      <c r="B54" s="19"/>
      <c r="C54" s="20" t="str">
        <f aca="false">IFERROR(VLOOKUP(B54,Cadastro!$A$5:$B$54,2,0),"")</f>
        <v/>
      </c>
      <c r="D54" s="19"/>
      <c r="E54" s="21"/>
      <c r="F54" s="11"/>
      <c r="G54" s="11" t="str">
        <f aca="false">IF(AND($D54="E",E54&lt;&gt;"",F54&lt;&gt;""),E54*F54,"-")</f>
        <v>-</v>
      </c>
      <c r="H54" s="11" t="str">
        <f aca="false">IF($D54="S",IF(AND(B54&lt;&gt;"",E54&lt;&gt;""),E54*IFERROR(VLOOKUP(B54,'Saldo Atual'!$A:$K,11,0),0),"-"),"-")</f>
        <v>-</v>
      </c>
      <c r="I54" s="19"/>
      <c r="J54" s="9"/>
      <c r="K54" s="9"/>
    </row>
    <row r="55" customFormat="false" ht="18" hidden="false" customHeight="true" outlineLevel="0" collapsed="false">
      <c r="A55" s="14"/>
      <c r="B55" s="15"/>
      <c r="C55" s="16" t="str">
        <f aca="false">IFERROR(VLOOKUP(B55,Cadastro!$A$5:$B$54,2,0),"")</f>
        <v/>
      </c>
      <c r="D55" s="15"/>
      <c r="E55" s="17"/>
      <c r="F55" s="7"/>
      <c r="G55" s="7" t="str">
        <f aca="false">IF(AND($D55="E",E55&lt;&gt;"",F55&lt;&gt;""),E55*F55,"-")</f>
        <v>-</v>
      </c>
      <c r="H55" s="7" t="str">
        <f aca="false">IF($D55="S",IF(AND(B55&lt;&gt;"",E55&lt;&gt;""),E55*IFERROR(VLOOKUP(B55,'Saldo Atual'!$A:$K,11,0),0),"-"),"-")</f>
        <v>-</v>
      </c>
      <c r="I55" s="15"/>
      <c r="J55" s="5"/>
      <c r="K55" s="5"/>
    </row>
    <row r="56" customFormat="false" ht="18" hidden="false" customHeight="true" outlineLevel="0" collapsed="false">
      <c r="A56" s="18"/>
      <c r="B56" s="19"/>
      <c r="C56" s="20" t="str">
        <f aca="false">IFERROR(VLOOKUP(B56,Cadastro!$A$5:$B$54,2,0),"")</f>
        <v/>
      </c>
      <c r="D56" s="19"/>
      <c r="E56" s="21"/>
      <c r="F56" s="11"/>
      <c r="G56" s="11" t="str">
        <f aca="false">IF(AND($D56="E",E56&lt;&gt;"",F56&lt;&gt;""),E56*F56,"-")</f>
        <v>-</v>
      </c>
      <c r="H56" s="11" t="str">
        <f aca="false">IF($D56="S",IF(AND(B56&lt;&gt;"",E56&lt;&gt;""),E56*IFERROR(VLOOKUP(B56,'Saldo Atual'!$A:$K,11,0),0),"-"),"-")</f>
        <v>-</v>
      </c>
      <c r="I56" s="19"/>
      <c r="J56" s="9"/>
      <c r="K56" s="9"/>
    </row>
    <row r="57" customFormat="false" ht="18" hidden="false" customHeight="true" outlineLevel="0" collapsed="false">
      <c r="A57" s="14"/>
      <c r="B57" s="15"/>
      <c r="C57" s="16" t="str">
        <f aca="false">IFERROR(VLOOKUP(B57,Cadastro!$A$5:$B$54,2,0),"")</f>
        <v/>
      </c>
      <c r="D57" s="15"/>
      <c r="E57" s="17"/>
      <c r="F57" s="7"/>
      <c r="G57" s="7" t="str">
        <f aca="false">IF(AND($D57="E",E57&lt;&gt;"",F57&lt;&gt;""),E57*F57,"-")</f>
        <v>-</v>
      </c>
      <c r="H57" s="7" t="str">
        <f aca="false">IF($D57="S",IF(AND(B57&lt;&gt;"",E57&lt;&gt;""),E57*IFERROR(VLOOKUP(B57,'Saldo Atual'!$A:$K,11,0),0),"-"),"-")</f>
        <v>-</v>
      </c>
      <c r="I57" s="15"/>
      <c r="J57" s="5"/>
      <c r="K57" s="5"/>
    </row>
    <row r="58" customFormat="false" ht="18" hidden="false" customHeight="true" outlineLevel="0" collapsed="false">
      <c r="A58" s="18"/>
      <c r="B58" s="19"/>
      <c r="C58" s="20" t="str">
        <f aca="false">IFERROR(VLOOKUP(B58,Cadastro!$A$5:$B$54,2,0),"")</f>
        <v/>
      </c>
      <c r="D58" s="19"/>
      <c r="E58" s="21"/>
      <c r="F58" s="11"/>
      <c r="G58" s="11" t="str">
        <f aca="false">IF(AND($D58="E",E58&lt;&gt;"",F58&lt;&gt;""),E58*F58,"-")</f>
        <v>-</v>
      </c>
      <c r="H58" s="11" t="str">
        <f aca="false">IF($D58="S",IF(AND(B58&lt;&gt;"",E58&lt;&gt;""),E58*IFERROR(VLOOKUP(B58,'Saldo Atual'!$A:$K,11,0),0),"-"),"-")</f>
        <v>-</v>
      </c>
      <c r="I58" s="19"/>
      <c r="J58" s="9"/>
      <c r="K58" s="9"/>
    </row>
    <row r="59" customFormat="false" ht="18" hidden="false" customHeight="true" outlineLevel="0" collapsed="false">
      <c r="A59" s="14"/>
      <c r="B59" s="15"/>
      <c r="C59" s="16" t="str">
        <f aca="false">IFERROR(VLOOKUP(B59,Cadastro!$A$5:$B$54,2,0),"")</f>
        <v/>
      </c>
      <c r="D59" s="15"/>
      <c r="E59" s="17"/>
      <c r="F59" s="7"/>
      <c r="G59" s="7" t="str">
        <f aca="false">IF(AND($D59="E",E59&lt;&gt;"",F59&lt;&gt;""),E59*F59,"-")</f>
        <v>-</v>
      </c>
      <c r="H59" s="7" t="str">
        <f aca="false">IF($D59="S",IF(AND(B59&lt;&gt;"",E59&lt;&gt;""),E59*IFERROR(VLOOKUP(B59,'Saldo Atual'!$A:$K,11,0),0),"-"),"-")</f>
        <v>-</v>
      </c>
      <c r="I59" s="15"/>
      <c r="J59" s="5"/>
      <c r="K59" s="5"/>
    </row>
    <row r="60" customFormat="false" ht="18" hidden="false" customHeight="true" outlineLevel="0" collapsed="false">
      <c r="A60" s="18"/>
      <c r="B60" s="19"/>
      <c r="C60" s="20" t="str">
        <f aca="false">IFERROR(VLOOKUP(B60,Cadastro!$A$5:$B$54,2,0),"")</f>
        <v/>
      </c>
      <c r="D60" s="19"/>
      <c r="E60" s="21"/>
      <c r="F60" s="11"/>
      <c r="G60" s="11" t="str">
        <f aca="false">IF(AND($D60="E",E60&lt;&gt;"",F60&lt;&gt;""),E60*F60,"-")</f>
        <v>-</v>
      </c>
      <c r="H60" s="11" t="str">
        <f aca="false">IF($D60="S",IF(AND(B60&lt;&gt;"",E60&lt;&gt;""),E60*IFERROR(VLOOKUP(B60,'Saldo Atual'!$A:$K,11,0),0),"-"),"-")</f>
        <v>-</v>
      </c>
      <c r="I60" s="19"/>
      <c r="J60" s="9"/>
      <c r="K60" s="9"/>
    </row>
    <row r="61" customFormat="false" ht="18" hidden="false" customHeight="true" outlineLevel="0" collapsed="false">
      <c r="A61" s="14"/>
      <c r="B61" s="15"/>
      <c r="C61" s="16" t="str">
        <f aca="false">IFERROR(VLOOKUP(B61,Cadastro!$A$5:$B$54,2,0),"")</f>
        <v/>
      </c>
      <c r="D61" s="15"/>
      <c r="E61" s="17"/>
      <c r="F61" s="7"/>
      <c r="G61" s="7" t="str">
        <f aca="false">IF(AND($D61="E",E61&lt;&gt;"",F61&lt;&gt;""),E61*F61,"-")</f>
        <v>-</v>
      </c>
      <c r="H61" s="7" t="str">
        <f aca="false">IF($D61="S",IF(AND(B61&lt;&gt;"",E61&lt;&gt;""),E61*IFERROR(VLOOKUP(B61,'Saldo Atual'!$A:$K,11,0),0),"-"),"-")</f>
        <v>-</v>
      </c>
      <c r="I61" s="15"/>
      <c r="J61" s="5"/>
      <c r="K61" s="5"/>
    </row>
    <row r="62" customFormat="false" ht="18" hidden="false" customHeight="true" outlineLevel="0" collapsed="false">
      <c r="A62" s="18"/>
      <c r="B62" s="19"/>
      <c r="C62" s="20" t="str">
        <f aca="false">IFERROR(VLOOKUP(B62,Cadastro!$A$5:$B$54,2,0),"")</f>
        <v/>
      </c>
      <c r="D62" s="19"/>
      <c r="E62" s="21"/>
      <c r="F62" s="11"/>
      <c r="G62" s="11" t="str">
        <f aca="false">IF(AND($D62="E",E62&lt;&gt;"",F62&lt;&gt;""),E62*F62,"-")</f>
        <v>-</v>
      </c>
      <c r="H62" s="11" t="str">
        <f aca="false">IF($D62="S",IF(AND(B62&lt;&gt;"",E62&lt;&gt;""),E62*IFERROR(VLOOKUP(B62,'Saldo Atual'!$A:$K,11,0),0),"-"),"-")</f>
        <v>-</v>
      </c>
      <c r="I62" s="19"/>
      <c r="J62" s="9"/>
      <c r="K62" s="9"/>
    </row>
    <row r="63" customFormat="false" ht="18" hidden="false" customHeight="true" outlineLevel="0" collapsed="false">
      <c r="A63" s="14"/>
      <c r="B63" s="15"/>
      <c r="C63" s="16" t="str">
        <f aca="false">IFERROR(VLOOKUP(B63,Cadastro!$A$5:$B$54,2,0),"")</f>
        <v/>
      </c>
      <c r="D63" s="15"/>
      <c r="E63" s="17"/>
      <c r="F63" s="7"/>
      <c r="G63" s="7" t="str">
        <f aca="false">IF(AND($D63="E",E63&lt;&gt;"",F63&lt;&gt;""),E63*F63,"-")</f>
        <v>-</v>
      </c>
      <c r="H63" s="7" t="str">
        <f aca="false">IF($D63="S",IF(AND(B63&lt;&gt;"",E63&lt;&gt;""),E63*IFERROR(VLOOKUP(B63,'Saldo Atual'!$A:$K,11,0),0),"-"),"-")</f>
        <v>-</v>
      </c>
      <c r="I63" s="15"/>
      <c r="J63" s="5"/>
      <c r="K63" s="5"/>
    </row>
    <row r="64" customFormat="false" ht="18" hidden="false" customHeight="true" outlineLevel="0" collapsed="false">
      <c r="A64" s="18"/>
      <c r="B64" s="19"/>
      <c r="C64" s="20" t="str">
        <f aca="false">IFERROR(VLOOKUP(B64,Cadastro!$A$5:$B$54,2,0),"")</f>
        <v/>
      </c>
      <c r="D64" s="19"/>
      <c r="E64" s="21"/>
      <c r="F64" s="11"/>
      <c r="G64" s="11" t="str">
        <f aca="false">IF(AND($D64="E",E64&lt;&gt;"",F64&lt;&gt;""),E64*F64,"-")</f>
        <v>-</v>
      </c>
      <c r="H64" s="11" t="str">
        <f aca="false">IF($D64="S",IF(AND(B64&lt;&gt;"",E64&lt;&gt;""),E64*IFERROR(VLOOKUP(B64,'Saldo Atual'!$A:$K,11,0),0),"-"),"-")</f>
        <v>-</v>
      </c>
      <c r="I64" s="19"/>
      <c r="J64" s="9"/>
      <c r="K64" s="9"/>
    </row>
    <row r="65" customFormat="false" ht="18" hidden="false" customHeight="true" outlineLevel="0" collapsed="false">
      <c r="A65" s="14"/>
      <c r="B65" s="15"/>
      <c r="C65" s="16" t="str">
        <f aca="false">IFERROR(VLOOKUP(B65,Cadastro!$A$5:$B$54,2,0),"")</f>
        <v/>
      </c>
      <c r="D65" s="15"/>
      <c r="E65" s="17"/>
      <c r="F65" s="7"/>
      <c r="G65" s="7" t="str">
        <f aca="false">IF(AND($D65="E",E65&lt;&gt;"",F65&lt;&gt;""),E65*F65,"-")</f>
        <v>-</v>
      </c>
      <c r="H65" s="7" t="str">
        <f aca="false">IF($D65="S",IF(AND(B65&lt;&gt;"",E65&lt;&gt;""),E65*IFERROR(VLOOKUP(B65,'Saldo Atual'!$A:$K,11,0),0),"-"),"-")</f>
        <v>-</v>
      </c>
      <c r="I65" s="15"/>
      <c r="J65" s="5"/>
      <c r="K65" s="5"/>
    </row>
    <row r="66" customFormat="false" ht="18" hidden="false" customHeight="true" outlineLevel="0" collapsed="false">
      <c r="A66" s="18"/>
      <c r="B66" s="19"/>
      <c r="C66" s="20" t="str">
        <f aca="false">IFERROR(VLOOKUP(B66,Cadastro!$A$5:$B$54,2,0),"")</f>
        <v/>
      </c>
      <c r="D66" s="19"/>
      <c r="E66" s="21"/>
      <c r="F66" s="11"/>
      <c r="G66" s="11" t="str">
        <f aca="false">IF(AND($D66="E",E66&lt;&gt;"",F66&lt;&gt;""),E66*F66,"-")</f>
        <v>-</v>
      </c>
      <c r="H66" s="11" t="str">
        <f aca="false">IF($D66="S",IF(AND(B66&lt;&gt;"",E66&lt;&gt;""),E66*IFERROR(VLOOKUP(B66,'Saldo Atual'!$A:$K,11,0),0),"-"),"-")</f>
        <v>-</v>
      </c>
      <c r="I66" s="19"/>
      <c r="J66" s="9"/>
      <c r="K66" s="9"/>
    </row>
    <row r="67" customFormat="false" ht="18" hidden="false" customHeight="true" outlineLevel="0" collapsed="false">
      <c r="A67" s="14"/>
      <c r="B67" s="15"/>
      <c r="C67" s="16" t="str">
        <f aca="false">IFERROR(VLOOKUP(B67,Cadastro!$A$5:$B$54,2,0),"")</f>
        <v/>
      </c>
      <c r="D67" s="15"/>
      <c r="E67" s="17"/>
      <c r="F67" s="7"/>
      <c r="G67" s="7" t="str">
        <f aca="false">IF(AND($D67="E",E67&lt;&gt;"",F67&lt;&gt;""),E67*F67,"-")</f>
        <v>-</v>
      </c>
      <c r="H67" s="7" t="str">
        <f aca="false">IF($D67="S",IF(AND(B67&lt;&gt;"",E67&lt;&gt;""),E67*IFERROR(VLOOKUP(B67,'Saldo Atual'!$A:$K,11,0),0),"-"),"-")</f>
        <v>-</v>
      </c>
      <c r="I67" s="15"/>
      <c r="J67" s="5"/>
      <c r="K67" s="5"/>
    </row>
    <row r="68" customFormat="false" ht="18" hidden="false" customHeight="true" outlineLevel="0" collapsed="false">
      <c r="A68" s="18"/>
      <c r="B68" s="19"/>
      <c r="C68" s="20" t="str">
        <f aca="false">IFERROR(VLOOKUP(B68,Cadastro!$A$5:$B$54,2,0),"")</f>
        <v/>
      </c>
      <c r="D68" s="19"/>
      <c r="E68" s="21"/>
      <c r="F68" s="11"/>
      <c r="G68" s="11" t="str">
        <f aca="false">IF(AND($D68="E",E68&lt;&gt;"",F68&lt;&gt;""),E68*F68,"-")</f>
        <v>-</v>
      </c>
      <c r="H68" s="11" t="str">
        <f aca="false">IF($D68="S",IF(AND(B68&lt;&gt;"",E68&lt;&gt;""),E68*IFERROR(VLOOKUP(B68,'Saldo Atual'!$A:$K,11,0),0),"-"),"-")</f>
        <v>-</v>
      </c>
      <c r="I68" s="19"/>
      <c r="J68" s="9"/>
      <c r="K68" s="9"/>
    </row>
    <row r="69" customFormat="false" ht="18" hidden="false" customHeight="true" outlineLevel="0" collapsed="false">
      <c r="A69" s="14"/>
      <c r="B69" s="15"/>
      <c r="C69" s="16" t="str">
        <f aca="false">IFERROR(VLOOKUP(B69,Cadastro!$A$5:$B$54,2,0),"")</f>
        <v/>
      </c>
      <c r="D69" s="15"/>
      <c r="E69" s="17"/>
      <c r="F69" s="7"/>
      <c r="G69" s="7" t="str">
        <f aca="false">IF(AND($D69="E",E69&lt;&gt;"",F69&lt;&gt;""),E69*F69,"-")</f>
        <v>-</v>
      </c>
      <c r="H69" s="7" t="str">
        <f aca="false">IF($D69="S",IF(AND(B69&lt;&gt;"",E69&lt;&gt;""),E69*IFERROR(VLOOKUP(B69,'Saldo Atual'!$A:$K,11,0),0),"-"),"-")</f>
        <v>-</v>
      </c>
      <c r="I69" s="15"/>
      <c r="J69" s="5"/>
      <c r="K69" s="5"/>
    </row>
    <row r="70" customFormat="false" ht="18" hidden="false" customHeight="true" outlineLevel="0" collapsed="false">
      <c r="A70" s="18"/>
      <c r="B70" s="19"/>
      <c r="C70" s="20" t="str">
        <f aca="false">IFERROR(VLOOKUP(B70,Cadastro!$A$5:$B$54,2,0),"")</f>
        <v/>
      </c>
      <c r="D70" s="19"/>
      <c r="E70" s="21"/>
      <c r="F70" s="11"/>
      <c r="G70" s="11" t="str">
        <f aca="false">IF(AND($D70="E",E70&lt;&gt;"",F70&lt;&gt;""),E70*F70,"-")</f>
        <v>-</v>
      </c>
      <c r="H70" s="11" t="str">
        <f aca="false">IF($D70="S",IF(AND(B70&lt;&gt;"",E70&lt;&gt;""),E70*IFERROR(VLOOKUP(B70,'Saldo Atual'!$A:$K,11,0),0),"-"),"-")</f>
        <v>-</v>
      </c>
      <c r="I70" s="19"/>
      <c r="J70" s="9"/>
      <c r="K70" s="9"/>
    </row>
    <row r="71" customFormat="false" ht="18" hidden="false" customHeight="true" outlineLevel="0" collapsed="false">
      <c r="A71" s="14"/>
      <c r="B71" s="15"/>
      <c r="C71" s="16" t="str">
        <f aca="false">IFERROR(VLOOKUP(B71,Cadastro!$A$5:$B$54,2,0),"")</f>
        <v/>
      </c>
      <c r="D71" s="15"/>
      <c r="E71" s="17"/>
      <c r="F71" s="7"/>
      <c r="G71" s="7" t="str">
        <f aca="false">IF(AND($D71="E",E71&lt;&gt;"",F71&lt;&gt;""),E71*F71,"-")</f>
        <v>-</v>
      </c>
      <c r="H71" s="7" t="str">
        <f aca="false">IF($D71="S",IF(AND(B71&lt;&gt;"",E71&lt;&gt;""),E71*IFERROR(VLOOKUP(B71,'Saldo Atual'!$A:$K,11,0),0),"-"),"-")</f>
        <v>-</v>
      </c>
      <c r="I71" s="15"/>
      <c r="J71" s="5"/>
      <c r="K71" s="5"/>
    </row>
    <row r="72" customFormat="false" ht="18" hidden="false" customHeight="true" outlineLevel="0" collapsed="false">
      <c r="A72" s="18"/>
      <c r="B72" s="19"/>
      <c r="C72" s="20" t="str">
        <f aca="false">IFERROR(VLOOKUP(B72,Cadastro!$A$5:$B$54,2,0),"")</f>
        <v/>
      </c>
      <c r="D72" s="19"/>
      <c r="E72" s="21"/>
      <c r="F72" s="11"/>
      <c r="G72" s="11" t="str">
        <f aca="false">IF(AND($D72="E",E72&lt;&gt;"",F72&lt;&gt;""),E72*F72,"-")</f>
        <v>-</v>
      </c>
      <c r="H72" s="11" t="str">
        <f aca="false">IF($D72="S",IF(AND(B72&lt;&gt;"",E72&lt;&gt;""),E72*IFERROR(VLOOKUP(B72,'Saldo Atual'!$A:$K,11,0),0),"-"),"-")</f>
        <v>-</v>
      </c>
      <c r="I72" s="19"/>
      <c r="J72" s="9"/>
      <c r="K72" s="9"/>
    </row>
    <row r="73" customFormat="false" ht="18" hidden="false" customHeight="true" outlineLevel="0" collapsed="false">
      <c r="A73" s="14"/>
      <c r="B73" s="15"/>
      <c r="C73" s="16" t="str">
        <f aca="false">IFERROR(VLOOKUP(B73,Cadastro!$A$5:$B$54,2,0),"")</f>
        <v/>
      </c>
      <c r="D73" s="15"/>
      <c r="E73" s="17"/>
      <c r="F73" s="7"/>
      <c r="G73" s="7" t="str">
        <f aca="false">IF(AND($D73="E",E73&lt;&gt;"",F73&lt;&gt;""),E73*F73,"-")</f>
        <v>-</v>
      </c>
      <c r="H73" s="7" t="str">
        <f aca="false">IF($D73="S",IF(AND(B73&lt;&gt;"",E73&lt;&gt;""),E73*IFERROR(VLOOKUP(B73,'Saldo Atual'!$A:$K,11,0),0),"-"),"-")</f>
        <v>-</v>
      </c>
      <c r="I73" s="15"/>
      <c r="J73" s="5"/>
      <c r="K73" s="5"/>
    </row>
    <row r="74" customFormat="false" ht="18" hidden="false" customHeight="true" outlineLevel="0" collapsed="false">
      <c r="A74" s="18"/>
      <c r="B74" s="19"/>
      <c r="C74" s="20" t="str">
        <f aca="false">IFERROR(VLOOKUP(B74,Cadastro!$A$5:$B$54,2,0),"")</f>
        <v/>
      </c>
      <c r="D74" s="19"/>
      <c r="E74" s="21"/>
      <c r="F74" s="11"/>
      <c r="G74" s="11" t="str">
        <f aca="false">IF(AND($D74="E",E74&lt;&gt;"",F74&lt;&gt;""),E74*F74,"-")</f>
        <v>-</v>
      </c>
      <c r="H74" s="11" t="str">
        <f aca="false">IF($D74="S",IF(AND(B74&lt;&gt;"",E74&lt;&gt;""),E74*IFERROR(VLOOKUP(B74,'Saldo Atual'!$A:$K,11,0),0),"-"),"-")</f>
        <v>-</v>
      </c>
      <c r="I74" s="19"/>
      <c r="J74" s="9"/>
      <c r="K74" s="9"/>
    </row>
    <row r="75" customFormat="false" ht="18" hidden="false" customHeight="true" outlineLevel="0" collapsed="false">
      <c r="A75" s="14"/>
      <c r="B75" s="15"/>
      <c r="C75" s="16" t="str">
        <f aca="false">IFERROR(VLOOKUP(B75,Cadastro!$A$5:$B$54,2,0),"")</f>
        <v/>
      </c>
      <c r="D75" s="15"/>
      <c r="E75" s="17"/>
      <c r="F75" s="7"/>
      <c r="G75" s="7" t="str">
        <f aca="false">IF(AND($D75="E",E75&lt;&gt;"",F75&lt;&gt;""),E75*F75,"-")</f>
        <v>-</v>
      </c>
      <c r="H75" s="7" t="str">
        <f aca="false">IF($D75="S",IF(AND(B75&lt;&gt;"",E75&lt;&gt;""),E75*IFERROR(VLOOKUP(B75,'Saldo Atual'!$A:$K,11,0),0),"-"),"-")</f>
        <v>-</v>
      </c>
      <c r="I75" s="15"/>
      <c r="J75" s="5"/>
      <c r="K75" s="5"/>
    </row>
    <row r="76" customFormat="false" ht="18" hidden="false" customHeight="true" outlineLevel="0" collapsed="false">
      <c r="A76" s="18"/>
      <c r="B76" s="19"/>
      <c r="C76" s="20" t="str">
        <f aca="false">IFERROR(VLOOKUP(B76,Cadastro!$A$5:$B$54,2,0),"")</f>
        <v/>
      </c>
      <c r="D76" s="19"/>
      <c r="E76" s="21"/>
      <c r="F76" s="11"/>
      <c r="G76" s="11" t="str">
        <f aca="false">IF(AND($D76="E",E76&lt;&gt;"",F76&lt;&gt;""),E76*F76,"-")</f>
        <v>-</v>
      </c>
      <c r="H76" s="11" t="str">
        <f aca="false">IF($D76="S",IF(AND(B76&lt;&gt;"",E76&lt;&gt;""),E76*IFERROR(VLOOKUP(B76,'Saldo Atual'!$A:$K,11,0),0),"-"),"-")</f>
        <v>-</v>
      </c>
      <c r="I76" s="19"/>
      <c r="J76" s="9"/>
      <c r="K76" s="9"/>
    </row>
    <row r="77" customFormat="false" ht="18" hidden="false" customHeight="true" outlineLevel="0" collapsed="false">
      <c r="A77" s="14"/>
      <c r="B77" s="15"/>
      <c r="C77" s="16" t="str">
        <f aca="false">IFERROR(VLOOKUP(B77,Cadastro!$A$5:$B$54,2,0),"")</f>
        <v/>
      </c>
      <c r="D77" s="15"/>
      <c r="E77" s="17"/>
      <c r="F77" s="7"/>
      <c r="G77" s="7" t="str">
        <f aca="false">IF(AND($D77="E",E77&lt;&gt;"",F77&lt;&gt;""),E77*F77,"-")</f>
        <v>-</v>
      </c>
      <c r="H77" s="7" t="str">
        <f aca="false">IF($D77="S",IF(AND(B77&lt;&gt;"",E77&lt;&gt;""),E77*IFERROR(VLOOKUP(B77,'Saldo Atual'!$A:$K,11,0),0),"-"),"-")</f>
        <v>-</v>
      </c>
      <c r="I77" s="15"/>
      <c r="J77" s="5"/>
      <c r="K77" s="5"/>
    </row>
    <row r="78" customFormat="false" ht="18" hidden="false" customHeight="true" outlineLevel="0" collapsed="false">
      <c r="A78" s="18"/>
      <c r="B78" s="19"/>
      <c r="C78" s="20" t="str">
        <f aca="false">IFERROR(VLOOKUP(B78,Cadastro!$A$5:$B$54,2,0),"")</f>
        <v/>
      </c>
      <c r="D78" s="19"/>
      <c r="E78" s="21"/>
      <c r="F78" s="11"/>
      <c r="G78" s="11" t="str">
        <f aca="false">IF(AND($D78="E",E78&lt;&gt;"",F78&lt;&gt;""),E78*F78,"-")</f>
        <v>-</v>
      </c>
      <c r="H78" s="11" t="str">
        <f aca="false">IF($D78="S",IF(AND(B78&lt;&gt;"",E78&lt;&gt;""),E78*IFERROR(VLOOKUP(B78,'Saldo Atual'!$A:$K,11,0),0),"-"),"-")</f>
        <v>-</v>
      </c>
      <c r="I78" s="19"/>
      <c r="J78" s="9"/>
      <c r="K78" s="9"/>
    </row>
    <row r="79" customFormat="false" ht="18" hidden="false" customHeight="true" outlineLevel="0" collapsed="false">
      <c r="A79" s="14"/>
      <c r="B79" s="15"/>
      <c r="C79" s="16" t="str">
        <f aca="false">IFERROR(VLOOKUP(B79,Cadastro!$A$5:$B$54,2,0),"")</f>
        <v/>
      </c>
      <c r="D79" s="15"/>
      <c r="E79" s="17"/>
      <c r="F79" s="7"/>
      <c r="G79" s="7" t="str">
        <f aca="false">IF(AND($D79="E",E79&lt;&gt;"",F79&lt;&gt;""),E79*F79,"-")</f>
        <v>-</v>
      </c>
      <c r="H79" s="7" t="str">
        <f aca="false">IF($D79="S",IF(AND(B79&lt;&gt;"",E79&lt;&gt;""),E79*IFERROR(VLOOKUP(B79,'Saldo Atual'!$A:$K,11,0),0),"-"),"-")</f>
        <v>-</v>
      </c>
      <c r="I79" s="15"/>
      <c r="J79" s="5"/>
      <c r="K79" s="5"/>
    </row>
    <row r="80" customFormat="false" ht="18" hidden="false" customHeight="true" outlineLevel="0" collapsed="false">
      <c r="A80" s="18"/>
      <c r="B80" s="19"/>
      <c r="C80" s="20" t="str">
        <f aca="false">IFERROR(VLOOKUP(B80,Cadastro!$A$5:$B$54,2,0),"")</f>
        <v/>
      </c>
      <c r="D80" s="19"/>
      <c r="E80" s="21"/>
      <c r="F80" s="11"/>
      <c r="G80" s="11" t="str">
        <f aca="false">IF(AND($D80="E",E80&lt;&gt;"",F80&lt;&gt;""),E80*F80,"-")</f>
        <v>-</v>
      </c>
      <c r="H80" s="11" t="str">
        <f aca="false">IF($D80="S",IF(AND(B80&lt;&gt;"",E80&lt;&gt;""),E80*IFERROR(VLOOKUP(B80,'Saldo Atual'!$A:$K,11,0),0),"-"),"-")</f>
        <v>-</v>
      </c>
      <c r="I80" s="19"/>
      <c r="J80" s="9"/>
      <c r="K80" s="9"/>
    </row>
    <row r="81" customFormat="false" ht="18" hidden="false" customHeight="true" outlineLevel="0" collapsed="false">
      <c r="A81" s="14"/>
      <c r="B81" s="15"/>
      <c r="C81" s="16" t="str">
        <f aca="false">IFERROR(VLOOKUP(B81,Cadastro!$A$5:$B$54,2,0),"")</f>
        <v/>
      </c>
      <c r="D81" s="15"/>
      <c r="E81" s="17"/>
      <c r="F81" s="7"/>
      <c r="G81" s="7" t="str">
        <f aca="false">IF(AND($D81="E",E81&lt;&gt;"",F81&lt;&gt;""),E81*F81,"-")</f>
        <v>-</v>
      </c>
      <c r="H81" s="7" t="str">
        <f aca="false">IF($D81="S",IF(AND(B81&lt;&gt;"",E81&lt;&gt;""),E81*IFERROR(VLOOKUP(B81,'Saldo Atual'!$A:$K,11,0),0),"-"),"-")</f>
        <v>-</v>
      </c>
      <c r="I81" s="15"/>
      <c r="J81" s="5"/>
      <c r="K81" s="5"/>
    </row>
    <row r="82" customFormat="false" ht="18" hidden="false" customHeight="true" outlineLevel="0" collapsed="false">
      <c r="A82" s="18"/>
      <c r="B82" s="19"/>
      <c r="C82" s="20" t="str">
        <f aca="false">IFERROR(VLOOKUP(B82,Cadastro!$A$5:$B$54,2,0),"")</f>
        <v/>
      </c>
      <c r="D82" s="19"/>
      <c r="E82" s="21"/>
      <c r="F82" s="11"/>
      <c r="G82" s="11" t="str">
        <f aca="false">IF(AND($D82="E",E82&lt;&gt;"",F82&lt;&gt;""),E82*F82,"-")</f>
        <v>-</v>
      </c>
      <c r="H82" s="11" t="str">
        <f aca="false">IF($D82="S",IF(AND(B82&lt;&gt;"",E82&lt;&gt;""),E82*IFERROR(VLOOKUP(B82,'Saldo Atual'!$A:$K,11,0),0),"-"),"-")</f>
        <v>-</v>
      </c>
      <c r="I82" s="19"/>
      <c r="J82" s="9"/>
      <c r="K82" s="9"/>
    </row>
    <row r="83" customFormat="false" ht="18" hidden="false" customHeight="true" outlineLevel="0" collapsed="false">
      <c r="A83" s="14"/>
      <c r="B83" s="15"/>
      <c r="C83" s="16" t="str">
        <f aca="false">IFERROR(VLOOKUP(B83,Cadastro!$A$5:$B$54,2,0),"")</f>
        <v/>
      </c>
      <c r="D83" s="15"/>
      <c r="E83" s="17"/>
      <c r="F83" s="7"/>
      <c r="G83" s="7" t="str">
        <f aca="false">IF(AND($D83="E",E83&lt;&gt;"",F83&lt;&gt;""),E83*F83,"-")</f>
        <v>-</v>
      </c>
      <c r="H83" s="7" t="str">
        <f aca="false">IF($D83="S",IF(AND(B83&lt;&gt;"",E83&lt;&gt;""),E83*IFERROR(VLOOKUP(B83,'Saldo Atual'!$A:$K,11,0),0),"-"),"-")</f>
        <v>-</v>
      </c>
      <c r="I83" s="15"/>
      <c r="J83" s="5"/>
      <c r="K83" s="5"/>
    </row>
    <row r="84" customFormat="false" ht="18" hidden="false" customHeight="true" outlineLevel="0" collapsed="false">
      <c r="A84" s="18"/>
      <c r="B84" s="19"/>
      <c r="C84" s="20" t="str">
        <f aca="false">IFERROR(VLOOKUP(B84,Cadastro!$A$5:$B$54,2,0),"")</f>
        <v/>
      </c>
      <c r="D84" s="19"/>
      <c r="E84" s="21"/>
      <c r="F84" s="11"/>
      <c r="G84" s="11" t="str">
        <f aca="false">IF(AND($D84="E",E84&lt;&gt;"",F84&lt;&gt;""),E84*F84,"-")</f>
        <v>-</v>
      </c>
      <c r="H84" s="11" t="str">
        <f aca="false">IF($D84="S",IF(AND(B84&lt;&gt;"",E84&lt;&gt;""),E84*IFERROR(VLOOKUP(B84,'Saldo Atual'!$A:$K,11,0),0),"-"),"-")</f>
        <v>-</v>
      </c>
      <c r="I84" s="19"/>
      <c r="J84" s="9"/>
      <c r="K84" s="9"/>
    </row>
    <row r="85" customFormat="false" ht="18" hidden="false" customHeight="true" outlineLevel="0" collapsed="false">
      <c r="A85" s="14"/>
      <c r="B85" s="15"/>
      <c r="C85" s="16" t="str">
        <f aca="false">IFERROR(VLOOKUP(B85,Cadastro!$A$5:$B$54,2,0),"")</f>
        <v/>
      </c>
      <c r="D85" s="15"/>
      <c r="E85" s="17"/>
      <c r="F85" s="7"/>
      <c r="G85" s="7" t="str">
        <f aca="false">IF(AND($D85="E",E85&lt;&gt;"",F85&lt;&gt;""),E85*F85,"-")</f>
        <v>-</v>
      </c>
      <c r="H85" s="7" t="str">
        <f aca="false">IF($D85="S",IF(AND(B85&lt;&gt;"",E85&lt;&gt;""),E85*IFERROR(VLOOKUP(B85,'Saldo Atual'!$A:$K,11,0),0),"-"),"-")</f>
        <v>-</v>
      </c>
      <c r="I85" s="15"/>
      <c r="J85" s="5"/>
      <c r="K85" s="5"/>
    </row>
    <row r="86" customFormat="false" ht="18" hidden="false" customHeight="true" outlineLevel="0" collapsed="false">
      <c r="A86" s="18"/>
      <c r="B86" s="19"/>
      <c r="C86" s="20" t="str">
        <f aca="false">IFERROR(VLOOKUP(B86,Cadastro!$A$5:$B$54,2,0),"")</f>
        <v/>
      </c>
      <c r="D86" s="19"/>
      <c r="E86" s="21"/>
      <c r="F86" s="11"/>
      <c r="G86" s="11" t="str">
        <f aca="false">IF(AND($D86="E",E86&lt;&gt;"",F86&lt;&gt;""),E86*F86,"-")</f>
        <v>-</v>
      </c>
      <c r="H86" s="11" t="str">
        <f aca="false">IF($D86="S",IF(AND(B86&lt;&gt;"",E86&lt;&gt;""),E86*IFERROR(VLOOKUP(B86,'Saldo Atual'!$A:$K,11,0),0),"-"),"-")</f>
        <v>-</v>
      </c>
      <c r="I86" s="19"/>
      <c r="J86" s="9"/>
      <c r="K86" s="9"/>
    </row>
    <row r="87" customFormat="false" ht="18" hidden="false" customHeight="true" outlineLevel="0" collapsed="false">
      <c r="A87" s="14"/>
      <c r="B87" s="15"/>
      <c r="C87" s="16" t="str">
        <f aca="false">IFERROR(VLOOKUP(B87,Cadastro!$A$5:$B$54,2,0),"")</f>
        <v/>
      </c>
      <c r="D87" s="15"/>
      <c r="E87" s="17"/>
      <c r="F87" s="7"/>
      <c r="G87" s="7" t="str">
        <f aca="false">IF(AND($D87="E",E87&lt;&gt;"",F87&lt;&gt;""),E87*F87,"-")</f>
        <v>-</v>
      </c>
      <c r="H87" s="7" t="str">
        <f aca="false">IF($D87="S",IF(AND(B87&lt;&gt;"",E87&lt;&gt;""),E87*IFERROR(VLOOKUP(B87,'Saldo Atual'!$A:$K,11,0),0),"-"),"-")</f>
        <v>-</v>
      </c>
      <c r="I87" s="15"/>
      <c r="J87" s="5"/>
      <c r="K87" s="5"/>
    </row>
    <row r="88" customFormat="false" ht="18" hidden="false" customHeight="true" outlineLevel="0" collapsed="false">
      <c r="A88" s="18"/>
      <c r="B88" s="19"/>
      <c r="C88" s="20" t="str">
        <f aca="false">IFERROR(VLOOKUP(B88,Cadastro!$A$5:$B$54,2,0),"")</f>
        <v/>
      </c>
      <c r="D88" s="19"/>
      <c r="E88" s="21"/>
      <c r="F88" s="11"/>
      <c r="G88" s="11" t="str">
        <f aca="false">IF(AND($D88="E",E88&lt;&gt;"",F88&lt;&gt;""),E88*F88,"-")</f>
        <v>-</v>
      </c>
      <c r="H88" s="11" t="str">
        <f aca="false">IF($D88="S",IF(AND(B88&lt;&gt;"",E88&lt;&gt;""),E88*IFERROR(VLOOKUP(B88,'Saldo Atual'!$A:$K,11,0),0),"-"),"-")</f>
        <v>-</v>
      </c>
      <c r="I88" s="19"/>
      <c r="J88" s="9"/>
      <c r="K88" s="9"/>
    </row>
    <row r="89" customFormat="false" ht="18" hidden="false" customHeight="true" outlineLevel="0" collapsed="false">
      <c r="A89" s="14"/>
      <c r="B89" s="15"/>
      <c r="C89" s="16" t="str">
        <f aca="false">IFERROR(VLOOKUP(B89,Cadastro!$A$5:$B$54,2,0),"")</f>
        <v/>
      </c>
      <c r="D89" s="15"/>
      <c r="E89" s="17"/>
      <c r="F89" s="7"/>
      <c r="G89" s="7" t="str">
        <f aca="false">IF(AND($D89="E",E89&lt;&gt;"",F89&lt;&gt;""),E89*F89,"-")</f>
        <v>-</v>
      </c>
      <c r="H89" s="7" t="str">
        <f aca="false">IF($D89="S",IF(AND(B89&lt;&gt;"",E89&lt;&gt;""),E89*IFERROR(VLOOKUP(B89,'Saldo Atual'!$A:$K,11,0),0),"-"),"-")</f>
        <v>-</v>
      </c>
      <c r="I89" s="15"/>
      <c r="J89" s="5"/>
      <c r="K89" s="5"/>
    </row>
    <row r="90" customFormat="false" ht="18" hidden="false" customHeight="true" outlineLevel="0" collapsed="false">
      <c r="A90" s="18"/>
      <c r="B90" s="19"/>
      <c r="C90" s="20" t="str">
        <f aca="false">IFERROR(VLOOKUP(B90,Cadastro!$A$5:$B$54,2,0),"")</f>
        <v/>
      </c>
      <c r="D90" s="19"/>
      <c r="E90" s="21"/>
      <c r="F90" s="11"/>
      <c r="G90" s="11" t="str">
        <f aca="false">IF(AND($D90="E",E90&lt;&gt;"",F90&lt;&gt;""),E90*F90,"-")</f>
        <v>-</v>
      </c>
      <c r="H90" s="11" t="str">
        <f aca="false">IF($D90="S",IF(AND(B90&lt;&gt;"",E90&lt;&gt;""),E90*IFERROR(VLOOKUP(B90,'Saldo Atual'!$A:$K,11,0),0),"-"),"-")</f>
        <v>-</v>
      </c>
      <c r="I90" s="19"/>
      <c r="J90" s="9"/>
      <c r="K90" s="9"/>
    </row>
    <row r="91" customFormat="false" ht="18" hidden="false" customHeight="true" outlineLevel="0" collapsed="false">
      <c r="A91" s="14"/>
      <c r="B91" s="15"/>
      <c r="C91" s="16" t="str">
        <f aca="false">IFERROR(VLOOKUP(B91,Cadastro!$A$5:$B$54,2,0),"")</f>
        <v/>
      </c>
      <c r="D91" s="15"/>
      <c r="E91" s="17"/>
      <c r="F91" s="7"/>
      <c r="G91" s="7" t="str">
        <f aca="false">IF(AND($D91="E",E91&lt;&gt;"",F91&lt;&gt;""),E91*F91,"-")</f>
        <v>-</v>
      </c>
      <c r="H91" s="7" t="str">
        <f aca="false">IF($D91="S",IF(AND(B91&lt;&gt;"",E91&lt;&gt;""),E91*IFERROR(VLOOKUP(B91,'Saldo Atual'!$A:$K,11,0),0),"-"),"-")</f>
        <v>-</v>
      </c>
      <c r="I91" s="15"/>
      <c r="J91" s="5"/>
      <c r="K91" s="5"/>
    </row>
    <row r="92" customFormat="false" ht="18" hidden="false" customHeight="true" outlineLevel="0" collapsed="false">
      <c r="A92" s="18"/>
      <c r="B92" s="19"/>
      <c r="C92" s="20" t="str">
        <f aca="false">IFERROR(VLOOKUP(B92,Cadastro!$A$5:$B$54,2,0),"")</f>
        <v/>
      </c>
      <c r="D92" s="19"/>
      <c r="E92" s="21"/>
      <c r="F92" s="11"/>
      <c r="G92" s="11" t="str">
        <f aca="false">IF(AND($D92="E",E92&lt;&gt;"",F92&lt;&gt;""),E92*F92,"-")</f>
        <v>-</v>
      </c>
      <c r="H92" s="11" t="str">
        <f aca="false">IF($D92="S",IF(AND(B92&lt;&gt;"",E92&lt;&gt;""),E92*IFERROR(VLOOKUP(B92,'Saldo Atual'!$A:$K,11,0),0),"-"),"-")</f>
        <v>-</v>
      </c>
      <c r="I92" s="19"/>
      <c r="J92" s="9"/>
      <c r="K92" s="9"/>
    </row>
    <row r="93" customFormat="false" ht="18" hidden="false" customHeight="true" outlineLevel="0" collapsed="false">
      <c r="A93" s="14"/>
      <c r="B93" s="15"/>
      <c r="C93" s="16" t="str">
        <f aca="false">IFERROR(VLOOKUP(B93,Cadastro!$A$5:$B$54,2,0),"")</f>
        <v/>
      </c>
      <c r="D93" s="15"/>
      <c r="E93" s="17"/>
      <c r="F93" s="7"/>
      <c r="G93" s="7" t="str">
        <f aca="false">IF(AND($D93="E",E93&lt;&gt;"",F93&lt;&gt;""),E93*F93,"-")</f>
        <v>-</v>
      </c>
      <c r="H93" s="7" t="str">
        <f aca="false">IF($D93="S",IF(AND(B93&lt;&gt;"",E93&lt;&gt;""),E93*IFERROR(VLOOKUP(B93,'Saldo Atual'!$A:$K,11,0),0),"-"),"-")</f>
        <v>-</v>
      </c>
      <c r="I93" s="15"/>
      <c r="J93" s="5"/>
      <c r="K93" s="5"/>
    </row>
    <row r="94" customFormat="false" ht="18" hidden="false" customHeight="true" outlineLevel="0" collapsed="false">
      <c r="A94" s="18"/>
      <c r="B94" s="19"/>
      <c r="C94" s="20" t="str">
        <f aca="false">IFERROR(VLOOKUP(B94,Cadastro!$A$5:$B$54,2,0),"")</f>
        <v/>
      </c>
      <c r="D94" s="19"/>
      <c r="E94" s="21"/>
      <c r="F94" s="11"/>
      <c r="G94" s="11" t="str">
        <f aca="false">IF(AND($D94="E",E94&lt;&gt;"",F94&lt;&gt;""),E94*F94,"-")</f>
        <v>-</v>
      </c>
      <c r="H94" s="11" t="str">
        <f aca="false">IF($D94="S",IF(AND(B94&lt;&gt;"",E94&lt;&gt;""),E94*IFERROR(VLOOKUP(B94,'Saldo Atual'!$A:$K,11,0),0),"-"),"-")</f>
        <v>-</v>
      </c>
      <c r="I94" s="19"/>
      <c r="J94" s="9"/>
      <c r="K94" s="9"/>
    </row>
    <row r="95" customFormat="false" ht="18" hidden="false" customHeight="true" outlineLevel="0" collapsed="false">
      <c r="A95" s="14"/>
      <c r="B95" s="15"/>
      <c r="C95" s="16" t="str">
        <f aca="false">IFERROR(VLOOKUP(B95,Cadastro!$A$5:$B$54,2,0),"")</f>
        <v/>
      </c>
      <c r="D95" s="15"/>
      <c r="E95" s="17"/>
      <c r="F95" s="7"/>
      <c r="G95" s="7" t="str">
        <f aca="false">IF(AND($D95="E",E95&lt;&gt;"",F95&lt;&gt;""),E95*F95,"-")</f>
        <v>-</v>
      </c>
      <c r="H95" s="7" t="str">
        <f aca="false">IF($D95="S",IF(AND(B95&lt;&gt;"",E95&lt;&gt;""),E95*IFERROR(VLOOKUP(B95,'Saldo Atual'!$A:$K,11,0),0),"-"),"-")</f>
        <v>-</v>
      </c>
      <c r="I95" s="15"/>
      <c r="J95" s="5"/>
      <c r="K95" s="5"/>
    </row>
    <row r="96" customFormat="false" ht="18" hidden="false" customHeight="true" outlineLevel="0" collapsed="false">
      <c r="A96" s="18"/>
      <c r="B96" s="19"/>
      <c r="C96" s="20" t="str">
        <f aca="false">IFERROR(VLOOKUP(B96,Cadastro!$A$5:$B$54,2,0),"")</f>
        <v/>
      </c>
      <c r="D96" s="19"/>
      <c r="E96" s="21"/>
      <c r="F96" s="11"/>
      <c r="G96" s="11" t="str">
        <f aca="false">IF(AND($D96="E",E96&lt;&gt;"",F96&lt;&gt;""),E96*F96,"-")</f>
        <v>-</v>
      </c>
      <c r="H96" s="11" t="str">
        <f aca="false">IF($D96="S",IF(AND(B96&lt;&gt;"",E96&lt;&gt;""),E96*IFERROR(VLOOKUP(B96,'Saldo Atual'!$A:$K,11,0),0),"-"),"-")</f>
        <v>-</v>
      </c>
      <c r="I96" s="19"/>
      <c r="J96" s="9"/>
      <c r="K96" s="9"/>
    </row>
    <row r="97" customFormat="false" ht="18" hidden="false" customHeight="true" outlineLevel="0" collapsed="false">
      <c r="A97" s="14"/>
      <c r="B97" s="15"/>
      <c r="C97" s="16" t="str">
        <f aca="false">IFERROR(VLOOKUP(B97,Cadastro!$A$5:$B$54,2,0),"")</f>
        <v/>
      </c>
      <c r="D97" s="15"/>
      <c r="E97" s="17"/>
      <c r="F97" s="7"/>
      <c r="G97" s="7" t="str">
        <f aca="false">IF(AND($D97="E",E97&lt;&gt;"",F97&lt;&gt;""),E97*F97,"-")</f>
        <v>-</v>
      </c>
      <c r="H97" s="7" t="str">
        <f aca="false">IF($D97="S",IF(AND(B97&lt;&gt;"",E97&lt;&gt;""),E97*IFERROR(VLOOKUP(B97,'Saldo Atual'!$A:$K,11,0),0),"-"),"-")</f>
        <v>-</v>
      </c>
      <c r="I97" s="15"/>
      <c r="J97" s="5"/>
      <c r="K97" s="5"/>
    </row>
    <row r="98" customFormat="false" ht="18" hidden="false" customHeight="true" outlineLevel="0" collapsed="false">
      <c r="A98" s="18"/>
      <c r="B98" s="19"/>
      <c r="C98" s="20" t="str">
        <f aca="false">IFERROR(VLOOKUP(B98,Cadastro!$A$5:$B$54,2,0),"")</f>
        <v/>
      </c>
      <c r="D98" s="19"/>
      <c r="E98" s="21"/>
      <c r="F98" s="11"/>
      <c r="G98" s="11" t="str">
        <f aca="false">IF(AND($D98="E",E98&lt;&gt;"",F98&lt;&gt;""),E98*F98,"-")</f>
        <v>-</v>
      </c>
      <c r="H98" s="11" t="str">
        <f aca="false">IF($D98="S",IF(AND(B98&lt;&gt;"",E98&lt;&gt;""),E98*IFERROR(VLOOKUP(B98,'Saldo Atual'!$A:$K,11,0),0),"-"),"-")</f>
        <v>-</v>
      </c>
      <c r="I98" s="19"/>
      <c r="J98" s="9"/>
      <c r="K98" s="9"/>
    </row>
    <row r="99" customFormat="false" ht="18" hidden="false" customHeight="true" outlineLevel="0" collapsed="false">
      <c r="A99" s="14"/>
      <c r="B99" s="15"/>
      <c r="C99" s="16" t="str">
        <f aca="false">IFERROR(VLOOKUP(B99,Cadastro!$A$5:$B$54,2,0),"")</f>
        <v/>
      </c>
      <c r="D99" s="15"/>
      <c r="E99" s="17"/>
      <c r="F99" s="7"/>
      <c r="G99" s="7" t="str">
        <f aca="false">IF(AND($D99="E",E99&lt;&gt;"",F99&lt;&gt;""),E99*F99,"-")</f>
        <v>-</v>
      </c>
      <c r="H99" s="7" t="str">
        <f aca="false">IF($D99="S",IF(AND(B99&lt;&gt;"",E99&lt;&gt;""),E99*IFERROR(VLOOKUP(B99,'Saldo Atual'!$A:$K,11,0),0),"-"),"-")</f>
        <v>-</v>
      </c>
      <c r="I99" s="15"/>
      <c r="J99" s="5"/>
      <c r="K99" s="5"/>
    </row>
    <row r="100" customFormat="false" ht="18" hidden="false" customHeight="true" outlineLevel="0" collapsed="false">
      <c r="A100" s="18"/>
      <c r="B100" s="19"/>
      <c r="C100" s="20" t="str">
        <f aca="false">IFERROR(VLOOKUP(B100,Cadastro!$A$5:$B$54,2,0),"")</f>
        <v/>
      </c>
      <c r="D100" s="19"/>
      <c r="E100" s="21"/>
      <c r="F100" s="11"/>
      <c r="G100" s="11" t="str">
        <f aca="false">IF(AND($D100="E",E100&lt;&gt;"",F100&lt;&gt;""),E100*F100,"-")</f>
        <v>-</v>
      </c>
      <c r="H100" s="11" t="str">
        <f aca="false">IF($D100="S",IF(AND(B100&lt;&gt;"",E100&lt;&gt;""),E100*IFERROR(VLOOKUP(B100,'Saldo Atual'!$A:$K,11,0),0),"-"),"-")</f>
        <v>-</v>
      </c>
      <c r="I100" s="19"/>
      <c r="J100" s="9"/>
      <c r="K100" s="9"/>
    </row>
    <row r="101" customFormat="false" ht="18" hidden="false" customHeight="true" outlineLevel="0" collapsed="false">
      <c r="A101" s="14"/>
      <c r="B101" s="15"/>
      <c r="C101" s="16" t="str">
        <f aca="false">IFERROR(VLOOKUP(B101,Cadastro!$A$5:$B$54,2,0),"")</f>
        <v/>
      </c>
      <c r="D101" s="15"/>
      <c r="E101" s="17"/>
      <c r="F101" s="7"/>
      <c r="G101" s="7" t="str">
        <f aca="false">IF(AND($D101="E",E101&lt;&gt;"",F101&lt;&gt;""),E101*F101,"-")</f>
        <v>-</v>
      </c>
      <c r="H101" s="7" t="str">
        <f aca="false">IF($D101="S",IF(AND(B101&lt;&gt;"",E101&lt;&gt;""),E101*IFERROR(VLOOKUP(B101,'Saldo Atual'!$A:$K,11,0),0),"-"),"-")</f>
        <v>-</v>
      </c>
      <c r="I101" s="15"/>
      <c r="J101" s="5"/>
      <c r="K101" s="5"/>
    </row>
    <row r="102" customFormat="false" ht="18" hidden="false" customHeight="true" outlineLevel="0" collapsed="false">
      <c r="A102" s="18"/>
      <c r="B102" s="19"/>
      <c r="C102" s="20" t="str">
        <f aca="false">IFERROR(VLOOKUP(B102,Cadastro!$A$5:$B$54,2,0),"")</f>
        <v/>
      </c>
      <c r="D102" s="19"/>
      <c r="E102" s="21"/>
      <c r="F102" s="11"/>
      <c r="G102" s="11" t="str">
        <f aca="false">IF(AND($D102="E",E102&lt;&gt;"",F102&lt;&gt;""),E102*F102,"-")</f>
        <v>-</v>
      </c>
      <c r="H102" s="11" t="str">
        <f aca="false">IF($D102="S",IF(AND(B102&lt;&gt;"",E102&lt;&gt;""),E102*IFERROR(VLOOKUP(B102,'Saldo Atual'!$A:$K,11,0),0),"-"),"-")</f>
        <v>-</v>
      </c>
      <c r="I102" s="19"/>
      <c r="J102" s="9"/>
      <c r="K102" s="9"/>
    </row>
    <row r="103" customFormat="false" ht="18" hidden="false" customHeight="true" outlineLevel="0" collapsed="false">
      <c r="A103" s="14"/>
      <c r="B103" s="15"/>
      <c r="C103" s="16" t="str">
        <f aca="false">IFERROR(VLOOKUP(B103,Cadastro!$A$5:$B$54,2,0),"")</f>
        <v/>
      </c>
      <c r="D103" s="15"/>
      <c r="E103" s="17"/>
      <c r="F103" s="7"/>
      <c r="G103" s="7" t="str">
        <f aca="false">IF(AND($D103="E",E103&lt;&gt;"",F103&lt;&gt;""),E103*F103,"-")</f>
        <v>-</v>
      </c>
      <c r="H103" s="7" t="str">
        <f aca="false">IF($D103="S",IF(AND(B103&lt;&gt;"",E103&lt;&gt;""),E103*IFERROR(VLOOKUP(B103,'Saldo Atual'!$A:$K,11,0),0),"-"),"-")</f>
        <v>-</v>
      </c>
      <c r="I103" s="15"/>
      <c r="J103" s="5"/>
      <c r="K103" s="5"/>
    </row>
    <row r="104" customFormat="false" ht="18" hidden="false" customHeight="true" outlineLevel="0" collapsed="false">
      <c r="A104" s="18"/>
      <c r="B104" s="19"/>
      <c r="C104" s="20" t="str">
        <f aca="false">IFERROR(VLOOKUP(B104,Cadastro!$A$5:$B$54,2,0),"")</f>
        <v/>
      </c>
      <c r="D104" s="19"/>
      <c r="E104" s="21"/>
      <c r="F104" s="11"/>
      <c r="G104" s="11" t="str">
        <f aca="false">IF(AND($D104="E",E104&lt;&gt;"",F104&lt;&gt;""),E104*F104,"-")</f>
        <v>-</v>
      </c>
      <c r="H104" s="11" t="str">
        <f aca="false">IF($D104="S",IF(AND(B104&lt;&gt;"",E104&lt;&gt;""),E104*IFERROR(VLOOKUP(B104,'Saldo Atual'!$A:$K,11,0),0),"-"),"-")</f>
        <v>-</v>
      </c>
      <c r="I104" s="19"/>
      <c r="J104" s="9"/>
      <c r="K104" s="9"/>
    </row>
    <row r="105" customFormat="false" ht="18" hidden="false" customHeight="true" outlineLevel="0" collapsed="false">
      <c r="A105" s="14"/>
      <c r="B105" s="15"/>
      <c r="C105" s="16" t="str">
        <f aca="false">IFERROR(VLOOKUP(B105,Cadastro!$A$5:$B$54,2,0),"")</f>
        <v/>
      </c>
      <c r="D105" s="15"/>
      <c r="E105" s="17"/>
      <c r="F105" s="7"/>
      <c r="G105" s="7" t="str">
        <f aca="false">IF(AND($D105="E",E105&lt;&gt;"",F105&lt;&gt;""),E105*F105,"-")</f>
        <v>-</v>
      </c>
      <c r="H105" s="7" t="str">
        <f aca="false">IF($D105="S",IF(AND(B105&lt;&gt;"",E105&lt;&gt;""),E105*IFERROR(VLOOKUP(B105,'Saldo Atual'!$A:$K,11,0),0),"-"),"-")</f>
        <v>-</v>
      </c>
      <c r="I105" s="15"/>
      <c r="J105" s="5"/>
      <c r="K105" s="5"/>
    </row>
    <row r="106" customFormat="false" ht="18" hidden="false" customHeight="true" outlineLevel="0" collapsed="false">
      <c r="A106" s="18"/>
      <c r="B106" s="19"/>
      <c r="C106" s="20" t="str">
        <f aca="false">IFERROR(VLOOKUP(B106,Cadastro!$A$5:$B$54,2,0),"")</f>
        <v/>
      </c>
      <c r="D106" s="19"/>
      <c r="E106" s="21"/>
      <c r="F106" s="11"/>
      <c r="G106" s="11" t="str">
        <f aca="false">IF(AND($D106="E",E106&lt;&gt;"",F106&lt;&gt;""),E106*F106,"-")</f>
        <v>-</v>
      </c>
      <c r="H106" s="11" t="str">
        <f aca="false">IF($D106="S",IF(AND(B106&lt;&gt;"",E106&lt;&gt;""),E106*IFERROR(VLOOKUP(B106,'Saldo Atual'!$A:$K,11,0),0),"-"),"-")</f>
        <v>-</v>
      </c>
      <c r="I106" s="19"/>
      <c r="J106" s="9"/>
      <c r="K106" s="9"/>
    </row>
    <row r="107" customFormat="false" ht="18" hidden="false" customHeight="true" outlineLevel="0" collapsed="false">
      <c r="A107" s="14"/>
      <c r="B107" s="15"/>
      <c r="C107" s="16" t="str">
        <f aca="false">IFERROR(VLOOKUP(B107,Cadastro!$A$5:$B$54,2,0),"")</f>
        <v/>
      </c>
      <c r="D107" s="15"/>
      <c r="E107" s="17"/>
      <c r="F107" s="7"/>
      <c r="G107" s="7" t="str">
        <f aca="false">IF(AND($D107="E",E107&lt;&gt;"",F107&lt;&gt;""),E107*F107,"-")</f>
        <v>-</v>
      </c>
      <c r="H107" s="7" t="str">
        <f aca="false">IF($D107="S",IF(AND(B107&lt;&gt;"",E107&lt;&gt;""),E107*IFERROR(VLOOKUP(B107,'Saldo Atual'!$A:$K,11,0),0),"-"),"-")</f>
        <v>-</v>
      </c>
      <c r="I107" s="15"/>
      <c r="J107" s="5"/>
      <c r="K107" s="5"/>
    </row>
    <row r="108" customFormat="false" ht="18" hidden="false" customHeight="true" outlineLevel="0" collapsed="false">
      <c r="A108" s="18"/>
      <c r="B108" s="19"/>
      <c r="C108" s="20" t="str">
        <f aca="false">IFERROR(VLOOKUP(B108,Cadastro!$A$5:$B$54,2,0),"")</f>
        <v/>
      </c>
      <c r="D108" s="19"/>
      <c r="E108" s="21"/>
      <c r="F108" s="11"/>
      <c r="G108" s="11" t="str">
        <f aca="false">IF(AND($D108="E",E108&lt;&gt;"",F108&lt;&gt;""),E108*F108,"-")</f>
        <v>-</v>
      </c>
      <c r="H108" s="11" t="str">
        <f aca="false">IF($D108="S",IF(AND(B108&lt;&gt;"",E108&lt;&gt;""),E108*IFERROR(VLOOKUP(B108,'Saldo Atual'!$A:$K,11,0),0),"-"),"-")</f>
        <v>-</v>
      </c>
      <c r="I108" s="19"/>
      <c r="J108" s="9"/>
      <c r="K108" s="9"/>
    </row>
    <row r="109" customFormat="false" ht="18" hidden="false" customHeight="true" outlineLevel="0" collapsed="false">
      <c r="A109" s="14"/>
      <c r="B109" s="15"/>
      <c r="C109" s="16" t="str">
        <f aca="false">IFERROR(VLOOKUP(B109,Cadastro!$A$5:$B$54,2,0),"")</f>
        <v/>
      </c>
      <c r="D109" s="15"/>
      <c r="E109" s="17"/>
      <c r="F109" s="7"/>
      <c r="G109" s="7" t="str">
        <f aca="false">IF(AND($D109="E",E109&lt;&gt;"",F109&lt;&gt;""),E109*F109,"-")</f>
        <v>-</v>
      </c>
      <c r="H109" s="7" t="str">
        <f aca="false">IF($D109="S",IF(AND(B109&lt;&gt;"",E109&lt;&gt;""),E109*IFERROR(VLOOKUP(B109,'Saldo Atual'!$A:$K,11,0),0),"-"),"-")</f>
        <v>-</v>
      </c>
      <c r="I109" s="15"/>
      <c r="J109" s="5"/>
      <c r="K109" s="5"/>
    </row>
    <row r="110" customFormat="false" ht="18" hidden="false" customHeight="true" outlineLevel="0" collapsed="false">
      <c r="A110" s="18"/>
      <c r="B110" s="19"/>
      <c r="C110" s="20" t="str">
        <f aca="false">IFERROR(VLOOKUP(B110,Cadastro!$A$5:$B$54,2,0),"")</f>
        <v/>
      </c>
      <c r="D110" s="19"/>
      <c r="E110" s="21"/>
      <c r="F110" s="11"/>
      <c r="G110" s="11" t="str">
        <f aca="false">IF(AND($D110="E",E110&lt;&gt;"",F110&lt;&gt;""),E110*F110,"-")</f>
        <v>-</v>
      </c>
      <c r="H110" s="11" t="str">
        <f aca="false">IF($D110="S",IF(AND(B110&lt;&gt;"",E110&lt;&gt;""),E110*IFERROR(VLOOKUP(B110,'Saldo Atual'!$A:$K,11,0),0),"-"),"-")</f>
        <v>-</v>
      </c>
      <c r="I110" s="19"/>
      <c r="J110" s="9"/>
      <c r="K110" s="9"/>
    </row>
    <row r="111" customFormat="false" ht="18" hidden="false" customHeight="true" outlineLevel="0" collapsed="false">
      <c r="A111" s="14"/>
      <c r="B111" s="15"/>
      <c r="C111" s="16" t="str">
        <f aca="false">IFERROR(VLOOKUP(B111,Cadastro!$A$5:$B$54,2,0),"")</f>
        <v/>
      </c>
      <c r="D111" s="15"/>
      <c r="E111" s="17"/>
      <c r="F111" s="7"/>
      <c r="G111" s="7" t="str">
        <f aca="false">IF(AND($D111="E",E111&lt;&gt;"",F111&lt;&gt;""),E111*F111,"-")</f>
        <v>-</v>
      </c>
      <c r="H111" s="7" t="str">
        <f aca="false">IF($D111="S",IF(AND(B111&lt;&gt;"",E111&lt;&gt;""),E111*IFERROR(VLOOKUP(B111,'Saldo Atual'!$A:$K,11,0),0),"-"),"-")</f>
        <v>-</v>
      </c>
      <c r="I111" s="15"/>
      <c r="J111" s="5"/>
      <c r="K111" s="5"/>
    </row>
    <row r="112" customFormat="false" ht="18" hidden="false" customHeight="true" outlineLevel="0" collapsed="false">
      <c r="A112" s="18"/>
      <c r="B112" s="19"/>
      <c r="C112" s="20" t="str">
        <f aca="false">IFERROR(VLOOKUP(B112,Cadastro!$A$5:$B$54,2,0),"")</f>
        <v/>
      </c>
      <c r="D112" s="19"/>
      <c r="E112" s="21"/>
      <c r="F112" s="11"/>
      <c r="G112" s="11" t="str">
        <f aca="false">IF(AND($D112="E",E112&lt;&gt;"",F112&lt;&gt;""),E112*F112,"-")</f>
        <v>-</v>
      </c>
      <c r="H112" s="11" t="str">
        <f aca="false">IF($D112="S",IF(AND(B112&lt;&gt;"",E112&lt;&gt;""),E112*IFERROR(VLOOKUP(B112,'Saldo Atual'!$A:$K,11,0),0),"-"),"-")</f>
        <v>-</v>
      </c>
      <c r="I112" s="19"/>
      <c r="J112" s="9"/>
      <c r="K112" s="9"/>
    </row>
    <row r="113" customFormat="false" ht="18" hidden="false" customHeight="true" outlineLevel="0" collapsed="false">
      <c r="A113" s="14"/>
      <c r="B113" s="15"/>
      <c r="C113" s="16" t="str">
        <f aca="false">IFERROR(VLOOKUP(B113,Cadastro!$A$5:$B$54,2,0),"")</f>
        <v/>
      </c>
      <c r="D113" s="15"/>
      <c r="E113" s="17"/>
      <c r="F113" s="7"/>
      <c r="G113" s="7" t="str">
        <f aca="false">IF(AND($D113="E",E113&lt;&gt;"",F113&lt;&gt;""),E113*F113,"-")</f>
        <v>-</v>
      </c>
      <c r="H113" s="7" t="str">
        <f aca="false">IF($D113="S",IF(AND(B113&lt;&gt;"",E113&lt;&gt;""),E113*IFERROR(VLOOKUP(B113,'Saldo Atual'!$A:$K,11,0),0),"-"),"-")</f>
        <v>-</v>
      </c>
      <c r="I113" s="15"/>
      <c r="J113" s="5"/>
      <c r="K113" s="5"/>
    </row>
    <row r="114" customFormat="false" ht="18" hidden="false" customHeight="true" outlineLevel="0" collapsed="false">
      <c r="A114" s="18"/>
      <c r="B114" s="19"/>
      <c r="C114" s="20" t="str">
        <f aca="false">IFERROR(VLOOKUP(B114,Cadastro!$A$5:$B$54,2,0),"")</f>
        <v/>
      </c>
      <c r="D114" s="19"/>
      <c r="E114" s="21"/>
      <c r="F114" s="11"/>
      <c r="G114" s="11" t="str">
        <f aca="false">IF(AND($D114="E",E114&lt;&gt;"",F114&lt;&gt;""),E114*F114,"-")</f>
        <v>-</v>
      </c>
      <c r="H114" s="11" t="str">
        <f aca="false">IF($D114="S",IF(AND(B114&lt;&gt;"",E114&lt;&gt;""),E114*IFERROR(VLOOKUP(B114,'Saldo Atual'!$A:$K,11,0),0),"-"),"-")</f>
        <v>-</v>
      </c>
      <c r="I114" s="19"/>
      <c r="J114" s="9"/>
      <c r="K114" s="9"/>
    </row>
    <row r="115" customFormat="false" ht="18" hidden="false" customHeight="true" outlineLevel="0" collapsed="false">
      <c r="A115" s="14"/>
      <c r="B115" s="15"/>
      <c r="C115" s="16" t="str">
        <f aca="false">IFERROR(VLOOKUP(B115,Cadastro!$A$5:$B$54,2,0),"")</f>
        <v/>
      </c>
      <c r="D115" s="15"/>
      <c r="E115" s="17"/>
      <c r="F115" s="7"/>
      <c r="G115" s="7" t="str">
        <f aca="false">IF(AND($D115="E",E115&lt;&gt;"",F115&lt;&gt;""),E115*F115,"-")</f>
        <v>-</v>
      </c>
      <c r="H115" s="7" t="str">
        <f aca="false">IF($D115="S",IF(AND(B115&lt;&gt;"",E115&lt;&gt;""),E115*IFERROR(VLOOKUP(B115,'Saldo Atual'!$A:$K,11,0),0),"-"),"-")</f>
        <v>-</v>
      </c>
      <c r="I115" s="15"/>
      <c r="J115" s="5"/>
      <c r="K115" s="5"/>
    </row>
    <row r="116" customFormat="false" ht="18" hidden="false" customHeight="true" outlineLevel="0" collapsed="false">
      <c r="A116" s="18"/>
      <c r="B116" s="19"/>
      <c r="C116" s="20" t="str">
        <f aca="false">IFERROR(VLOOKUP(B116,Cadastro!$A$5:$B$54,2,0),"")</f>
        <v/>
      </c>
      <c r="D116" s="19"/>
      <c r="E116" s="21"/>
      <c r="F116" s="11"/>
      <c r="G116" s="11" t="str">
        <f aca="false">IF(AND($D116="E",E116&lt;&gt;"",F116&lt;&gt;""),E116*F116,"-")</f>
        <v>-</v>
      </c>
      <c r="H116" s="11" t="str">
        <f aca="false">IF($D116="S",IF(AND(B116&lt;&gt;"",E116&lt;&gt;""),E116*IFERROR(VLOOKUP(B116,'Saldo Atual'!$A:$K,11,0),0),"-"),"-")</f>
        <v>-</v>
      </c>
      <c r="I116" s="19"/>
      <c r="J116" s="9"/>
      <c r="K116" s="9"/>
    </row>
    <row r="117" customFormat="false" ht="18" hidden="false" customHeight="true" outlineLevel="0" collapsed="false">
      <c r="A117" s="14"/>
      <c r="B117" s="15"/>
      <c r="C117" s="16" t="str">
        <f aca="false">IFERROR(VLOOKUP(B117,Cadastro!$A$5:$B$54,2,0),"")</f>
        <v/>
      </c>
      <c r="D117" s="15"/>
      <c r="E117" s="17"/>
      <c r="F117" s="7"/>
      <c r="G117" s="7" t="str">
        <f aca="false">IF(AND($D117="E",E117&lt;&gt;"",F117&lt;&gt;""),E117*F117,"-")</f>
        <v>-</v>
      </c>
      <c r="H117" s="7" t="str">
        <f aca="false">IF($D117="S",IF(AND(B117&lt;&gt;"",E117&lt;&gt;""),E117*IFERROR(VLOOKUP(B117,'Saldo Atual'!$A:$K,11,0),0),"-"),"-")</f>
        <v>-</v>
      </c>
      <c r="I117" s="15"/>
      <c r="J117" s="5"/>
      <c r="K117" s="5"/>
    </row>
    <row r="118" customFormat="false" ht="18" hidden="false" customHeight="true" outlineLevel="0" collapsed="false">
      <c r="A118" s="18"/>
      <c r="B118" s="19"/>
      <c r="C118" s="20" t="str">
        <f aca="false">IFERROR(VLOOKUP(B118,Cadastro!$A$5:$B$54,2,0),"")</f>
        <v/>
      </c>
      <c r="D118" s="19"/>
      <c r="E118" s="21"/>
      <c r="F118" s="11"/>
      <c r="G118" s="11" t="str">
        <f aca="false">IF(AND($D118="E",E118&lt;&gt;"",F118&lt;&gt;""),E118*F118,"-")</f>
        <v>-</v>
      </c>
      <c r="H118" s="11" t="str">
        <f aca="false">IF($D118="S",IF(AND(B118&lt;&gt;"",E118&lt;&gt;""),E118*IFERROR(VLOOKUP(B118,'Saldo Atual'!$A:$K,11,0),0),"-"),"-")</f>
        <v>-</v>
      </c>
      <c r="I118" s="19"/>
      <c r="J118" s="9"/>
      <c r="K118" s="9"/>
    </row>
    <row r="119" customFormat="false" ht="18" hidden="false" customHeight="true" outlineLevel="0" collapsed="false">
      <c r="A119" s="14"/>
      <c r="B119" s="15"/>
      <c r="C119" s="16" t="str">
        <f aca="false">IFERROR(VLOOKUP(B119,Cadastro!$A$5:$B$54,2,0),"")</f>
        <v/>
      </c>
      <c r="D119" s="15"/>
      <c r="E119" s="17"/>
      <c r="F119" s="7"/>
      <c r="G119" s="7" t="str">
        <f aca="false">IF(AND($D119="E",E119&lt;&gt;"",F119&lt;&gt;""),E119*F119,"-")</f>
        <v>-</v>
      </c>
      <c r="H119" s="7" t="str">
        <f aca="false">IF($D119="S",IF(AND(B119&lt;&gt;"",E119&lt;&gt;""),E119*IFERROR(VLOOKUP(B119,'Saldo Atual'!$A:$K,11,0),0),"-"),"-")</f>
        <v>-</v>
      </c>
      <c r="I119" s="15"/>
      <c r="J119" s="5"/>
      <c r="K119" s="5"/>
    </row>
    <row r="120" customFormat="false" ht="18" hidden="false" customHeight="true" outlineLevel="0" collapsed="false">
      <c r="A120" s="18"/>
      <c r="B120" s="19"/>
      <c r="C120" s="20" t="str">
        <f aca="false">IFERROR(VLOOKUP(B120,Cadastro!$A$5:$B$54,2,0),"")</f>
        <v/>
      </c>
      <c r="D120" s="19"/>
      <c r="E120" s="21"/>
      <c r="F120" s="11"/>
      <c r="G120" s="11" t="str">
        <f aca="false">IF(AND($D120="E",E120&lt;&gt;"",F120&lt;&gt;""),E120*F120,"-")</f>
        <v>-</v>
      </c>
      <c r="H120" s="11" t="str">
        <f aca="false">IF($D120="S",IF(AND(B120&lt;&gt;"",E120&lt;&gt;""),E120*IFERROR(VLOOKUP(B120,'Saldo Atual'!$A:$K,11,0),0),"-"),"-")</f>
        <v>-</v>
      </c>
      <c r="I120" s="19"/>
      <c r="J120" s="9"/>
      <c r="K120" s="9"/>
    </row>
    <row r="121" customFormat="false" ht="18" hidden="false" customHeight="true" outlineLevel="0" collapsed="false">
      <c r="A121" s="14"/>
      <c r="B121" s="15"/>
      <c r="C121" s="16" t="str">
        <f aca="false">IFERROR(VLOOKUP(B121,Cadastro!$A$5:$B$54,2,0),"")</f>
        <v/>
      </c>
      <c r="D121" s="15"/>
      <c r="E121" s="17"/>
      <c r="F121" s="7"/>
      <c r="G121" s="7" t="str">
        <f aca="false">IF(AND($D121="E",E121&lt;&gt;"",F121&lt;&gt;""),E121*F121,"-")</f>
        <v>-</v>
      </c>
      <c r="H121" s="7" t="str">
        <f aca="false">IF($D121="S",IF(AND(B121&lt;&gt;"",E121&lt;&gt;""),E121*IFERROR(VLOOKUP(B121,'Saldo Atual'!$A:$K,11,0),0),"-"),"-")</f>
        <v>-</v>
      </c>
      <c r="I121" s="15"/>
      <c r="J121" s="5"/>
      <c r="K121" s="5"/>
    </row>
    <row r="122" customFormat="false" ht="18" hidden="false" customHeight="true" outlineLevel="0" collapsed="false">
      <c r="A122" s="18"/>
      <c r="B122" s="19"/>
      <c r="C122" s="20" t="str">
        <f aca="false">IFERROR(VLOOKUP(B122,Cadastro!$A$5:$B$54,2,0),"")</f>
        <v/>
      </c>
      <c r="D122" s="19"/>
      <c r="E122" s="21"/>
      <c r="F122" s="11"/>
      <c r="G122" s="11" t="str">
        <f aca="false">IF(AND($D122="E",E122&lt;&gt;"",F122&lt;&gt;""),E122*F122,"-")</f>
        <v>-</v>
      </c>
      <c r="H122" s="11" t="str">
        <f aca="false">IF($D122="S",IF(AND(B122&lt;&gt;"",E122&lt;&gt;""),E122*IFERROR(VLOOKUP(B122,'Saldo Atual'!$A:$K,11,0),0),"-"),"-")</f>
        <v>-</v>
      </c>
      <c r="I122" s="19"/>
      <c r="J122" s="9"/>
      <c r="K122" s="9"/>
    </row>
    <row r="123" customFormat="false" ht="18" hidden="false" customHeight="true" outlineLevel="0" collapsed="false">
      <c r="A123" s="14"/>
      <c r="B123" s="15"/>
      <c r="C123" s="16" t="str">
        <f aca="false">IFERROR(VLOOKUP(B123,Cadastro!$A$5:$B$54,2,0),"")</f>
        <v/>
      </c>
      <c r="D123" s="15"/>
      <c r="E123" s="17"/>
      <c r="F123" s="7"/>
      <c r="G123" s="7" t="str">
        <f aca="false">IF(AND($D123="E",E123&lt;&gt;"",F123&lt;&gt;""),E123*F123,"-")</f>
        <v>-</v>
      </c>
      <c r="H123" s="7" t="str">
        <f aca="false">IF($D123="S",IF(AND(B123&lt;&gt;"",E123&lt;&gt;""),E123*IFERROR(VLOOKUP(B123,'Saldo Atual'!$A:$K,11,0),0),"-"),"-")</f>
        <v>-</v>
      </c>
      <c r="I123" s="15"/>
      <c r="J123" s="5"/>
      <c r="K123" s="5"/>
    </row>
    <row r="124" customFormat="false" ht="18" hidden="false" customHeight="true" outlineLevel="0" collapsed="false">
      <c r="A124" s="18"/>
      <c r="B124" s="19"/>
      <c r="C124" s="20" t="str">
        <f aca="false">IFERROR(VLOOKUP(B124,Cadastro!$A$5:$B$54,2,0),"")</f>
        <v/>
      </c>
      <c r="D124" s="19"/>
      <c r="E124" s="21"/>
      <c r="F124" s="11"/>
      <c r="G124" s="11" t="str">
        <f aca="false">IF(AND($D124="E",E124&lt;&gt;"",F124&lt;&gt;""),E124*F124,"-")</f>
        <v>-</v>
      </c>
      <c r="H124" s="11" t="str">
        <f aca="false">IF($D124="S",IF(AND(B124&lt;&gt;"",E124&lt;&gt;""),E124*IFERROR(VLOOKUP(B124,'Saldo Atual'!$A:$K,11,0),0),"-"),"-")</f>
        <v>-</v>
      </c>
      <c r="I124" s="19"/>
      <c r="J124" s="9"/>
      <c r="K124" s="9"/>
    </row>
    <row r="125" customFormat="false" ht="18" hidden="false" customHeight="true" outlineLevel="0" collapsed="false">
      <c r="A125" s="14"/>
      <c r="B125" s="15"/>
      <c r="C125" s="16" t="str">
        <f aca="false">IFERROR(VLOOKUP(B125,Cadastro!$A$5:$B$54,2,0),"")</f>
        <v/>
      </c>
      <c r="D125" s="15"/>
      <c r="E125" s="17"/>
      <c r="F125" s="7"/>
      <c r="G125" s="7" t="str">
        <f aca="false">IF(AND($D125="E",E125&lt;&gt;"",F125&lt;&gt;""),E125*F125,"-")</f>
        <v>-</v>
      </c>
      <c r="H125" s="7" t="str">
        <f aca="false">IF($D125="S",IF(AND(B125&lt;&gt;"",E125&lt;&gt;""),E125*IFERROR(VLOOKUP(B125,'Saldo Atual'!$A:$K,11,0),0),"-"),"-")</f>
        <v>-</v>
      </c>
      <c r="I125" s="15"/>
      <c r="J125" s="5"/>
      <c r="K125" s="5"/>
    </row>
    <row r="126" customFormat="false" ht="18" hidden="false" customHeight="true" outlineLevel="0" collapsed="false">
      <c r="A126" s="18"/>
      <c r="B126" s="19"/>
      <c r="C126" s="20" t="str">
        <f aca="false">IFERROR(VLOOKUP(B126,Cadastro!$A$5:$B$54,2,0),"")</f>
        <v/>
      </c>
      <c r="D126" s="19"/>
      <c r="E126" s="21"/>
      <c r="F126" s="11"/>
      <c r="G126" s="11" t="str">
        <f aca="false">IF(AND($D126="E",E126&lt;&gt;"",F126&lt;&gt;""),E126*F126,"-")</f>
        <v>-</v>
      </c>
      <c r="H126" s="11" t="str">
        <f aca="false">IF($D126="S",IF(AND(B126&lt;&gt;"",E126&lt;&gt;""),E126*IFERROR(VLOOKUP(B126,'Saldo Atual'!$A:$K,11,0),0),"-"),"-")</f>
        <v>-</v>
      </c>
      <c r="I126" s="19"/>
      <c r="J126" s="9"/>
      <c r="K126" s="9"/>
    </row>
    <row r="127" customFormat="false" ht="18" hidden="false" customHeight="true" outlineLevel="0" collapsed="false">
      <c r="A127" s="14"/>
      <c r="B127" s="15"/>
      <c r="C127" s="16" t="str">
        <f aca="false">IFERROR(VLOOKUP(B127,Cadastro!$A$5:$B$54,2,0),"")</f>
        <v/>
      </c>
      <c r="D127" s="15"/>
      <c r="E127" s="17"/>
      <c r="F127" s="7"/>
      <c r="G127" s="7" t="str">
        <f aca="false">IF(AND($D127="E",E127&lt;&gt;"",F127&lt;&gt;""),E127*F127,"-")</f>
        <v>-</v>
      </c>
      <c r="H127" s="7" t="str">
        <f aca="false">IF($D127="S",IF(AND(B127&lt;&gt;"",E127&lt;&gt;""),E127*IFERROR(VLOOKUP(B127,'Saldo Atual'!$A:$K,11,0),0),"-"),"-")</f>
        <v>-</v>
      </c>
      <c r="I127" s="15"/>
      <c r="J127" s="5"/>
      <c r="K127" s="5"/>
    </row>
    <row r="128" customFormat="false" ht="18" hidden="false" customHeight="true" outlineLevel="0" collapsed="false">
      <c r="A128" s="18"/>
      <c r="B128" s="19"/>
      <c r="C128" s="20" t="str">
        <f aca="false">IFERROR(VLOOKUP(B128,Cadastro!$A$5:$B$54,2,0),"")</f>
        <v/>
      </c>
      <c r="D128" s="19"/>
      <c r="E128" s="21"/>
      <c r="F128" s="11"/>
      <c r="G128" s="11" t="str">
        <f aca="false">IF(AND($D128="E",E128&lt;&gt;"",F128&lt;&gt;""),E128*F128,"-")</f>
        <v>-</v>
      </c>
      <c r="H128" s="11" t="str">
        <f aca="false">IF($D128="S",IF(AND(B128&lt;&gt;"",E128&lt;&gt;""),E128*IFERROR(VLOOKUP(B128,'Saldo Atual'!$A:$K,11,0),0),"-"),"-")</f>
        <v>-</v>
      </c>
      <c r="I128" s="19"/>
      <c r="J128" s="9"/>
      <c r="K128" s="9"/>
    </row>
    <row r="129" customFormat="false" ht="18" hidden="false" customHeight="true" outlineLevel="0" collapsed="false">
      <c r="A129" s="14"/>
      <c r="B129" s="15"/>
      <c r="C129" s="16" t="str">
        <f aca="false">IFERROR(VLOOKUP(B129,Cadastro!$A$5:$B$54,2,0),"")</f>
        <v/>
      </c>
      <c r="D129" s="15"/>
      <c r="E129" s="17"/>
      <c r="F129" s="7"/>
      <c r="G129" s="7" t="str">
        <f aca="false">IF(AND($D129="E",E129&lt;&gt;"",F129&lt;&gt;""),E129*F129,"-")</f>
        <v>-</v>
      </c>
      <c r="H129" s="7" t="str">
        <f aca="false">IF($D129="S",IF(AND(B129&lt;&gt;"",E129&lt;&gt;""),E129*IFERROR(VLOOKUP(B129,'Saldo Atual'!$A:$K,11,0),0),"-"),"-")</f>
        <v>-</v>
      </c>
      <c r="I129" s="15"/>
      <c r="J129" s="5"/>
      <c r="K129" s="5"/>
    </row>
    <row r="130" customFormat="false" ht="18" hidden="false" customHeight="true" outlineLevel="0" collapsed="false">
      <c r="A130" s="18"/>
      <c r="B130" s="19"/>
      <c r="C130" s="20" t="str">
        <f aca="false">IFERROR(VLOOKUP(B130,Cadastro!$A$5:$B$54,2,0),"")</f>
        <v/>
      </c>
      <c r="D130" s="19"/>
      <c r="E130" s="21"/>
      <c r="F130" s="11"/>
      <c r="G130" s="11" t="str">
        <f aca="false">IF(AND($D130="E",E130&lt;&gt;"",F130&lt;&gt;""),E130*F130,"-")</f>
        <v>-</v>
      </c>
      <c r="H130" s="11" t="str">
        <f aca="false">IF($D130="S",IF(AND(B130&lt;&gt;"",E130&lt;&gt;""),E130*IFERROR(VLOOKUP(B130,'Saldo Atual'!$A:$K,11,0),0),"-"),"-")</f>
        <v>-</v>
      </c>
      <c r="I130" s="19"/>
      <c r="J130" s="9"/>
      <c r="K130" s="9"/>
    </row>
    <row r="131" customFormat="false" ht="18" hidden="false" customHeight="true" outlineLevel="0" collapsed="false">
      <c r="A131" s="14"/>
      <c r="B131" s="15"/>
      <c r="C131" s="16" t="str">
        <f aca="false">IFERROR(VLOOKUP(B131,Cadastro!$A$5:$B$54,2,0),"")</f>
        <v/>
      </c>
      <c r="D131" s="15"/>
      <c r="E131" s="17"/>
      <c r="F131" s="7"/>
      <c r="G131" s="7" t="str">
        <f aca="false">IF(AND($D131="E",E131&lt;&gt;"",F131&lt;&gt;""),E131*F131,"-")</f>
        <v>-</v>
      </c>
      <c r="H131" s="7" t="str">
        <f aca="false">IF($D131="S",IF(AND(B131&lt;&gt;"",E131&lt;&gt;""),E131*IFERROR(VLOOKUP(B131,'Saldo Atual'!$A:$K,11,0),0),"-"),"-")</f>
        <v>-</v>
      </c>
      <c r="I131" s="15"/>
      <c r="J131" s="5"/>
      <c r="K131" s="5"/>
    </row>
    <row r="132" customFormat="false" ht="18" hidden="false" customHeight="true" outlineLevel="0" collapsed="false">
      <c r="A132" s="18"/>
      <c r="B132" s="19"/>
      <c r="C132" s="20" t="str">
        <f aca="false">IFERROR(VLOOKUP(B132,Cadastro!$A$5:$B$54,2,0),"")</f>
        <v/>
      </c>
      <c r="D132" s="19"/>
      <c r="E132" s="21"/>
      <c r="F132" s="11"/>
      <c r="G132" s="11" t="str">
        <f aca="false">IF(AND($D132="E",E132&lt;&gt;"",F132&lt;&gt;""),E132*F132,"-")</f>
        <v>-</v>
      </c>
      <c r="H132" s="11" t="str">
        <f aca="false">IF($D132="S",IF(AND(B132&lt;&gt;"",E132&lt;&gt;""),E132*IFERROR(VLOOKUP(B132,'Saldo Atual'!$A:$K,11,0),0),"-"),"-")</f>
        <v>-</v>
      </c>
      <c r="I132" s="19"/>
      <c r="J132" s="9"/>
      <c r="K132" s="9"/>
    </row>
    <row r="133" customFormat="false" ht="18" hidden="false" customHeight="true" outlineLevel="0" collapsed="false">
      <c r="A133" s="14"/>
      <c r="B133" s="15"/>
      <c r="C133" s="16" t="str">
        <f aca="false">IFERROR(VLOOKUP(B133,Cadastro!$A$5:$B$54,2,0),"")</f>
        <v/>
      </c>
      <c r="D133" s="15"/>
      <c r="E133" s="17"/>
      <c r="F133" s="7"/>
      <c r="G133" s="7" t="str">
        <f aca="false">IF(AND($D133="E",E133&lt;&gt;"",F133&lt;&gt;""),E133*F133,"-")</f>
        <v>-</v>
      </c>
      <c r="H133" s="7" t="str">
        <f aca="false">IF($D133="S",IF(AND(B133&lt;&gt;"",E133&lt;&gt;""),E133*IFERROR(VLOOKUP(B133,'Saldo Atual'!$A:$K,11,0),0),"-"),"-")</f>
        <v>-</v>
      </c>
      <c r="I133" s="15"/>
      <c r="J133" s="5"/>
      <c r="K133" s="5"/>
    </row>
    <row r="134" customFormat="false" ht="18" hidden="false" customHeight="true" outlineLevel="0" collapsed="false">
      <c r="A134" s="18"/>
      <c r="B134" s="19"/>
      <c r="C134" s="20" t="str">
        <f aca="false">IFERROR(VLOOKUP(B134,Cadastro!$A$5:$B$54,2,0),"")</f>
        <v/>
      </c>
      <c r="D134" s="19"/>
      <c r="E134" s="21"/>
      <c r="F134" s="11"/>
      <c r="G134" s="11" t="str">
        <f aca="false">IF(AND($D134="E",E134&lt;&gt;"",F134&lt;&gt;""),E134*F134,"-")</f>
        <v>-</v>
      </c>
      <c r="H134" s="11" t="str">
        <f aca="false">IF($D134="S",IF(AND(B134&lt;&gt;"",E134&lt;&gt;""),E134*IFERROR(VLOOKUP(B134,'Saldo Atual'!$A:$K,11,0),0),"-"),"-")</f>
        <v>-</v>
      </c>
      <c r="I134" s="19"/>
      <c r="J134" s="9"/>
      <c r="K134" s="9"/>
    </row>
    <row r="135" customFormat="false" ht="18" hidden="false" customHeight="true" outlineLevel="0" collapsed="false">
      <c r="A135" s="14"/>
      <c r="B135" s="15"/>
      <c r="C135" s="16" t="str">
        <f aca="false">IFERROR(VLOOKUP(B135,Cadastro!$A$5:$B$54,2,0),"")</f>
        <v/>
      </c>
      <c r="D135" s="15"/>
      <c r="E135" s="17"/>
      <c r="F135" s="7"/>
      <c r="G135" s="7" t="str">
        <f aca="false">IF(AND($D135="E",E135&lt;&gt;"",F135&lt;&gt;""),E135*F135,"-")</f>
        <v>-</v>
      </c>
      <c r="H135" s="7" t="str">
        <f aca="false">IF($D135="S",IF(AND(B135&lt;&gt;"",E135&lt;&gt;""),E135*IFERROR(VLOOKUP(B135,'Saldo Atual'!$A:$K,11,0),0),"-"),"-")</f>
        <v>-</v>
      </c>
      <c r="I135" s="15"/>
      <c r="J135" s="5"/>
      <c r="K135" s="5"/>
    </row>
    <row r="136" customFormat="false" ht="18" hidden="false" customHeight="true" outlineLevel="0" collapsed="false">
      <c r="A136" s="18"/>
      <c r="B136" s="19"/>
      <c r="C136" s="20" t="str">
        <f aca="false">IFERROR(VLOOKUP(B136,Cadastro!$A$5:$B$54,2,0),"")</f>
        <v/>
      </c>
      <c r="D136" s="19"/>
      <c r="E136" s="21"/>
      <c r="F136" s="11"/>
      <c r="G136" s="11" t="str">
        <f aca="false">IF(AND($D136="E",E136&lt;&gt;"",F136&lt;&gt;""),E136*F136,"-")</f>
        <v>-</v>
      </c>
      <c r="H136" s="11" t="str">
        <f aca="false">IF($D136="S",IF(AND(B136&lt;&gt;"",E136&lt;&gt;""),E136*IFERROR(VLOOKUP(B136,'Saldo Atual'!$A:$K,11,0),0),"-"),"-")</f>
        <v>-</v>
      </c>
      <c r="I136" s="19"/>
      <c r="J136" s="9"/>
      <c r="K136" s="9"/>
    </row>
    <row r="137" customFormat="false" ht="18" hidden="false" customHeight="true" outlineLevel="0" collapsed="false">
      <c r="A137" s="14"/>
      <c r="B137" s="15"/>
      <c r="C137" s="16" t="str">
        <f aca="false">IFERROR(VLOOKUP(B137,Cadastro!$A$5:$B$54,2,0),"")</f>
        <v/>
      </c>
      <c r="D137" s="15"/>
      <c r="E137" s="17"/>
      <c r="F137" s="7"/>
      <c r="G137" s="7" t="str">
        <f aca="false">IF(AND($D137="E",E137&lt;&gt;"",F137&lt;&gt;""),E137*F137,"-")</f>
        <v>-</v>
      </c>
      <c r="H137" s="7" t="str">
        <f aca="false">IF($D137="S",IF(AND(B137&lt;&gt;"",E137&lt;&gt;""),E137*IFERROR(VLOOKUP(B137,'Saldo Atual'!$A:$K,11,0),0),"-"),"-")</f>
        <v>-</v>
      </c>
      <c r="I137" s="15"/>
      <c r="J137" s="5"/>
      <c r="K137" s="5"/>
    </row>
    <row r="138" customFormat="false" ht="18" hidden="false" customHeight="true" outlineLevel="0" collapsed="false">
      <c r="A138" s="18"/>
      <c r="B138" s="19"/>
      <c r="C138" s="20" t="str">
        <f aca="false">IFERROR(VLOOKUP(B138,Cadastro!$A$5:$B$54,2,0),"")</f>
        <v/>
      </c>
      <c r="D138" s="19"/>
      <c r="E138" s="21"/>
      <c r="F138" s="11"/>
      <c r="G138" s="11" t="str">
        <f aca="false">IF(AND($D138="E",E138&lt;&gt;"",F138&lt;&gt;""),E138*F138,"-")</f>
        <v>-</v>
      </c>
      <c r="H138" s="11" t="str">
        <f aca="false">IF($D138="S",IF(AND(B138&lt;&gt;"",E138&lt;&gt;""),E138*IFERROR(VLOOKUP(B138,'Saldo Atual'!$A:$K,11,0),0),"-"),"-")</f>
        <v>-</v>
      </c>
      <c r="I138" s="19"/>
      <c r="J138" s="9"/>
      <c r="K138" s="9"/>
    </row>
    <row r="139" customFormat="false" ht="18" hidden="false" customHeight="true" outlineLevel="0" collapsed="false">
      <c r="A139" s="14"/>
      <c r="B139" s="15"/>
      <c r="C139" s="16" t="str">
        <f aca="false">IFERROR(VLOOKUP(B139,Cadastro!$A$5:$B$54,2,0),"")</f>
        <v/>
      </c>
      <c r="D139" s="15"/>
      <c r="E139" s="17"/>
      <c r="F139" s="7"/>
      <c r="G139" s="7" t="str">
        <f aca="false">IF(AND($D139="E",E139&lt;&gt;"",F139&lt;&gt;""),E139*F139,"-")</f>
        <v>-</v>
      </c>
      <c r="H139" s="7" t="str">
        <f aca="false">IF($D139="S",IF(AND(B139&lt;&gt;"",E139&lt;&gt;""),E139*IFERROR(VLOOKUP(B139,'Saldo Atual'!$A:$K,11,0),0),"-"),"-")</f>
        <v>-</v>
      </c>
      <c r="I139" s="15"/>
      <c r="J139" s="5"/>
      <c r="K139" s="5"/>
    </row>
    <row r="140" customFormat="false" ht="18" hidden="false" customHeight="true" outlineLevel="0" collapsed="false">
      <c r="A140" s="18"/>
      <c r="B140" s="19"/>
      <c r="C140" s="20" t="str">
        <f aca="false">IFERROR(VLOOKUP(B140,Cadastro!$A$5:$B$54,2,0),"")</f>
        <v/>
      </c>
      <c r="D140" s="19"/>
      <c r="E140" s="21"/>
      <c r="F140" s="11"/>
      <c r="G140" s="11" t="str">
        <f aca="false">IF(AND($D140="E",E140&lt;&gt;"",F140&lt;&gt;""),E140*F140,"-")</f>
        <v>-</v>
      </c>
      <c r="H140" s="11" t="str">
        <f aca="false">IF($D140="S",IF(AND(B140&lt;&gt;"",E140&lt;&gt;""),E140*IFERROR(VLOOKUP(B140,'Saldo Atual'!$A:$K,11,0),0),"-"),"-")</f>
        <v>-</v>
      </c>
      <c r="I140" s="19"/>
      <c r="J140" s="9"/>
      <c r="K140" s="9"/>
    </row>
    <row r="141" customFormat="false" ht="18" hidden="false" customHeight="true" outlineLevel="0" collapsed="false">
      <c r="A141" s="14"/>
      <c r="B141" s="15"/>
      <c r="C141" s="16" t="str">
        <f aca="false">IFERROR(VLOOKUP(B141,Cadastro!$A$5:$B$54,2,0),"")</f>
        <v/>
      </c>
      <c r="D141" s="15"/>
      <c r="E141" s="17"/>
      <c r="F141" s="7"/>
      <c r="G141" s="7" t="str">
        <f aca="false">IF(AND($D141="E",E141&lt;&gt;"",F141&lt;&gt;""),E141*F141,"-")</f>
        <v>-</v>
      </c>
      <c r="H141" s="7" t="str">
        <f aca="false">IF($D141="S",IF(AND(B141&lt;&gt;"",E141&lt;&gt;""),E141*IFERROR(VLOOKUP(B141,'Saldo Atual'!$A:$K,11,0),0),"-"),"-")</f>
        <v>-</v>
      </c>
      <c r="I141" s="15"/>
      <c r="J141" s="5"/>
      <c r="K141" s="5"/>
    </row>
    <row r="142" customFormat="false" ht="18" hidden="false" customHeight="true" outlineLevel="0" collapsed="false">
      <c r="A142" s="18"/>
      <c r="B142" s="19"/>
      <c r="C142" s="20" t="str">
        <f aca="false">IFERROR(VLOOKUP(B142,Cadastro!$A$5:$B$54,2,0),"")</f>
        <v/>
      </c>
      <c r="D142" s="19"/>
      <c r="E142" s="21"/>
      <c r="F142" s="11"/>
      <c r="G142" s="11" t="str">
        <f aca="false">IF(AND($D142="E",E142&lt;&gt;"",F142&lt;&gt;""),E142*F142,"-")</f>
        <v>-</v>
      </c>
      <c r="H142" s="11" t="str">
        <f aca="false">IF($D142="S",IF(AND(B142&lt;&gt;"",E142&lt;&gt;""),E142*IFERROR(VLOOKUP(B142,'Saldo Atual'!$A:$K,11,0),0),"-"),"-")</f>
        <v>-</v>
      </c>
      <c r="I142" s="19"/>
      <c r="J142" s="9"/>
      <c r="K142" s="9"/>
    </row>
    <row r="143" customFormat="false" ht="18" hidden="false" customHeight="true" outlineLevel="0" collapsed="false">
      <c r="A143" s="14"/>
      <c r="B143" s="15"/>
      <c r="C143" s="16" t="str">
        <f aca="false">IFERROR(VLOOKUP(B143,Cadastro!$A$5:$B$54,2,0),"")</f>
        <v/>
      </c>
      <c r="D143" s="15"/>
      <c r="E143" s="17"/>
      <c r="F143" s="7"/>
      <c r="G143" s="7" t="str">
        <f aca="false">IF(AND($D143="E",E143&lt;&gt;"",F143&lt;&gt;""),E143*F143,"-")</f>
        <v>-</v>
      </c>
      <c r="H143" s="7" t="str">
        <f aca="false">IF($D143="S",IF(AND(B143&lt;&gt;"",E143&lt;&gt;""),E143*IFERROR(VLOOKUP(B143,'Saldo Atual'!$A:$K,11,0),0),"-"),"-")</f>
        <v>-</v>
      </c>
      <c r="I143" s="15"/>
      <c r="J143" s="5"/>
      <c r="K143" s="5"/>
    </row>
    <row r="144" customFormat="false" ht="18" hidden="false" customHeight="true" outlineLevel="0" collapsed="false">
      <c r="A144" s="18"/>
      <c r="B144" s="19"/>
      <c r="C144" s="20" t="str">
        <f aca="false">IFERROR(VLOOKUP(B144,Cadastro!$A$5:$B$54,2,0),"")</f>
        <v/>
      </c>
      <c r="D144" s="19"/>
      <c r="E144" s="21"/>
      <c r="F144" s="11"/>
      <c r="G144" s="11" t="str">
        <f aca="false">IF(AND($D144="E",E144&lt;&gt;"",F144&lt;&gt;""),E144*F144,"-")</f>
        <v>-</v>
      </c>
      <c r="H144" s="11" t="str">
        <f aca="false">IF($D144="S",IF(AND(B144&lt;&gt;"",E144&lt;&gt;""),E144*IFERROR(VLOOKUP(B144,'Saldo Atual'!$A:$K,11,0),0),"-"),"-")</f>
        <v>-</v>
      </c>
      <c r="I144" s="19"/>
      <c r="J144" s="9"/>
      <c r="K144" s="9"/>
    </row>
    <row r="145" customFormat="false" ht="18" hidden="false" customHeight="true" outlineLevel="0" collapsed="false">
      <c r="A145" s="14"/>
      <c r="B145" s="15"/>
      <c r="C145" s="16" t="str">
        <f aca="false">IFERROR(VLOOKUP(B145,Cadastro!$A$5:$B$54,2,0),"")</f>
        <v/>
      </c>
      <c r="D145" s="15"/>
      <c r="E145" s="17"/>
      <c r="F145" s="7"/>
      <c r="G145" s="7" t="str">
        <f aca="false">IF(AND($D145="E",E145&lt;&gt;"",F145&lt;&gt;""),E145*F145,"-")</f>
        <v>-</v>
      </c>
      <c r="H145" s="7" t="str">
        <f aca="false">IF($D145="S",IF(AND(B145&lt;&gt;"",E145&lt;&gt;""),E145*IFERROR(VLOOKUP(B145,'Saldo Atual'!$A:$K,11,0),0),"-"),"-")</f>
        <v>-</v>
      </c>
      <c r="I145" s="15"/>
      <c r="J145" s="5"/>
      <c r="K145" s="5"/>
    </row>
    <row r="146" customFormat="false" ht="18" hidden="false" customHeight="true" outlineLevel="0" collapsed="false">
      <c r="A146" s="18"/>
      <c r="B146" s="19"/>
      <c r="C146" s="20" t="str">
        <f aca="false">IFERROR(VLOOKUP(B146,Cadastro!$A$5:$B$54,2,0),"")</f>
        <v/>
      </c>
      <c r="D146" s="19"/>
      <c r="E146" s="21"/>
      <c r="F146" s="11"/>
      <c r="G146" s="11" t="str">
        <f aca="false">IF(AND($D146="E",E146&lt;&gt;"",F146&lt;&gt;""),E146*F146,"-")</f>
        <v>-</v>
      </c>
      <c r="H146" s="11" t="str">
        <f aca="false">IF($D146="S",IF(AND(B146&lt;&gt;"",E146&lt;&gt;""),E146*IFERROR(VLOOKUP(B146,'Saldo Atual'!$A:$K,11,0),0),"-"),"-")</f>
        <v>-</v>
      </c>
      <c r="I146" s="19"/>
      <c r="J146" s="9"/>
      <c r="K146" s="9"/>
    </row>
    <row r="147" customFormat="false" ht="18" hidden="false" customHeight="true" outlineLevel="0" collapsed="false">
      <c r="A147" s="14"/>
      <c r="B147" s="15"/>
      <c r="C147" s="16" t="str">
        <f aca="false">IFERROR(VLOOKUP(B147,Cadastro!$A$5:$B$54,2,0),"")</f>
        <v/>
      </c>
      <c r="D147" s="15"/>
      <c r="E147" s="17"/>
      <c r="F147" s="7"/>
      <c r="G147" s="7" t="str">
        <f aca="false">IF(AND($D147="E",E147&lt;&gt;"",F147&lt;&gt;""),E147*F147,"-")</f>
        <v>-</v>
      </c>
      <c r="H147" s="7" t="str">
        <f aca="false">IF($D147="S",IF(AND(B147&lt;&gt;"",E147&lt;&gt;""),E147*IFERROR(VLOOKUP(B147,'Saldo Atual'!$A:$K,11,0),0),"-"),"-")</f>
        <v>-</v>
      </c>
      <c r="I147" s="15"/>
      <c r="J147" s="5"/>
      <c r="K147" s="5"/>
    </row>
    <row r="148" customFormat="false" ht="18" hidden="false" customHeight="true" outlineLevel="0" collapsed="false">
      <c r="A148" s="18"/>
      <c r="B148" s="19"/>
      <c r="C148" s="20" t="str">
        <f aca="false">IFERROR(VLOOKUP(B148,Cadastro!$A$5:$B$54,2,0),"")</f>
        <v/>
      </c>
      <c r="D148" s="19"/>
      <c r="E148" s="21"/>
      <c r="F148" s="11"/>
      <c r="G148" s="11" t="str">
        <f aca="false">IF(AND($D148="E",E148&lt;&gt;"",F148&lt;&gt;""),E148*F148,"-")</f>
        <v>-</v>
      </c>
      <c r="H148" s="11" t="str">
        <f aca="false">IF($D148="S",IF(AND(B148&lt;&gt;"",E148&lt;&gt;""),E148*IFERROR(VLOOKUP(B148,'Saldo Atual'!$A:$K,11,0),0),"-"),"-")</f>
        <v>-</v>
      </c>
      <c r="I148" s="19"/>
      <c r="J148" s="9"/>
      <c r="K148" s="9"/>
    </row>
    <row r="149" customFormat="false" ht="18" hidden="false" customHeight="true" outlineLevel="0" collapsed="false">
      <c r="A149" s="14"/>
      <c r="B149" s="15"/>
      <c r="C149" s="16" t="str">
        <f aca="false">IFERROR(VLOOKUP(B149,Cadastro!$A$5:$B$54,2,0),"")</f>
        <v/>
      </c>
      <c r="D149" s="15"/>
      <c r="E149" s="17"/>
      <c r="F149" s="7"/>
      <c r="G149" s="7" t="str">
        <f aca="false">IF(AND($D149="E",E149&lt;&gt;"",F149&lt;&gt;""),E149*F149,"-")</f>
        <v>-</v>
      </c>
      <c r="H149" s="7" t="str">
        <f aca="false">IF($D149="S",IF(AND(B149&lt;&gt;"",E149&lt;&gt;""),E149*IFERROR(VLOOKUP(B149,'Saldo Atual'!$A:$K,11,0),0),"-"),"-")</f>
        <v>-</v>
      </c>
      <c r="I149" s="15"/>
      <c r="J149" s="5"/>
      <c r="K149" s="5"/>
    </row>
    <row r="150" customFormat="false" ht="18" hidden="false" customHeight="true" outlineLevel="0" collapsed="false">
      <c r="A150" s="18"/>
      <c r="B150" s="19"/>
      <c r="C150" s="20" t="str">
        <f aca="false">IFERROR(VLOOKUP(B150,Cadastro!$A$5:$B$54,2,0),"")</f>
        <v/>
      </c>
      <c r="D150" s="19"/>
      <c r="E150" s="21"/>
      <c r="F150" s="11"/>
      <c r="G150" s="11" t="str">
        <f aca="false">IF(AND($D150="E",E150&lt;&gt;"",F150&lt;&gt;""),E150*F150,"-")</f>
        <v>-</v>
      </c>
      <c r="H150" s="11" t="str">
        <f aca="false">IF($D150="S",IF(AND(B150&lt;&gt;"",E150&lt;&gt;""),E150*IFERROR(VLOOKUP(B150,'Saldo Atual'!$A:$K,11,0),0),"-"),"-")</f>
        <v>-</v>
      </c>
      <c r="I150" s="19"/>
      <c r="J150" s="9"/>
      <c r="K150" s="9"/>
    </row>
    <row r="151" customFormat="false" ht="18" hidden="false" customHeight="true" outlineLevel="0" collapsed="false">
      <c r="A151" s="14"/>
      <c r="B151" s="15"/>
      <c r="C151" s="16" t="str">
        <f aca="false">IFERROR(VLOOKUP(B151,Cadastro!$A$5:$B$54,2,0),"")</f>
        <v/>
      </c>
      <c r="D151" s="15"/>
      <c r="E151" s="17"/>
      <c r="F151" s="7"/>
      <c r="G151" s="7" t="str">
        <f aca="false">IF(AND($D151="E",E151&lt;&gt;"",F151&lt;&gt;""),E151*F151,"-")</f>
        <v>-</v>
      </c>
      <c r="H151" s="7" t="str">
        <f aca="false">IF($D151="S",IF(AND(B151&lt;&gt;"",E151&lt;&gt;""),E151*IFERROR(VLOOKUP(B151,'Saldo Atual'!$A:$K,11,0),0),"-"),"-")</f>
        <v>-</v>
      </c>
      <c r="I151" s="15"/>
      <c r="J151" s="5"/>
      <c r="K151" s="5"/>
    </row>
    <row r="152" customFormat="false" ht="18" hidden="false" customHeight="true" outlineLevel="0" collapsed="false">
      <c r="A152" s="18"/>
      <c r="B152" s="19"/>
      <c r="C152" s="20" t="str">
        <f aca="false">IFERROR(VLOOKUP(B152,Cadastro!$A$5:$B$54,2,0),"")</f>
        <v/>
      </c>
      <c r="D152" s="19"/>
      <c r="E152" s="21"/>
      <c r="F152" s="11"/>
      <c r="G152" s="11" t="str">
        <f aca="false">IF(AND($D152="E",E152&lt;&gt;"",F152&lt;&gt;""),E152*F152,"-")</f>
        <v>-</v>
      </c>
      <c r="H152" s="11" t="str">
        <f aca="false">IF($D152="S",IF(AND(B152&lt;&gt;"",E152&lt;&gt;""),E152*IFERROR(VLOOKUP(B152,'Saldo Atual'!$A:$K,11,0),0),"-"),"-")</f>
        <v>-</v>
      </c>
      <c r="I152" s="19"/>
      <c r="J152" s="9"/>
      <c r="K152" s="9"/>
    </row>
    <row r="153" customFormat="false" ht="18" hidden="false" customHeight="true" outlineLevel="0" collapsed="false">
      <c r="A153" s="14"/>
      <c r="B153" s="15"/>
      <c r="C153" s="16" t="str">
        <f aca="false">IFERROR(VLOOKUP(B153,Cadastro!$A$5:$B$54,2,0),"")</f>
        <v/>
      </c>
      <c r="D153" s="15"/>
      <c r="E153" s="17"/>
      <c r="F153" s="7"/>
      <c r="G153" s="7" t="str">
        <f aca="false">IF(AND($D153="E",E153&lt;&gt;"",F153&lt;&gt;""),E153*F153,"-")</f>
        <v>-</v>
      </c>
      <c r="H153" s="7" t="str">
        <f aca="false">IF($D153="S",IF(AND(B153&lt;&gt;"",E153&lt;&gt;""),E153*IFERROR(VLOOKUP(B153,'Saldo Atual'!$A:$K,11,0),0),"-"),"-")</f>
        <v>-</v>
      </c>
      <c r="I153" s="15"/>
      <c r="J153" s="5"/>
      <c r="K153" s="5"/>
    </row>
    <row r="154" customFormat="false" ht="18" hidden="false" customHeight="true" outlineLevel="0" collapsed="false">
      <c r="A154" s="18"/>
      <c r="B154" s="19"/>
      <c r="C154" s="20" t="str">
        <f aca="false">IFERROR(VLOOKUP(B154,Cadastro!$A$5:$B$54,2,0),"")</f>
        <v/>
      </c>
      <c r="D154" s="19"/>
      <c r="E154" s="21"/>
      <c r="F154" s="11"/>
      <c r="G154" s="11" t="str">
        <f aca="false">IF(AND($D154="E",E154&lt;&gt;"",F154&lt;&gt;""),E154*F154,"-")</f>
        <v>-</v>
      </c>
      <c r="H154" s="11" t="str">
        <f aca="false">IF($D154="S",IF(AND(B154&lt;&gt;"",E154&lt;&gt;""),E154*IFERROR(VLOOKUP(B154,'Saldo Atual'!$A:$K,11,0),0),"-"),"-")</f>
        <v>-</v>
      </c>
      <c r="I154" s="19"/>
      <c r="J154" s="9"/>
      <c r="K154" s="9"/>
    </row>
    <row r="155" customFormat="false" ht="18" hidden="false" customHeight="true" outlineLevel="0" collapsed="false">
      <c r="A155" s="14"/>
      <c r="B155" s="15"/>
      <c r="C155" s="16" t="str">
        <f aca="false">IFERROR(VLOOKUP(B155,Cadastro!$A$5:$B$54,2,0),"")</f>
        <v/>
      </c>
      <c r="D155" s="15"/>
      <c r="E155" s="17"/>
      <c r="F155" s="7"/>
      <c r="G155" s="7" t="str">
        <f aca="false">IF(AND($D155="E",E155&lt;&gt;"",F155&lt;&gt;""),E155*F155,"-")</f>
        <v>-</v>
      </c>
      <c r="H155" s="7" t="str">
        <f aca="false">IF($D155="S",IF(AND(B155&lt;&gt;"",E155&lt;&gt;""),E155*IFERROR(VLOOKUP(B155,'Saldo Atual'!$A:$K,11,0),0),"-"),"-")</f>
        <v>-</v>
      </c>
      <c r="I155" s="15"/>
      <c r="J155" s="5"/>
      <c r="K155" s="5"/>
    </row>
    <row r="156" customFormat="false" ht="18" hidden="false" customHeight="true" outlineLevel="0" collapsed="false">
      <c r="A156" s="18"/>
      <c r="B156" s="19"/>
      <c r="C156" s="20" t="str">
        <f aca="false">IFERROR(VLOOKUP(B156,Cadastro!$A$5:$B$54,2,0),"")</f>
        <v/>
      </c>
      <c r="D156" s="19"/>
      <c r="E156" s="21"/>
      <c r="F156" s="11"/>
      <c r="G156" s="11" t="str">
        <f aca="false">IF(AND($D156="E",E156&lt;&gt;"",F156&lt;&gt;""),E156*F156,"-")</f>
        <v>-</v>
      </c>
      <c r="H156" s="11" t="str">
        <f aca="false">IF($D156="S",IF(AND(B156&lt;&gt;"",E156&lt;&gt;""),E156*IFERROR(VLOOKUP(B156,'Saldo Atual'!$A:$K,11,0),0),"-"),"-")</f>
        <v>-</v>
      </c>
      <c r="I156" s="19"/>
      <c r="J156" s="9"/>
      <c r="K156" s="9"/>
    </row>
    <row r="157" customFormat="false" ht="18" hidden="false" customHeight="true" outlineLevel="0" collapsed="false">
      <c r="A157" s="14"/>
      <c r="B157" s="15"/>
      <c r="C157" s="16" t="str">
        <f aca="false">IFERROR(VLOOKUP(B157,Cadastro!$A$5:$B$54,2,0),"")</f>
        <v/>
      </c>
      <c r="D157" s="15"/>
      <c r="E157" s="17"/>
      <c r="F157" s="7"/>
      <c r="G157" s="7" t="str">
        <f aca="false">IF(AND($D157="E",E157&lt;&gt;"",F157&lt;&gt;""),E157*F157,"-")</f>
        <v>-</v>
      </c>
      <c r="H157" s="7" t="str">
        <f aca="false">IF($D157="S",IF(AND(B157&lt;&gt;"",E157&lt;&gt;""),E157*IFERROR(VLOOKUP(B157,'Saldo Atual'!$A:$K,11,0),0),"-"),"-")</f>
        <v>-</v>
      </c>
      <c r="I157" s="15"/>
      <c r="J157" s="5"/>
      <c r="K157" s="5"/>
    </row>
    <row r="158" customFormat="false" ht="18" hidden="false" customHeight="true" outlineLevel="0" collapsed="false">
      <c r="A158" s="18"/>
      <c r="B158" s="19"/>
      <c r="C158" s="20" t="str">
        <f aca="false">IFERROR(VLOOKUP(B158,Cadastro!$A$5:$B$54,2,0),"")</f>
        <v/>
      </c>
      <c r="D158" s="19"/>
      <c r="E158" s="21"/>
      <c r="F158" s="11"/>
      <c r="G158" s="11" t="str">
        <f aca="false">IF(AND($D158="E",E158&lt;&gt;"",F158&lt;&gt;""),E158*F158,"-")</f>
        <v>-</v>
      </c>
      <c r="H158" s="11" t="str">
        <f aca="false">IF($D158="S",IF(AND(B158&lt;&gt;"",E158&lt;&gt;""),E158*IFERROR(VLOOKUP(B158,'Saldo Atual'!$A:$K,11,0),0),"-"),"-")</f>
        <v>-</v>
      </c>
      <c r="I158" s="19"/>
      <c r="J158" s="9"/>
      <c r="K158" s="9"/>
    </row>
    <row r="159" customFormat="false" ht="18" hidden="false" customHeight="true" outlineLevel="0" collapsed="false">
      <c r="A159" s="14"/>
      <c r="B159" s="15"/>
      <c r="C159" s="16" t="str">
        <f aca="false">IFERROR(VLOOKUP(B159,Cadastro!$A$5:$B$54,2,0),"")</f>
        <v/>
      </c>
      <c r="D159" s="15"/>
      <c r="E159" s="17"/>
      <c r="F159" s="7"/>
      <c r="G159" s="7" t="str">
        <f aca="false">IF(AND($D159="E",E159&lt;&gt;"",F159&lt;&gt;""),E159*F159,"-")</f>
        <v>-</v>
      </c>
      <c r="H159" s="7" t="str">
        <f aca="false">IF($D159="S",IF(AND(B159&lt;&gt;"",E159&lt;&gt;""),E159*IFERROR(VLOOKUP(B159,'Saldo Atual'!$A:$K,11,0),0),"-"),"-")</f>
        <v>-</v>
      </c>
      <c r="I159" s="15"/>
      <c r="J159" s="5"/>
      <c r="K159" s="5"/>
    </row>
    <row r="160" customFormat="false" ht="18" hidden="false" customHeight="true" outlineLevel="0" collapsed="false">
      <c r="A160" s="18"/>
      <c r="B160" s="19"/>
      <c r="C160" s="20" t="str">
        <f aca="false">IFERROR(VLOOKUP(B160,Cadastro!$A$5:$B$54,2,0),"")</f>
        <v/>
      </c>
      <c r="D160" s="19"/>
      <c r="E160" s="21"/>
      <c r="F160" s="11"/>
      <c r="G160" s="11" t="str">
        <f aca="false">IF(AND($D160="E",E160&lt;&gt;"",F160&lt;&gt;""),E160*F160,"-")</f>
        <v>-</v>
      </c>
      <c r="H160" s="11" t="str">
        <f aca="false">IF($D160="S",IF(AND(B160&lt;&gt;"",E160&lt;&gt;""),E160*IFERROR(VLOOKUP(B160,'Saldo Atual'!$A:$K,11,0),0),"-"),"-")</f>
        <v>-</v>
      </c>
      <c r="I160" s="19"/>
      <c r="J160" s="9"/>
      <c r="K160" s="9"/>
    </row>
    <row r="161" customFormat="false" ht="18" hidden="false" customHeight="true" outlineLevel="0" collapsed="false">
      <c r="A161" s="14"/>
      <c r="B161" s="15"/>
      <c r="C161" s="16" t="str">
        <f aca="false">IFERROR(VLOOKUP(B161,Cadastro!$A$5:$B$54,2,0),"")</f>
        <v/>
      </c>
      <c r="D161" s="15"/>
      <c r="E161" s="17"/>
      <c r="F161" s="7"/>
      <c r="G161" s="7" t="str">
        <f aca="false">IF(AND($D161="E",E161&lt;&gt;"",F161&lt;&gt;""),E161*F161,"-")</f>
        <v>-</v>
      </c>
      <c r="H161" s="7" t="str">
        <f aca="false">IF($D161="S",IF(AND(B161&lt;&gt;"",E161&lt;&gt;""),E161*IFERROR(VLOOKUP(B161,'Saldo Atual'!$A:$K,11,0),0),"-"),"-")</f>
        <v>-</v>
      </c>
      <c r="I161" s="15"/>
      <c r="J161" s="5"/>
      <c r="K161" s="5"/>
    </row>
    <row r="162" customFormat="false" ht="18" hidden="false" customHeight="true" outlineLevel="0" collapsed="false">
      <c r="A162" s="18"/>
      <c r="B162" s="19"/>
      <c r="C162" s="20" t="str">
        <f aca="false">IFERROR(VLOOKUP(B162,Cadastro!$A$5:$B$54,2,0),"")</f>
        <v/>
      </c>
      <c r="D162" s="19"/>
      <c r="E162" s="21"/>
      <c r="F162" s="11"/>
      <c r="G162" s="11" t="str">
        <f aca="false">IF(AND($D162="E",E162&lt;&gt;"",F162&lt;&gt;""),E162*F162,"-")</f>
        <v>-</v>
      </c>
      <c r="H162" s="11" t="str">
        <f aca="false">IF($D162="S",IF(AND(B162&lt;&gt;"",E162&lt;&gt;""),E162*IFERROR(VLOOKUP(B162,'Saldo Atual'!$A:$K,11,0),0),"-"),"-")</f>
        <v>-</v>
      </c>
      <c r="I162" s="19"/>
      <c r="J162" s="9"/>
      <c r="K162" s="9"/>
    </row>
    <row r="163" customFormat="false" ht="18" hidden="false" customHeight="true" outlineLevel="0" collapsed="false">
      <c r="A163" s="14"/>
      <c r="B163" s="15"/>
      <c r="C163" s="16" t="str">
        <f aca="false">IFERROR(VLOOKUP(B163,Cadastro!$A$5:$B$54,2,0),"")</f>
        <v/>
      </c>
      <c r="D163" s="15"/>
      <c r="E163" s="17"/>
      <c r="F163" s="7"/>
      <c r="G163" s="7" t="str">
        <f aca="false">IF(AND($D163="E",E163&lt;&gt;"",F163&lt;&gt;""),E163*F163,"-")</f>
        <v>-</v>
      </c>
      <c r="H163" s="7" t="str">
        <f aca="false">IF($D163="S",IF(AND(B163&lt;&gt;"",E163&lt;&gt;""),E163*IFERROR(VLOOKUP(B163,'Saldo Atual'!$A:$K,11,0),0),"-"),"-")</f>
        <v>-</v>
      </c>
      <c r="I163" s="15"/>
      <c r="J163" s="5"/>
      <c r="K163" s="5"/>
    </row>
    <row r="164" customFormat="false" ht="18" hidden="false" customHeight="true" outlineLevel="0" collapsed="false">
      <c r="A164" s="18"/>
      <c r="B164" s="19"/>
      <c r="C164" s="20" t="str">
        <f aca="false">IFERROR(VLOOKUP(B164,Cadastro!$A$5:$B$54,2,0),"")</f>
        <v/>
      </c>
      <c r="D164" s="19"/>
      <c r="E164" s="21"/>
      <c r="F164" s="11"/>
      <c r="G164" s="11" t="str">
        <f aca="false">IF(AND($D164="E",E164&lt;&gt;"",F164&lt;&gt;""),E164*F164,"-")</f>
        <v>-</v>
      </c>
      <c r="H164" s="11" t="str">
        <f aca="false">IF($D164="S",IF(AND(B164&lt;&gt;"",E164&lt;&gt;""),E164*IFERROR(VLOOKUP(B164,'Saldo Atual'!$A:$K,11,0),0),"-"),"-")</f>
        <v>-</v>
      </c>
      <c r="I164" s="19"/>
      <c r="J164" s="9"/>
      <c r="K164" s="9"/>
    </row>
    <row r="165" customFormat="false" ht="18" hidden="false" customHeight="true" outlineLevel="0" collapsed="false">
      <c r="A165" s="14"/>
      <c r="B165" s="15"/>
      <c r="C165" s="16" t="str">
        <f aca="false">IFERROR(VLOOKUP(B165,Cadastro!$A$5:$B$54,2,0),"")</f>
        <v/>
      </c>
      <c r="D165" s="15"/>
      <c r="E165" s="17"/>
      <c r="F165" s="7"/>
      <c r="G165" s="7" t="str">
        <f aca="false">IF(AND($D165="E",E165&lt;&gt;"",F165&lt;&gt;""),E165*F165,"-")</f>
        <v>-</v>
      </c>
      <c r="H165" s="7" t="str">
        <f aca="false">IF($D165="S",IF(AND(B165&lt;&gt;"",E165&lt;&gt;""),E165*IFERROR(VLOOKUP(B165,'Saldo Atual'!$A:$K,11,0),0),"-"),"-")</f>
        <v>-</v>
      </c>
      <c r="I165" s="15"/>
      <c r="J165" s="5"/>
      <c r="K165" s="5"/>
    </row>
    <row r="166" customFormat="false" ht="18" hidden="false" customHeight="true" outlineLevel="0" collapsed="false">
      <c r="A166" s="18"/>
      <c r="B166" s="19"/>
      <c r="C166" s="20" t="str">
        <f aca="false">IFERROR(VLOOKUP(B166,Cadastro!$A$5:$B$54,2,0),"")</f>
        <v/>
      </c>
      <c r="D166" s="19"/>
      <c r="E166" s="21"/>
      <c r="F166" s="11"/>
      <c r="G166" s="11" t="str">
        <f aca="false">IF(AND($D166="E",E166&lt;&gt;"",F166&lt;&gt;""),E166*F166,"-")</f>
        <v>-</v>
      </c>
      <c r="H166" s="11" t="str">
        <f aca="false">IF($D166="S",IF(AND(B166&lt;&gt;"",E166&lt;&gt;""),E166*IFERROR(VLOOKUP(B166,'Saldo Atual'!$A:$K,11,0),0),"-"),"-")</f>
        <v>-</v>
      </c>
      <c r="I166" s="19"/>
      <c r="J166" s="9"/>
      <c r="K166" s="9"/>
    </row>
    <row r="167" customFormat="false" ht="18" hidden="false" customHeight="true" outlineLevel="0" collapsed="false">
      <c r="A167" s="14"/>
      <c r="B167" s="15"/>
      <c r="C167" s="16" t="str">
        <f aca="false">IFERROR(VLOOKUP(B167,Cadastro!$A$5:$B$54,2,0),"")</f>
        <v/>
      </c>
      <c r="D167" s="15"/>
      <c r="E167" s="17"/>
      <c r="F167" s="7"/>
      <c r="G167" s="7" t="str">
        <f aca="false">IF(AND($D167="E",E167&lt;&gt;"",F167&lt;&gt;""),E167*F167,"-")</f>
        <v>-</v>
      </c>
      <c r="H167" s="7" t="str">
        <f aca="false">IF($D167="S",IF(AND(B167&lt;&gt;"",E167&lt;&gt;""),E167*IFERROR(VLOOKUP(B167,'Saldo Atual'!$A:$K,11,0),0),"-"),"-")</f>
        <v>-</v>
      </c>
      <c r="I167" s="15"/>
      <c r="J167" s="5"/>
      <c r="K167" s="5"/>
    </row>
    <row r="168" customFormat="false" ht="18" hidden="false" customHeight="true" outlineLevel="0" collapsed="false">
      <c r="A168" s="18"/>
      <c r="B168" s="19"/>
      <c r="C168" s="20" t="str">
        <f aca="false">IFERROR(VLOOKUP(B168,Cadastro!$A$5:$B$54,2,0),"")</f>
        <v/>
      </c>
      <c r="D168" s="19"/>
      <c r="E168" s="21"/>
      <c r="F168" s="11"/>
      <c r="G168" s="11" t="str">
        <f aca="false">IF(AND($D168="E",E168&lt;&gt;"",F168&lt;&gt;""),E168*F168,"-")</f>
        <v>-</v>
      </c>
      <c r="H168" s="11" t="str">
        <f aca="false">IF($D168="S",IF(AND(B168&lt;&gt;"",E168&lt;&gt;""),E168*IFERROR(VLOOKUP(B168,'Saldo Atual'!$A:$K,11,0),0),"-"),"-")</f>
        <v>-</v>
      </c>
      <c r="I168" s="19"/>
      <c r="J168" s="9"/>
      <c r="K168" s="9"/>
    </row>
    <row r="169" customFormat="false" ht="18" hidden="false" customHeight="true" outlineLevel="0" collapsed="false">
      <c r="A169" s="14"/>
      <c r="B169" s="15"/>
      <c r="C169" s="16" t="str">
        <f aca="false">IFERROR(VLOOKUP(B169,Cadastro!$A$5:$B$54,2,0),"")</f>
        <v/>
      </c>
      <c r="D169" s="15"/>
      <c r="E169" s="17"/>
      <c r="F169" s="7"/>
      <c r="G169" s="7" t="str">
        <f aca="false">IF(AND($D169="E",E169&lt;&gt;"",F169&lt;&gt;""),E169*F169,"-")</f>
        <v>-</v>
      </c>
      <c r="H169" s="7" t="str">
        <f aca="false">IF($D169="S",IF(AND(B169&lt;&gt;"",E169&lt;&gt;""),E169*IFERROR(VLOOKUP(B169,'Saldo Atual'!$A:$K,11,0),0),"-"),"-")</f>
        <v>-</v>
      </c>
      <c r="I169" s="15"/>
      <c r="J169" s="5"/>
      <c r="K169" s="5"/>
    </row>
    <row r="170" customFormat="false" ht="18" hidden="false" customHeight="true" outlineLevel="0" collapsed="false">
      <c r="A170" s="18"/>
      <c r="B170" s="19"/>
      <c r="C170" s="20" t="str">
        <f aca="false">IFERROR(VLOOKUP(B170,Cadastro!$A$5:$B$54,2,0),"")</f>
        <v/>
      </c>
      <c r="D170" s="19"/>
      <c r="E170" s="21"/>
      <c r="F170" s="11"/>
      <c r="G170" s="11" t="str">
        <f aca="false">IF(AND($D170="E",E170&lt;&gt;"",F170&lt;&gt;""),E170*F170,"-")</f>
        <v>-</v>
      </c>
      <c r="H170" s="11" t="str">
        <f aca="false">IF($D170="S",IF(AND(B170&lt;&gt;"",E170&lt;&gt;""),E170*IFERROR(VLOOKUP(B170,'Saldo Atual'!$A:$K,11,0),0),"-"),"-")</f>
        <v>-</v>
      </c>
      <c r="I170" s="19"/>
      <c r="J170" s="9"/>
      <c r="K170" s="9"/>
    </row>
    <row r="171" customFormat="false" ht="18" hidden="false" customHeight="true" outlineLevel="0" collapsed="false">
      <c r="A171" s="14"/>
      <c r="B171" s="15"/>
      <c r="C171" s="16" t="str">
        <f aca="false">IFERROR(VLOOKUP(B171,Cadastro!$A$5:$B$54,2,0),"")</f>
        <v/>
      </c>
      <c r="D171" s="15"/>
      <c r="E171" s="17"/>
      <c r="F171" s="7"/>
      <c r="G171" s="7" t="str">
        <f aca="false">IF(AND($D171="E",E171&lt;&gt;"",F171&lt;&gt;""),E171*F171,"-")</f>
        <v>-</v>
      </c>
      <c r="H171" s="7" t="str">
        <f aca="false">IF($D171="S",IF(AND(B171&lt;&gt;"",E171&lt;&gt;""),E171*IFERROR(VLOOKUP(B171,'Saldo Atual'!$A:$K,11,0),0),"-"),"-")</f>
        <v>-</v>
      </c>
      <c r="I171" s="15"/>
      <c r="J171" s="5"/>
      <c r="K171" s="5"/>
    </row>
    <row r="172" customFormat="false" ht="18" hidden="false" customHeight="true" outlineLevel="0" collapsed="false">
      <c r="A172" s="18"/>
      <c r="B172" s="19"/>
      <c r="C172" s="20" t="str">
        <f aca="false">IFERROR(VLOOKUP(B172,Cadastro!$A$5:$B$54,2,0),"")</f>
        <v/>
      </c>
      <c r="D172" s="19"/>
      <c r="E172" s="21"/>
      <c r="F172" s="11"/>
      <c r="G172" s="11" t="str">
        <f aca="false">IF(AND($D172="E",E172&lt;&gt;"",F172&lt;&gt;""),E172*F172,"-")</f>
        <v>-</v>
      </c>
      <c r="H172" s="11" t="str">
        <f aca="false">IF($D172="S",IF(AND(B172&lt;&gt;"",E172&lt;&gt;""),E172*IFERROR(VLOOKUP(B172,'Saldo Atual'!$A:$K,11,0),0),"-"),"-")</f>
        <v>-</v>
      </c>
      <c r="I172" s="19"/>
      <c r="J172" s="9"/>
      <c r="K172" s="9"/>
    </row>
    <row r="173" customFormat="false" ht="18" hidden="false" customHeight="true" outlineLevel="0" collapsed="false">
      <c r="A173" s="14"/>
      <c r="B173" s="15"/>
      <c r="C173" s="16" t="str">
        <f aca="false">IFERROR(VLOOKUP(B173,Cadastro!$A$5:$B$54,2,0),"")</f>
        <v/>
      </c>
      <c r="D173" s="15"/>
      <c r="E173" s="17"/>
      <c r="F173" s="7"/>
      <c r="G173" s="7" t="str">
        <f aca="false">IF(AND($D173="E",E173&lt;&gt;"",F173&lt;&gt;""),E173*F173,"-")</f>
        <v>-</v>
      </c>
      <c r="H173" s="7" t="str">
        <f aca="false">IF($D173="S",IF(AND(B173&lt;&gt;"",E173&lt;&gt;""),E173*IFERROR(VLOOKUP(B173,'Saldo Atual'!$A:$K,11,0),0),"-"),"-")</f>
        <v>-</v>
      </c>
      <c r="I173" s="15"/>
      <c r="J173" s="5"/>
      <c r="K173" s="5"/>
    </row>
    <row r="174" customFormat="false" ht="18" hidden="false" customHeight="true" outlineLevel="0" collapsed="false">
      <c r="A174" s="18"/>
      <c r="B174" s="19"/>
      <c r="C174" s="20" t="str">
        <f aca="false">IFERROR(VLOOKUP(B174,Cadastro!$A$5:$B$54,2,0),"")</f>
        <v/>
      </c>
      <c r="D174" s="19"/>
      <c r="E174" s="21"/>
      <c r="F174" s="11"/>
      <c r="G174" s="11" t="str">
        <f aca="false">IF(AND($D174="E",E174&lt;&gt;"",F174&lt;&gt;""),E174*F174,"-")</f>
        <v>-</v>
      </c>
      <c r="H174" s="11" t="str">
        <f aca="false">IF($D174="S",IF(AND(B174&lt;&gt;"",E174&lt;&gt;""),E174*IFERROR(VLOOKUP(B174,'Saldo Atual'!$A:$K,11,0),0),"-"),"-")</f>
        <v>-</v>
      </c>
      <c r="I174" s="19"/>
      <c r="J174" s="9"/>
      <c r="K174" s="9"/>
    </row>
    <row r="175" customFormat="false" ht="18" hidden="false" customHeight="true" outlineLevel="0" collapsed="false">
      <c r="A175" s="14"/>
      <c r="B175" s="15"/>
      <c r="C175" s="16" t="str">
        <f aca="false">IFERROR(VLOOKUP(B175,Cadastro!$A$5:$B$54,2,0),"")</f>
        <v/>
      </c>
      <c r="D175" s="15"/>
      <c r="E175" s="17"/>
      <c r="F175" s="7"/>
      <c r="G175" s="7" t="str">
        <f aca="false">IF(AND($D175="E",E175&lt;&gt;"",F175&lt;&gt;""),E175*F175,"-")</f>
        <v>-</v>
      </c>
      <c r="H175" s="7" t="str">
        <f aca="false">IF($D175="S",IF(AND(B175&lt;&gt;"",E175&lt;&gt;""),E175*IFERROR(VLOOKUP(B175,'Saldo Atual'!$A:$K,11,0),0),"-"),"-")</f>
        <v>-</v>
      </c>
      <c r="I175" s="15"/>
      <c r="J175" s="5"/>
      <c r="K175" s="5"/>
    </row>
    <row r="176" customFormat="false" ht="18" hidden="false" customHeight="true" outlineLevel="0" collapsed="false">
      <c r="A176" s="18"/>
      <c r="B176" s="19"/>
      <c r="C176" s="20" t="str">
        <f aca="false">IFERROR(VLOOKUP(B176,Cadastro!$A$5:$B$54,2,0),"")</f>
        <v/>
      </c>
      <c r="D176" s="19"/>
      <c r="E176" s="21"/>
      <c r="F176" s="11"/>
      <c r="G176" s="11" t="str">
        <f aca="false">IF(AND($D176="E",E176&lt;&gt;"",F176&lt;&gt;""),E176*F176,"-")</f>
        <v>-</v>
      </c>
      <c r="H176" s="11" t="str">
        <f aca="false">IF($D176="S",IF(AND(B176&lt;&gt;"",E176&lt;&gt;""),E176*IFERROR(VLOOKUP(B176,'Saldo Atual'!$A:$K,11,0),0),"-"),"-")</f>
        <v>-</v>
      </c>
      <c r="I176" s="19"/>
      <c r="J176" s="9"/>
      <c r="K176" s="9"/>
    </row>
    <row r="177" customFormat="false" ht="18" hidden="false" customHeight="true" outlineLevel="0" collapsed="false">
      <c r="A177" s="14"/>
      <c r="B177" s="15"/>
      <c r="C177" s="16" t="str">
        <f aca="false">IFERROR(VLOOKUP(B177,Cadastro!$A$5:$B$54,2,0),"")</f>
        <v/>
      </c>
      <c r="D177" s="15"/>
      <c r="E177" s="17"/>
      <c r="F177" s="7"/>
      <c r="G177" s="7" t="str">
        <f aca="false">IF(AND($D177="E",E177&lt;&gt;"",F177&lt;&gt;""),E177*F177,"-")</f>
        <v>-</v>
      </c>
      <c r="H177" s="7" t="str">
        <f aca="false">IF($D177="S",IF(AND(B177&lt;&gt;"",E177&lt;&gt;""),E177*IFERROR(VLOOKUP(B177,'Saldo Atual'!$A:$K,11,0),0),"-"),"-")</f>
        <v>-</v>
      </c>
      <c r="I177" s="15"/>
      <c r="J177" s="5"/>
      <c r="K177" s="5"/>
    </row>
    <row r="178" customFormat="false" ht="18" hidden="false" customHeight="true" outlineLevel="0" collapsed="false">
      <c r="A178" s="18"/>
      <c r="B178" s="19"/>
      <c r="C178" s="20" t="str">
        <f aca="false">IFERROR(VLOOKUP(B178,Cadastro!$A$5:$B$54,2,0),"")</f>
        <v/>
      </c>
      <c r="D178" s="19"/>
      <c r="E178" s="21"/>
      <c r="F178" s="11"/>
      <c r="G178" s="11" t="str">
        <f aca="false">IF(AND($D178="E",E178&lt;&gt;"",F178&lt;&gt;""),E178*F178,"-")</f>
        <v>-</v>
      </c>
      <c r="H178" s="11" t="str">
        <f aca="false">IF($D178="S",IF(AND(B178&lt;&gt;"",E178&lt;&gt;""),E178*IFERROR(VLOOKUP(B178,'Saldo Atual'!$A:$K,11,0),0),"-"),"-")</f>
        <v>-</v>
      </c>
      <c r="I178" s="19"/>
      <c r="J178" s="9"/>
      <c r="K178" s="9"/>
    </row>
    <row r="179" customFormat="false" ht="18" hidden="false" customHeight="true" outlineLevel="0" collapsed="false">
      <c r="A179" s="14"/>
      <c r="B179" s="15"/>
      <c r="C179" s="16" t="str">
        <f aca="false">IFERROR(VLOOKUP(B179,Cadastro!$A$5:$B$54,2,0),"")</f>
        <v/>
      </c>
      <c r="D179" s="15"/>
      <c r="E179" s="17"/>
      <c r="F179" s="7"/>
      <c r="G179" s="7" t="str">
        <f aca="false">IF(AND($D179="E",E179&lt;&gt;"",F179&lt;&gt;""),E179*F179,"-")</f>
        <v>-</v>
      </c>
      <c r="H179" s="7" t="str">
        <f aca="false">IF($D179="S",IF(AND(B179&lt;&gt;"",E179&lt;&gt;""),E179*IFERROR(VLOOKUP(B179,'Saldo Atual'!$A:$K,11,0),0),"-"),"-")</f>
        <v>-</v>
      </c>
      <c r="I179" s="15"/>
      <c r="J179" s="5"/>
      <c r="K179" s="5"/>
    </row>
    <row r="180" customFormat="false" ht="18" hidden="false" customHeight="true" outlineLevel="0" collapsed="false">
      <c r="A180" s="18"/>
      <c r="B180" s="19"/>
      <c r="C180" s="20" t="str">
        <f aca="false">IFERROR(VLOOKUP(B180,Cadastro!$A$5:$B$54,2,0),"")</f>
        <v/>
      </c>
      <c r="D180" s="19"/>
      <c r="E180" s="21"/>
      <c r="F180" s="11"/>
      <c r="G180" s="11" t="str">
        <f aca="false">IF(AND($D180="E",E180&lt;&gt;"",F180&lt;&gt;""),E180*F180,"-")</f>
        <v>-</v>
      </c>
      <c r="H180" s="11" t="str">
        <f aca="false">IF($D180="S",IF(AND(B180&lt;&gt;"",E180&lt;&gt;""),E180*IFERROR(VLOOKUP(B180,'Saldo Atual'!$A:$K,11,0),0),"-"),"-")</f>
        <v>-</v>
      </c>
      <c r="I180" s="19"/>
      <c r="J180" s="9"/>
      <c r="K180" s="9"/>
    </row>
    <row r="181" customFormat="false" ht="18" hidden="false" customHeight="true" outlineLevel="0" collapsed="false">
      <c r="A181" s="14"/>
      <c r="B181" s="15"/>
      <c r="C181" s="16" t="str">
        <f aca="false">IFERROR(VLOOKUP(B181,Cadastro!$A$5:$B$54,2,0),"")</f>
        <v/>
      </c>
      <c r="D181" s="15"/>
      <c r="E181" s="17"/>
      <c r="F181" s="7"/>
      <c r="G181" s="7" t="str">
        <f aca="false">IF(AND($D181="E",E181&lt;&gt;"",F181&lt;&gt;""),E181*F181,"-")</f>
        <v>-</v>
      </c>
      <c r="H181" s="7" t="str">
        <f aca="false">IF($D181="S",IF(AND(B181&lt;&gt;"",E181&lt;&gt;""),E181*IFERROR(VLOOKUP(B181,'Saldo Atual'!$A:$K,11,0),0),"-"),"-")</f>
        <v>-</v>
      </c>
      <c r="I181" s="15"/>
      <c r="J181" s="5"/>
      <c r="K181" s="5"/>
    </row>
    <row r="182" customFormat="false" ht="18" hidden="false" customHeight="true" outlineLevel="0" collapsed="false">
      <c r="A182" s="18"/>
      <c r="B182" s="19"/>
      <c r="C182" s="20" t="str">
        <f aca="false">IFERROR(VLOOKUP(B182,Cadastro!$A$5:$B$54,2,0),"")</f>
        <v/>
      </c>
      <c r="D182" s="19"/>
      <c r="E182" s="21"/>
      <c r="F182" s="11"/>
      <c r="G182" s="11" t="str">
        <f aca="false">IF(AND($D182="E",E182&lt;&gt;"",F182&lt;&gt;""),E182*F182,"-")</f>
        <v>-</v>
      </c>
      <c r="H182" s="11" t="str">
        <f aca="false">IF($D182="S",IF(AND(B182&lt;&gt;"",E182&lt;&gt;""),E182*IFERROR(VLOOKUP(B182,'Saldo Atual'!$A:$K,11,0),0),"-"),"-")</f>
        <v>-</v>
      </c>
      <c r="I182" s="19"/>
      <c r="J182" s="9"/>
      <c r="K182" s="9"/>
    </row>
    <row r="183" customFormat="false" ht="18" hidden="false" customHeight="true" outlineLevel="0" collapsed="false">
      <c r="A183" s="14"/>
      <c r="B183" s="15"/>
      <c r="C183" s="16" t="str">
        <f aca="false">IFERROR(VLOOKUP(B183,Cadastro!$A$5:$B$54,2,0),"")</f>
        <v/>
      </c>
      <c r="D183" s="15"/>
      <c r="E183" s="17"/>
      <c r="F183" s="7"/>
      <c r="G183" s="7" t="str">
        <f aca="false">IF(AND($D183="E",E183&lt;&gt;"",F183&lt;&gt;""),E183*F183,"-")</f>
        <v>-</v>
      </c>
      <c r="H183" s="7" t="str">
        <f aca="false">IF($D183="S",IF(AND(B183&lt;&gt;"",E183&lt;&gt;""),E183*IFERROR(VLOOKUP(B183,'Saldo Atual'!$A:$K,11,0),0),"-"),"-")</f>
        <v>-</v>
      </c>
      <c r="I183" s="15"/>
      <c r="J183" s="5"/>
      <c r="K183" s="5"/>
    </row>
    <row r="184" customFormat="false" ht="18" hidden="false" customHeight="true" outlineLevel="0" collapsed="false">
      <c r="A184" s="18"/>
      <c r="B184" s="19"/>
      <c r="C184" s="20" t="str">
        <f aca="false">IFERROR(VLOOKUP(B184,Cadastro!$A$5:$B$54,2,0),"")</f>
        <v/>
      </c>
      <c r="D184" s="19"/>
      <c r="E184" s="21"/>
      <c r="F184" s="11"/>
      <c r="G184" s="11" t="str">
        <f aca="false">IF(AND($D184="E",E184&lt;&gt;"",F184&lt;&gt;""),E184*F184,"-")</f>
        <v>-</v>
      </c>
      <c r="H184" s="11" t="str">
        <f aca="false">IF($D184="S",IF(AND(B184&lt;&gt;"",E184&lt;&gt;""),E184*IFERROR(VLOOKUP(B184,'Saldo Atual'!$A:$K,11,0),0),"-"),"-")</f>
        <v>-</v>
      </c>
      <c r="I184" s="19"/>
      <c r="J184" s="9"/>
      <c r="K184" s="9"/>
    </row>
    <row r="185" customFormat="false" ht="18" hidden="false" customHeight="true" outlineLevel="0" collapsed="false">
      <c r="A185" s="14"/>
      <c r="B185" s="15"/>
      <c r="C185" s="16" t="str">
        <f aca="false">IFERROR(VLOOKUP(B185,Cadastro!$A$5:$B$54,2,0),"")</f>
        <v/>
      </c>
      <c r="D185" s="15"/>
      <c r="E185" s="17"/>
      <c r="F185" s="7"/>
      <c r="G185" s="7" t="str">
        <f aca="false">IF(AND($D185="E",E185&lt;&gt;"",F185&lt;&gt;""),E185*F185,"-")</f>
        <v>-</v>
      </c>
      <c r="H185" s="7" t="str">
        <f aca="false">IF($D185="S",IF(AND(B185&lt;&gt;"",E185&lt;&gt;""),E185*IFERROR(VLOOKUP(B185,'Saldo Atual'!$A:$K,11,0),0),"-"),"-")</f>
        <v>-</v>
      </c>
      <c r="I185" s="15"/>
      <c r="J185" s="5"/>
      <c r="K185" s="5"/>
    </row>
    <row r="186" customFormat="false" ht="18" hidden="false" customHeight="true" outlineLevel="0" collapsed="false">
      <c r="A186" s="18"/>
      <c r="B186" s="19"/>
      <c r="C186" s="20" t="str">
        <f aca="false">IFERROR(VLOOKUP(B186,Cadastro!$A$5:$B$54,2,0),"")</f>
        <v/>
      </c>
      <c r="D186" s="19"/>
      <c r="E186" s="21"/>
      <c r="F186" s="11"/>
      <c r="G186" s="11" t="str">
        <f aca="false">IF(AND($D186="E",E186&lt;&gt;"",F186&lt;&gt;""),E186*F186,"-")</f>
        <v>-</v>
      </c>
      <c r="H186" s="11" t="str">
        <f aca="false">IF($D186="S",IF(AND(B186&lt;&gt;"",E186&lt;&gt;""),E186*IFERROR(VLOOKUP(B186,'Saldo Atual'!$A:$K,11,0),0),"-"),"-")</f>
        <v>-</v>
      </c>
      <c r="I186" s="19"/>
      <c r="J186" s="9"/>
      <c r="K186" s="9"/>
    </row>
    <row r="187" customFormat="false" ht="18" hidden="false" customHeight="true" outlineLevel="0" collapsed="false">
      <c r="A187" s="14"/>
      <c r="B187" s="15"/>
      <c r="C187" s="16" t="str">
        <f aca="false">IFERROR(VLOOKUP(B187,Cadastro!$A$5:$B$54,2,0),"")</f>
        <v/>
      </c>
      <c r="D187" s="15"/>
      <c r="E187" s="17"/>
      <c r="F187" s="7"/>
      <c r="G187" s="7" t="str">
        <f aca="false">IF(AND($D187="E",E187&lt;&gt;"",F187&lt;&gt;""),E187*F187,"-")</f>
        <v>-</v>
      </c>
      <c r="H187" s="7" t="str">
        <f aca="false">IF($D187="S",IF(AND(B187&lt;&gt;"",E187&lt;&gt;""),E187*IFERROR(VLOOKUP(B187,'Saldo Atual'!$A:$K,11,0),0),"-"),"-")</f>
        <v>-</v>
      </c>
      <c r="I187" s="15"/>
      <c r="J187" s="5"/>
      <c r="K187" s="5"/>
    </row>
    <row r="188" customFormat="false" ht="18" hidden="false" customHeight="true" outlineLevel="0" collapsed="false">
      <c r="A188" s="18"/>
      <c r="B188" s="19"/>
      <c r="C188" s="20" t="str">
        <f aca="false">IFERROR(VLOOKUP(B188,Cadastro!$A$5:$B$54,2,0),"")</f>
        <v/>
      </c>
      <c r="D188" s="19"/>
      <c r="E188" s="21"/>
      <c r="F188" s="11"/>
      <c r="G188" s="11" t="str">
        <f aca="false">IF(AND($D188="E",E188&lt;&gt;"",F188&lt;&gt;""),E188*F188,"-")</f>
        <v>-</v>
      </c>
      <c r="H188" s="11" t="str">
        <f aca="false">IF($D188="S",IF(AND(B188&lt;&gt;"",E188&lt;&gt;""),E188*IFERROR(VLOOKUP(B188,'Saldo Atual'!$A:$K,11,0),0),"-"),"-")</f>
        <v>-</v>
      </c>
      <c r="I188" s="19"/>
      <c r="J188" s="9"/>
      <c r="K188" s="9"/>
    </row>
    <row r="189" customFormat="false" ht="18" hidden="false" customHeight="true" outlineLevel="0" collapsed="false">
      <c r="A189" s="14"/>
      <c r="B189" s="15"/>
      <c r="C189" s="16" t="str">
        <f aca="false">IFERROR(VLOOKUP(B189,Cadastro!$A$5:$B$54,2,0),"")</f>
        <v/>
      </c>
      <c r="D189" s="15"/>
      <c r="E189" s="17"/>
      <c r="F189" s="7"/>
      <c r="G189" s="7" t="str">
        <f aca="false">IF(AND($D189="E",E189&lt;&gt;"",F189&lt;&gt;""),E189*F189,"-")</f>
        <v>-</v>
      </c>
      <c r="H189" s="7" t="str">
        <f aca="false">IF($D189="S",IF(AND(B189&lt;&gt;"",E189&lt;&gt;""),E189*IFERROR(VLOOKUP(B189,'Saldo Atual'!$A:$K,11,0),0),"-"),"-")</f>
        <v>-</v>
      </c>
      <c r="I189" s="15"/>
      <c r="J189" s="5"/>
      <c r="K189" s="5"/>
    </row>
    <row r="190" customFormat="false" ht="18" hidden="false" customHeight="true" outlineLevel="0" collapsed="false">
      <c r="A190" s="18"/>
      <c r="B190" s="19"/>
      <c r="C190" s="20" t="str">
        <f aca="false">IFERROR(VLOOKUP(B190,Cadastro!$A$5:$B$54,2,0),"")</f>
        <v/>
      </c>
      <c r="D190" s="19"/>
      <c r="E190" s="21"/>
      <c r="F190" s="11"/>
      <c r="G190" s="11" t="str">
        <f aca="false">IF(AND($D190="E",E190&lt;&gt;"",F190&lt;&gt;""),E190*F190,"-")</f>
        <v>-</v>
      </c>
      <c r="H190" s="11" t="str">
        <f aca="false">IF($D190="S",IF(AND(B190&lt;&gt;"",E190&lt;&gt;""),E190*IFERROR(VLOOKUP(B190,'Saldo Atual'!$A:$K,11,0),0),"-"),"-")</f>
        <v>-</v>
      </c>
      <c r="I190" s="19"/>
      <c r="J190" s="9"/>
      <c r="K190" s="9"/>
    </row>
    <row r="191" customFormat="false" ht="18" hidden="false" customHeight="true" outlineLevel="0" collapsed="false">
      <c r="A191" s="14"/>
      <c r="B191" s="15"/>
      <c r="C191" s="16" t="str">
        <f aca="false">IFERROR(VLOOKUP(B191,Cadastro!$A$5:$B$54,2,0),"")</f>
        <v/>
      </c>
      <c r="D191" s="15"/>
      <c r="E191" s="17"/>
      <c r="F191" s="7"/>
      <c r="G191" s="7" t="str">
        <f aca="false">IF(AND($D191="E",E191&lt;&gt;"",F191&lt;&gt;""),E191*F191,"-")</f>
        <v>-</v>
      </c>
      <c r="H191" s="7" t="str">
        <f aca="false">IF($D191="S",IF(AND(B191&lt;&gt;"",E191&lt;&gt;""),E191*IFERROR(VLOOKUP(B191,'Saldo Atual'!$A:$K,11,0),0),"-"),"-")</f>
        <v>-</v>
      </c>
      <c r="I191" s="15"/>
      <c r="J191" s="5"/>
      <c r="K191" s="5"/>
    </row>
    <row r="192" customFormat="false" ht="18" hidden="false" customHeight="true" outlineLevel="0" collapsed="false">
      <c r="A192" s="18"/>
      <c r="B192" s="19"/>
      <c r="C192" s="20" t="str">
        <f aca="false">IFERROR(VLOOKUP(B192,Cadastro!$A$5:$B$54,2,0),"")</f>
        <v/>
      </c>
      <c r="D192" s="19"/>
      <c r="E192" s="21"/>
      <c r="F192" s="11"/>
      <c r="G192" s="11" t="str">
        <f aca="false">IF(AND($D192="E",E192&lt;&gt;"",F192&lt;&gt;""),E192*F192,"-")</f>
        <v>-</v>
      </c>
      <c r="H192" s="11" t="str">
        <f aca="false">IF($D192="S",IF(AND(B192&lt;&gt;"",E192&lt;&gt;""),E192*IFERROR(VLOOKUP(B192,'Saldo Atual'!$A:$K,11,0),0),"-"),"-")</f>
        <v>-</v>
      </c>
      <c r="I192" s="19"/>
      <c r="J192" s="9"/>
      <c r="K192" s="9"/>
    </row>
    <row r="193" customFormat="false" ht="18" hidden="false" customHeight="true" outlineLevel="0" collapsed="false">
      <c r="A193" s="14"/>
      <c r="B193" s="15"/>
      <c r="C193" s="16" t="str">
        <f aca="false">IFERROR(VLOOKUP(B193,Cadastro!$A$5:$B$54,2,0),"")</f>
        <v/>
      </c>
      <c r="D193" s="15"/>
      <c r="E193" s="17"/>
      <c r="F193" s="7"/>
      <c r="G193" s="7" t="str">
        <f aca="false">IF(AND($D193="E",E193&lt;&gt;"",F193&lt;&gt;""),E193*F193,"-")</f>
        <v>-</v>
      </c>
      <c r="H193" s="7" t="str">
        <f aca="false">IF($D193="S",IF(AND(B193&lt;&gt;"",E193&lt;&gt;""),E193*IFERROR(VLOOKUP(B193,'Saldo Atual'!$A:$K,11,0),0),"-"),"-")</f>
        <v>-</v>
      </c>
      <c r="I193" s="15"/>
      <c r="J193" s="5"/>
      <c r="K193" s="5"/>
    </row>
    <row r="194" customFormat="false" ht="18" hidden="false" customHeight="true" outlineLevel="0" collapsed="false">
      <c r="A194" s="18"/>
      <c r="B194" s="19"/>
      <c r="C194" s="20" t="str">
        <f aca="false">IFERROR(VLOOKUP(B194,Cadastro!$A$5:$B$54,2,0),"")</f>
        <v/>
      </c>
      <c r="D194" s="19"/>
      <c r="E194" s="21"/>
      <c r="F194" s="11"/>
      <c r="G194" s="11" t="str">
        <f aca="false">IF(AND($D194="E",E194&lt;&gt;"",F194&lt;&gt;""),E194*F194,"-")</f>
        <v>-</v>
      </c>
      <c r="H194" s="11" t="str">
        <f aca="false">IF($D194="S",IF(AND(B194&lt;&gt;"",E194&lt;&gt;""),E194*IFERROR(VLOOKUP(B194,'Saldo Atual'!$A:$K,11,0),0),"-"),"-")</f>
        <v>-</v>
      </c>
      <c r="I194" s="19"/>
      <c r="J194" s="9"/>
      <c r="K194" s="9"/>
    </row>
    <row r="195" customFormat="false" ht="18" hidden="false" customHeight="true" outlineLevel="0" collapsed="false">
      <c r="A195" s="14"/>
      <c r="B195" s="15"/>
      <c r="C195" s="16" t="str">
        <f aca="false">IFERROR(VLOOKUP(B195,Cadastro!$A$5:$B$54,2,0),"")</f>
        <v/>
      </c>
      <c r="D195" s="15"/>
      <c r="E195" s="17"/>
      <c r="F195" s="7"/>
      <c r="G195" s="7" t="str">
        <f aca="false">IF(AND($D195="E",E195&lt;&gt;"",F195&lt;&gt;""),E195*F195,"-")</f>
        <v>-</v>
      </c>
      <c r="H195" s="7" t="str">
        <f aca="false">IF($D195="S",IF(AND(B195&lt;&gt;"",E195&lt;&gt;""),E195*IFERROR(VLOOKUP(B195,'Saldo Atual'!$A:$K,11,0),0),"-"),"-")</f>
        <v>-</v>
      </c>
      <c r="I195" s="15"/>
      <c r="J195" s="5"/>
      <c r="K195" s="5"/>
    </row>
    <row r="196" customFormat="false" ht="18" hidden="false" customHeight="true" outlineLevel="0" collapsed="false">
      <c r="A196" s="18"/>
      <c r="B196" s="19"/>
      <c r="C196" s="20" t="str">
        <f aca="false">IFERROR(VLOOKUP(B196,Cadastro!$A$5:$B$54,2,0),"")</f>
        <v/>
      </c>
      <c r="D196" s="19"/>
      <c r="E196" s="21"/>
      <c r="F196" s="11"/>
      <c r="G196" s="11" t="str">
        <f aca="false">IF(AND($D196="E",E196&lt;&gt;"",F196&lt;&gt;""),E196*F196,"-")</f>
        <v>-</v>
      </c>
      <c r="H196" s="11" t="str">
        <f aca="false">IF($D196="S",IF(AND(B196&lt;&gt;"",E196&lt;&gt;""),E196*IFERROR(VLOOKUP(B196,'Saldo Atual'!$A:$K,11,0),0),"-"),"-")</f>
        <v>-</v>
      </c>
      <c r="I196" s="19"/>
      <c r="J196" s="9"/>
      <c r="K196" s="9"/>
    </row>
    <row r="197" customFormat="false" ht="18" hidden="false" customHeight="true" outlineLevel="0" collapsed="false">
      <c r="A197" s="14"/>
      <c r="B197" s="15"/>
      <c r="C197" s="16" t="str">
        <f aca="false">IFERROR(VLOOKUP(B197,Cadastro!$A$5:$B$54,2,0),"")</f>
        <v/>
      </c>
      <c r="D197" s="15"/>
      <c r="E197" s="17"/>
      <c r="F197" s="7"/>
      <c r="G197" s="7" t="str">
        <f aca="false">IF(AND($D197="E",E197&lt;&gt;"",F197&lt;&gt;""),E197*F197,"-")</f>
        <v>-</v>
      </c>
      <c r="H197" s="7" t="str">
        <f aca="false">IF($D197="S",IF(AND(B197&lt;&gt;"",E197&lt;&gt;""),E197*IFERROR(VLOOKUP(B197,'Saldo Atual'!$A:$K,11,0),0),"-"),"-")</f>
        <v>-</v>
      </c>
      <c r="I197" s="15"/>
      <c r="J197" s="5"/>
      <c r="K197" s="5"/>
    </row>
    <row r="198" customFormat="false" ht="18" hidden="false" customHeight="true" outlineLevel="0" collapsed="false">
      <c r="A198" s="18"/>
      <c r="B198" s="19"/>
      <c r="C198" s="20" t="str">
        <f aca="false">IFERROR(VLOOKUP(B198,Cadastro!$A$5:$B$54,2,0),"")</f>
        <v/>
      </c>
      <c r="D198" s="19"/>
      <c r="E198" s="21"/>
      <c r="F198" s="11"/>
      <c r="G198" s="11" t="str">
        <f aca="false">IF(AND($D198="E",E198&lt;&gt;"",F198&lt;&gt;""),E198*F198,"-")</f>
        <v>-</v>
      </c>
      <c r="H198" s="11" t="str">
        <f aca="false">IF($D198="S",IF(AND(B198&lt;&gt;"",E198&lt;&gt;""),E198*IFERROR(VLOOKUP(B198,'Saldo Atual'!$A:$K,11,0),0),"-"),"-")</f>
        <v>-</v>
      </c>
      <c r="I198" s="19"/>
      <c r="J198" s="9"/>
      <c r="K198" s="9"/>
    </row>
    <row r="199" customFormat="false" ht="18" hidden="false" customHeight="true" outlineLevel="0" collapsed="false">
      <c r="A199" s="14"/>
      <c r="B199" s="15"/>
      <c r="C199" s="16" t="str">
        <f aca="false">IFERROR(VLOOKUP(B199,Cadastro!$A$5:$B$54,2,0),"")</f>
        <v/>
      </c>
      <c r="D199" s="15"/>
      <c r="E199" s="17"/>
      <c r="F199" s="7"/>
      <c r="G199" s="7" t="str">
        <f aca="false">IF(AND($D199="E",E199&lt;&gt;"",F199&lt;&gt;""),E199*F199,"-")</f>
        <v>-</v>
      </c>
      <c r="H199" s="7" t="str">
        <f aca="false">IF($D199="S",IF(AND(B199&lt;&gt;"",E199&lt;&gt;""),E199*IFERROR(VLOOKUP(B199,'Saldo Atual'!$A:$K,11,0),0),"-"),"-")</f>
        <v>-</v>
      </c>
      <c r="I199" s="15"/>
      <c r="J199" s="5"/>
      <c r="K199" s="5"/>
    </row>
    <row r="200" customFormat="false" ht="18" hidden="false" customHeight="true" outlineLevel="0" collapsed="false">
      <c r="A200" s="18"/>
      <c r="B200" s="19"/>
      <c r="C200" s="20" t="str">
        <f aca="false">IFERROR(VLOOKUP(B200,Cadastro!$A$5:$B$54,2,0),"")</f>
        <v/>
      </c>
      <c r="D200" s="19"/>
      <c r="E200" s="21"/>
      <c r="F200" s="11"/>
      <c r="G200" s="11" t="str">
        <f aca="false">IF(AND($D200="E",E200&lt;&gt;"",F200&lt;&gt;""),E200*F200,"-")</f>
        <v>-</v>
      </c>
      <c r="H200" s="11" t="str">
        <f aca="false">IF($D200="S",IF(AND(B200&lt;&gt;"",E200&lt;&gt;""),E200*IFERROR(VLOOKUP(B200,'Saldo Atual'!$A:$K,11,0),0),"-"),"-")</f>
        <v>-</v>
      </c>
      <c r="I200" s="19"/>
      <c r="J200" s="9"/>
      <c r="K200" s="9"/>
    </row>
    <row r="201" customFormat="false" ht="18" hidden="false" customHeight="true" outlineLevel="0" collapsed="false">
      <c r="A201" s="14"/>
      <c r="B201" s="15"/>
      <c r="C201" s="16" t="str">
        <f aca="false">IFERROR(VLOOKUP(B201,Cadastro!$A$5:$B$54,2,0),"")</f>
        <v/>
      </c>
      <c r="D201" s="15"/>
      <c r="E201" s="17"/>
      <c r="F201" s="7"/>
      <c r="G201" s="7" t="str">
        <f aca="false">IF(AND($D201="E",E201&lt;&gt;"",F201&lt;&gt;""),E201*F201,"-")</f>
        <v>-</v>
      </c>
      <c r="H201" s="7" t="str">
        <f aca="false">IF($D201="S",IF(AND(B201&lt;&gt;"",E201&lt;&gt;""),E201*IFERROR(VLOOKUP(B201,'Saldo Atual'!$A:$K,11,0),0),"-"),"-")</f>
        <v>-</v>
      </c>
      <c r="I201" s="15"/>
      <c r="J201" s="5"/>
      <c r="K201" s="5"/>
    </row>
    <row r="202" customFormat="false" ht="18" hidden="false" customHeight="true" outlineLevel="0" collapsed="false">
      <c r="A202" s="18"/>
      <c r="B202" s="19"/>
      <c r="C202" s="20" t="str">
        <f aca="false">IFERROR(VLOOKUP(B202,Cadastro!$A$5:$B$54,2,0),"")</f>
        <v/>
      </c>
      <c r="D202" s="19"/>
      <c r="E202" s="21"/>
      <c r="F202" s="11"/>
      <c r="G202" s="11" t="str">
        <f aca="false">IF(AND($D202="E",E202&lt;&gt;"",F202&lt;&gt;""),E202*F202,"-")</f>
        <v>-</v>
      </c>
      <c r="H202" s="11" t="str">
        <f aca="false">IF($D202="S",IF(AND(B202&lt;&gt;"",E202&lt;&gt;""),E202*IFERROR(VLOOKUP(B202,'Saldo Atual'!$A:$K,11,0),0),"-"),"-")</f>
        <v>-</v>
      </c>
      <c r="I202" s="19"/>
      <c r="J202" s="9"/>
      <c r="K202" s="9"/>
    </row>
    <row r="203" customFormat="false" ht="18" hidden="false" customHeight="true" outlineLevel="0" collapsed="false">
      <c r="A203" s="14"/>
      <c r="B203" s="15"/>
      <c r="C203" s="16" t="str">
        <f aca="false">IFERROR(VLOOKUP(B203,Cadastro!$A$5:$B$54,2,0),"")</f>
        <v/>
      </c>
      <c r="D203" s="15"/>
      <c r="E203" s="17"/>
      <c r="F203" s="7"/>
      <c r="G203" s="7" t="str">
        <f aca="false">IF(AND($D203="E",E203&lt;&gt;"",F203&lt;&gt;""),E203*F203,"-")</f>
        <v>-</v>
      </c>
      <c r="H203" s="7" t="str">
        <f aca="false">IF($D203="S",IF(AND(B203&lt;&gt;"",E203&lt;&gt;""),E203*IFERROR(VLOOKUP(B203,'Saldo Atual'!$A:$K,11,0),0),"-"),"-")</f>
        <v>-</v>
      </c>
      <c r="I203" s="15"/>
      <c r="J203" s="5"/>
      <c r="K203" s="5"/>
    </row>
    <row r="204" customFormat="false" ht="18" hidden="false" customHeight="true" outlineLevel="0" collapsed="false">
      <c r="A204" s="18"/>
      <c r="B204" s="19"/>
      <c r="C204" s="20" t="str">
        <f aca="false">IFERROR(VLOOKUP(B204,Cadastro!$A$5:$B$54,2,0),"")</f>
        <v/>
      </c>
      <c r="D204" s="19"/>
      <c r="E204" s="21"/>
      <c r="F204" s="11"/>
      <c r="G204" s="11" t="str">
        <f aca="false">IF(AND($D204="E",E204&lt;&gt;"",F204&lt;&gt;""),E204*F204,"-")</f>
        <v>-</v>
      </c>
      <c r="H204" s="11" t="str">
        <f aca="false">IF($D204="S",IF(AND(B204&lt;&gt;"",E204&lt;&gt;""),E204*IFERROR(VLOOKUP(B204,'Saldo Atual'!$A:$K,11,0),0),"-"),"-")</f>
        <v>-</v>
      </c>
      <c r="I204" s="19"/>
      <c r="J204" s="9"/>
      <c r="K204" s="9"/>
    </row>
    <row r="205" customFormat="false" ht="18" hidden="false" customHeight="true" outlineLevel="0" collapsed="false">
      <c r="A205" s="14"/>
      <c r="B205" s="15"/>
      <c r="C205" s="16" t="str">
        <f aca="false">IFERROR(VLOOKUP(B205,Cadastro!$A$5:$B$54,2,0),"")</f>
        <v/>
      </c>
      <c r="D205" s="15"/>
      <c r="E205" s="17"/>
      <c r="F205" s="7"/>
      <c r="G205" s="7" t="str">
        <f aca="false">IF(AND($D205="E",E205&lt;&gt;"",F205&lt;&gt;""),E205*F205,"-")</f>
        <v>-</v>
      </c>
      <c r="H205" s="7" t="str">
        <f aca="false">IF($D205="S",IF(AND(B205&lt;&gt;"",E205&lt;&gt;""),E205*IFERROR(VLOOKUP(B205,'Saldo Atual'!$A:$K,11,0),0),"-"),"-")</f>
        <v>-</v>
      </c>
      <c r="I205" s="15"/>
      <c r="J205" s="5"/>
      <c r="K205" s="5"/>
    </row>
    <row r="206" customFormat="false" ht="18" hidden="false" customHeight="true" outlineLevel="0" collapsed="false">
      <c r="A206" s="18"/>
      <c r="B206" s="19"/>
      <c r="C206" s="20" t="str">
        <f aca="false">IFERROR(VLOOKUP(B206,Cadastro!$A$5:$B$54,2,0),"")</f>
        <v/>
      </c>
      <c r="D206" s="19"/>
      <c r="E206" s="21"/>
      <c r="F206" s="11"/>
      <c r="G206" s="11" t="str">
        <f aca="false">IF(AND($D206="E",E206&lt;&gt;"",F206&lt;&gt;""),E206*F206,"-")</f>
        <v>-</v>
      </c>
      <c r="H206" s="11" t="str">
        <f aca="false">IF($D206="S",IF(AND(B206&lt;&gt;"",E206&lt;&gt;""),E206*IFERROR(VLOOKUP(B206,'Saldo Atual'!$A:$K,11,0),0),"-"),"-")</f>
        <v>-</v>
      </c>
      <c r="I206" s="19"/>
      <c r="J206" s="9"/>
      <c r="K206" s="9"/>
    </row>
    <row r="207" customFormat="false" ht="18" hidden="false" customHeight="true" outlineLevel="0" collapsed="false">
      <c r="A207" s="14"/>
      <c r="B207" s="15"/>
      <c r="C207" s="16" t="str">
        <f aca="false">IFERROR(VLOOKUP(B207,Cadastro!$A$5:$B$54,2,0),"")</f>
        <v/>
      </c>
      <c r="D207" s="15"/>
      <c r="E207" s="17"/>
      <c r="F207" s="7"/>
      <c r="G207" s="7" t="str">
        <f aca="false">IF(AND($D207="E",E207&lt;&gt;"",F207&lt;&gt;""),E207*F207,"-")</f>
        <v>-</v>
      </c>
      <c r="H207" s="7" t="str">
        <f aca="false">IF($D207="S",IF(AND(B207&lt;&gt;"",E207&lt;&gt;""),E207*IFERROR(VLOOKUP(B207,'Saldo Atual'!$A:$K,11,0),0),"-"),"-")</f>
        <v>-</v>
      </c>
      <c r="I207" s="15"/>
      <c r="J207" s="5"/>
      <c r="K207" s="5"/>
    </row>
    <row r="208" customFormat="false" ht="18" hidden="false" customHeight="true" outlineLevel="0" collapsed="false">
      <c r="A208" s="18"/>
      <c r="B208" s="19"/>
      <c r="C208" s="20" t="str">
        <f aca="false">IFERROR(VLOOKUP(B208,Cadastro!$A$5:$B$54,2,0),"")</f>
        <v/>
      </c>
      <c r="D208" s="19"/>
      <c r="E208" s="21"/>
      <c r="F208" s="11"/>
      <c r="G208" s="11" t="str">
        <f aca="false">IF(AND($D208="E",E208&lt;&gt;"",F208&lt;&gt;""),E208*F208,"-")</f>
        <v>-</v>
      </c>
      <c r="H208" s="11" t="str">
        <f aca="false">IF($D208="S",IF(AND(B208&lt;&gt;"",E208&lt;&gt;""),E208*IFERROR(VLOOKUP(B208,'Saldo Atual'!$A:$K,11,0),0),"-"),"-")</f>
        <v>-</v>
      </c>
      <c r="I208" s="19"/>
      <c r="J208" s="9"/>
      <c r="K208" s="9"/>
    </row>
    <row r="209" customFormat="false" ht="18" hidden="false" customHeight="true" outlineLevel="0" collapsed="false">
      <c r="A209" s="14"/>
      <c r="B209" s="15"/>
      <c r="C209" s="16" t="str">
        <f aca="false">IFERROR(VLOOKUP(B209,Cadastro!$A$5:$B$54,2,0),"")</f>
        <v/>
      </c>
      <c r="D209" s="15"/>
      <c r="E209" s="17"/>
      <c r="F209" s="7"/>
      <c r="G209" s="7" t="str">
        <f aca="false">IF(AND($D209="E",E209&lt;&gt;"",F209&lt;&gt;""),E209*F209,"-")</f>
        <v>-</v>
      </c>
      <c r="H209" s="7" t="str">
        <f aca="false">IF($D209="S",IF(AND(B209&lt;&gt;"",E209&lt;&gt;""),E209*IFERROR(VLOOKUP(B209,'Saldo Atual'!$A:$K,11,0),0),"-"),"-")</f>
        <v>-</v>
      </c>
      <c r="I209" s="15"/>
      <c r="J209" s="5"/>
      <c r="K209" s="5"/>
    </row>
    <row r="210" customFormat="false" ht="18" hidden="false" customHeight="true" outlineLevel="0" collapsed="false">
      <c r="A210" s="18"/>
      <c r="B210" s="19"/>
      <c r="C210" s="20" t="str">
        <f aca="false">IFERROR(VLOOKUP(B210,Cadastro!$A$5:$B$54,2,0),"")</f>
        <v/>
      </c>
      <c r="D210" s="19"/>
      <c r="E210" s="21"/>
      <c r="F210" s="11"/>
      <c r="G210" s="11" t="str">
        <f aca="false">IF(AND($D210="E",E210&lt;&gt;"",F210&lt;&gt;""),E210*F210,"-")</f>
        <v>-</v>
      </c>
      <c r="H210" s="11" t="str">
        <f aca="false">IF($D210="S",IF(AND(B210&lt;&gt;"",E210&lt;&gt;""),E210*IFERROR(VLOOKUP(B210,'Saldo Atual'!$A:$K,11,0),0),"-"),"-")</f>
        <v>-</v>
      </c>
      <c r="I210" s="19"/>
      <c r="J210" s="9"/>
      <c r="K210" s="9"/>
    </row>
    <row r="211" customFormat="false" ht="18" hidden="false" customHeight="true" outlineLevel="0" collapsed="false">
      <c r="A211" s="14"/>
      <c r="B211" s="15"/>
      <c r="C211" s="16" t="str">
        <f aca="false">IFERROR(VLOOKUP(B211,Cadastro!$A$5:$B$54,2,0),"")</f>
        <v/>
      </c>
      <c r="D211" s="15"/>
      <c r="E211" s="17"/>
      <c r="F211" s="7"/>
      <c r="G211" s="7" t="str">
        <f aca="false">IF(AND($D211="E",E211&lt;&gt;"",F211&lt;&gt;""),E211*F211,"-")</f>
        <v>-</v>
      </c>
      <c r="H211" s="7" t="str">
        <f aca="false">IF($D211="S",IF(AND(B211&lt;&gt;"",E211&lt;&gt;""),E211*IFERROR(VLOOKUP(B211,'Saldo Atual'!$A:$K,11,0),0),"-"),"-")</f>
        <v>-</v>
      </c>
      <c r="I211" s="15"/>
      <c r="J211" s="5"/>
      <c r="K211" s="5"/>
    </row>
    <row r="212" customFormat="false" ht="18" hidden="false" customHeight="true" outlineLevel="0" collapsed="false">
      <c r="A212" s="18"/>
      <c r="B212" s="19"/>
      <c r="C212" s="20" t="str">
        <f aca="false">IFERROR(VLOOKUP(B212,Cadastro!$A$5:$B$54,2,0),"")</f>
        <v/>
      </c>
      <c r="D212" s="19"/>
      <c r="E212" s="21"/>
      <c r="F212" s="11"/>
      <c r="G212" s="11" t="str">
        <f aca="false">IF(AND($D212="E",E212&lt;&gt;"",F212&lt;&gt;""),E212*F212,"-")</f>
        <v>-</v>
      </c>
      <c r="H212" s="11" t="str">
        <f aca="false">IF($D212="S",IF(AND(B212&lt;&gt;"",E212&lt;&gt;""),E212*IFERROR(VLOOKUP(B212,'Saldo Atual'!$A:$K,11,0),0),"-"),"-")</f>
        <v>-</v>
      </c>
      <c r="I212" s="19"/>
      <c r="J212" s="9"/>
      <c r="K212" s="9"/>
    </row>
    <row r="213" customFormat="false" ht="18" hidden="false" customHeight="true" outlineLevel="0" collapsed="false">
      <c r="A213" s="14"/>
      <c r="B213" s="15"/>
      <c r="C213" s="16" t="str">
        <f aca="false">IFERROR(VLOOKUP(B213,Cadastro!$A$5:$B$54,2,0),"")</f>
        <v/>
      </c>
      <c r="D213" s="15"/>
      <c r="E213" s="17"/>
      <c r="F213" s="7"/>
      <c r="G213" s="7" t="str">
        <f aca="false">IF(AND($D213="E",E213&lt;&gt;"",F213&lt;&gt;""),E213*F213,"-")</f>
        <v>-</v>
      </c>
      <c r="H213" s="7" t="str">
        <f aca="false">IF($D213="S",IF(AND(B213&lt;&gt;"",E213&lt;&gt;""),E213*IFERROR(VLOOKUP(B213,'Saldo Atual'!$A:$K,11,0),0),"-"),"-")</f>
        <v>-</v>
      </c>
      <c r="I213" s="15"/>
      <c r="J213" s="5"/>
      <c r="K213" s="5"/>
    </row>
    <row r="214" customFormat="false" ht="18" hidden="false" customHeight="true" outlineLevel="0" collapsed="false">
      <c r="A214" s="18"/>
      <c r="B214" s="19"/>
      <c r="C214" s="20" t="str">
        <f aca="false">IFERROR(VLOOKUP(B214,Cadastro!$A$5:$B$54,2,0),"")</f>
        <v/>
      </c>
      <c r="D214" s="19"/>
      <c r="E214" s="21"/>
      <c r="F214" s="11"/>
      <c r="G214" s="11" t="str">
        <f aca="false">IF(AND($D214="E",E214&lt;&gt;"",F214&lt;&gt;""),E214*F214,"-")</f>
        <v>-</v>
      </c>
      <c r="H214" s="11" t="str">
        <f aca="false">IF($D214="S",IF(AND(B214&lt;&gt;"",E214&lt;&gt;""),E214*IFERROR(VLOOKUP(B214,'Saldo Atual'!$A:$K,11,0),0),"-"),"-")</f>
        <v>-</v>
      </c>
      <c r="I214" s="19"/>
      <c r="J214" s="9"/>
      <c r="K214" s="9"/>
    </row>
    <row r="215" customFormat="false" ht="18" hidden="false" customHeight="true" outlineLevel="0" collapsed="false">
      <c r="A215" s="14"/>
      <c r="B215" s="15"/>
      <c r="C215" s="16" t="str">
        <f aca="false">IFERROR(VLOOKUP(B215,Cadastro!$A$5:$B$54,2,0),"")</f>
        <v/>
      </c>
      <c r="D215" s="15"/>
      <c r="E215" s="17"/>
      <c r="F215" s="7"/>
      <c r="G215" s="7" t="str">
        <f aca="false">IF(AND($D215="E",E215&lt;&gt;"",F215&lt;&gt;""),E215*F215,"-")</f>
        <v>-</v>
      </c>
      <c r="H215" s="7" t="str">
        <f aca="false">IF($D215="S",IF(AND(B215&lt;&gt;"",E215&lt;&gt;""),E215*IFERROR(VLOOKUP(B215,'Saldo Atual'!$A:$K,11,0),0),"-"),"-")</f>
        <v>-</v>
      </c>
      <c r="I215" s="15"/>
      <c r="J215" s="5"/>
      <c r="K215" s="5"/>
    </row>
    <row r="216" customFormat="false" ht="18" hidden="false" customHeight="true" outlineLevel="0" collapsed="false">
      <c r="A216" s="18"/>
      <c r="B216" s="19"/>
      <c r="C216" s="20" t="str">
        <f aca="false">IFERROR(VLOOKUP(B216,Cadastro!$A$5:$B$54,2,0),"")</f>
        <v/>
      </c>
      <c r="D216" s="19"/>
      <c r="E216" s="21"/>
      <c r="F216" s="11"/>
      <c r="G216" s="11" t="str">
        <f aca="false">IF(AND($D216="E",E216&lt;&gt;"",F216&lt;&gt;""),E216*F216,"-")</f>
        <v>-</v>
      </c>
      <c r="H216" s="11" t="str">
        <f aca="false">IF($D216="S",IF(AND(B216&lt;&gt;"",E216&lt;&gt;""),E216*IFERROR(VLOOKUP(B216,'Saldo Atual'!$A:$K,11,0),0),"-"),"-")</f>
        <v>-</v>
      </c>
      <c r="I216" s="19"/>
      <c r="J216" s="9"/>
      <c r="K216" s="9"/>
    </row>
    <row r="217" customFormat="false" ht="18" hidden="false" customHeight="true" outlineLevel="0" collapsed="false">
      <c r="A217" s="14"/>
      <c r="B217" s="15"/>
      <c r="C217" s="16" t="str">
        <f aca="false">IFERROR(VLOOKUP(B217,Cadastro!$A$5:$B$54,2,0),"")</f>
        <v/>
      </c>
      <c r="D217" s="15"/>
      <c r="E217" s="17"/>
      <c r="F217" s="7"/>
      <c r="G217" s="7" t="str">
        <f aca="false">IF(AND($D217="E",E217&lt;&gt;"",F217&lt;&gt;""),E217*F217,"-")</f>
        <v>-</v>
      </c>
      <c r="H217" s="7" t="str">
        <f aca="false">IF($D217="S",IF(AND(B217&lt;&gt;"",E217&lt;&gt;""),E217*IFERROR(VLOOKUP(B217,'Saldo Atual'!$A:$K,11,0),0),"-"),"-")</f>
        <v>-</v>
      </c>
      <c r="I217" s="15"/>
      <c r="J217" s="5"/>
      <c r="K217" s="5"/>
    </row>
    <row r="218" customFormat="false" ht="18" hidden="false" customHeight="true" outlineLevel="0" collapsed="false">
      <c r="A218" s="18"/>
      <c r="B218" s="19"/>
      <c r="C218" s="20" t="str">
        <f aca="false">IFERROR(VLOOKUP(B218,Cadastro!$A$5:$B$54,2,0),"")</f>
        <v/>
      </c>
      <c r="D218" s="19"/>
      <c r="E218" s="21"/>
      <c r="F218" s="11"/>
      <c r="G218" s="11" t="str">
        <f aca="false">IF(AND($D218="E",E218&lt;&gt;"",F218&lt;&gt;""),E218*F218,"-")</f>
        <v>-</v>
      </c>
      <c r="H218" s="11" t="str">
        <f aca="false">IF($D218="S",IF(AND(B218&lt;&gt;"",E218&lt;&gt;""),E218*IFERROR(VLOOKUP(B218,'Saldo Atual'!$A:$K,11,0),0),"-"),"-")</f>
        <v>-</v>
      </c>
      <c r="I218" s="19"/>
      <c r="J218" s="9"/>
      <c r="K218" s="9"/>
    </row>
    <row r="219" customFormat="false" ht="18" hidden="false" customHeight="true" outlineLevel="0" collapsed="false">
      <c r="A219" s="14"/>
      <c r="B219" s="15"/>
      <c r="C219" s="16" t="str">
        <f aca="false">IFERROR(VLOOKUP(B219,Cadastro!$A$5:$B$54,2,0),"")</f>
        <v/>
      </c>
      <c r="D219" s="15"/>
      <c r="E219" s="17"/>
      <c r="F219" s="7"/>
      <c r="G219" s="7" t="str">
        <f aca="false">IF(AND($D219="E",E219&lt;&gt;"",F219&lt;&gt;""),E219*F219,"-")</f>
        <v>-</v>
      </c>
      <c r="H219" s="7" t="str">
        <f aca="false">IF($D219="S",IF(AND(B219&lt;&gt;"",E219&lt;&gt;""),E219*IFERROR(VLOOKUP(B219,'Saldo Atual'!$A:$K,11,0),0),"-"),"-")</f>
        <v>-</v>
      </c>
      <c r="I219" s="15"/>
      <c r="J219" s="5"/>
      <c r="K219" s="5"/>
    </row>
    <row r="220" customFormat="false" ht="18" hidden="false" customHeight="true" outlineLevel="0" collapsed="false">
      <c r="A220" s="18"/>
      <c r="B220" s="19"/>
      <c r="C220" s="20" t="str">
        <f aca="false">IFERROR(VLOOKUP(B220,Cadastro!$A$5:$B$54,2,0),"")</f>
        <v/>
      </c>
      <c r="D220" s="19"/>
      <c r="E220" s="21"/>
      <c r="F220" s="11"/>
      <c r="G220" s="11" t="str">
        <f aca="false">IF(AND($D220="E",E220&lt;&gt;"",F220&lt;&gt;""),E220*F220,"-")</f>
        <v>-</v>
      </c>
      <c r="H220" s="11" t="str">
        <f aca="false">IF($D220="S",IF(AND(B220&lt;&gt;"",E220&lt;&gt;""),E220*IFERROR(VLOOKUP(B220,'Saldo Atual'!$A:$K,11,0),0),"-"),"-")</f>
        <v>-</v>
      </c>
      <c r="I220" s="19"/>
      <c r="J220" s="9"/>
      <c r="K220" s="9"/>
    </row>
    <row r="221" customFormat="false" ht="18" hidden="false" customHeight="true" outlineLevel="0" collapsed="false">
      <c r="A221" s="14"/>
      <c r="B221" s="15"/>
      <c r="C221" s="16" t="str">
        <f aca="false">IFERROR(VLOOKUP(B221,Cadastro!$A$5:$B$54,2,0),"")</f>
        <v/>
      </c>
      <c r="D221" s="15"/>
      <c r="E221" s="17"/>
      <c r="F221" s="7"/>
      <c r="G221" s="7" t="str">
        <f aca="false">IF(AND($D221="E",E221&lt;&gt;"",F221&lt;&gt;""),E221*F221,"-")</f>
        <v>-</v>
      </c>
      <c r="H221" s="7" t="str">
        <f aca="false">IF($D221="S",IF(AND(B221&lt;&gt;"",E221&lt;&gt;""),E221*IFERROR(VLOOKUP(B221,'Saldo Atual'!$A:$K,11,0),0),"-"),"-")</f>
        <v>-</v>
      </c>
      <c r="I221" s="15"/>
      <c r="J221" s="5"/>
      <c r="K221" s="5"/>
    </row>
    <row r="222" customFormat="false" ht="18" hidden="false" customHeight="true" outlineLevel="0" collapsed="false">
      <c r="A222" s="18"/>
      <c r="B222" s="19"/>
      <c r="C222" s="20" t="str">
        <f aca="false">IFERROR(VLOOKUP(B222,Cadastro!$A$5:$B$54,2,0),"")</f>
        <v/>
      </c>
      <c r="D222" s="19"/>
      <c r="E222" s="21"/>
      <c r="F222" s="11"/>
      <c r="G222" s="11" t="str">
        <f aca="false">IF(AND($D222="E",E222&lt;&gt;"",F222&lt;&gt;""),E222*F222,"-")</f>
        <v>-</v>
      </c>
      <c r="H222" s="11" t="str">
        <f aca="false">IF($D222="S",IF(AND(B222&lt;&gt;"",E222&lt;&gt;""),E222*IFERROR(VLOOKUP(B222,'Saldo Atual'!$A:$K,11,0),0),"-"),"-")</f>
        <v>-</v>
      </c>
      <c r="I222" s="19"/>
      <c r="J222" s="9"/>
      <c r="K222" s="9"/>
    </row>
    <row r="223" customFormat="false" ht="18" hidden="false" customHeight="true" outlineLevel="0" collapsed="false">
      <c r="A223" s="14"/>
      <c r="B223" s="15"/>
      <c r="C223" s="16" t="str">
        <f aca="false">IFERROR(VLOOKUP(B223,Cadastro!$A$5:$B$54,2,0),"")</f>
        <v/>
      </c>
      <c r="D223" s="15"/>
      <c r="E223" s="17"/>
      <c r="F223" s="7"/>
      <c r="G223" s="7" t="str">
        <f aca="false">IF(AND($D223="E",E223&lt;&gt;"",F223&lt;&gt;""),E223*F223,"-")</f>
        <v>-</v>
      </c>
      <c r="H223" s="7" t="str">
        <f aca="false">IF($D223="S",IF(AND(B223&lt;&gt;"",E223&lt;&gt;""),E223*IFERROR(VLOOKUP(B223,'Saldo Atual'!$A:$K,11,0),0),"-"),"-")</f>
        <v>-</v>
      </c>
      <c r="I223" s="15"/>
      <c r="J223" s="5"/>
      <c r="K223" s="5"/>
    </row>
    <row r="224" customFormat="false" ht="18" hidden="false" customHeight="true" outlineLevel="0" collapsed="false">
      <c r="A224" s="18"/>
      <c r="B224" s="19"/>
      <c r="C224" s="20" t="str">
        <f aca="false">IFERROR(VLOOKUP(B224,Cadastro!$A$5:$B$54,2,0),"")</f>
        <v/>
      </c>
      <c r="D224" s="19"/>
      <c r="E224" s="21"/>
      <c r="F224" s="11"/>
      <c r="G224" s="11" t="str">
        <f aca="false">IF(AND($D224="E",E224&lt;&gt;"",F224&lt;&gt;""),E224*F224,"-")</f>
        <v>-</v>
      </c>
      <c r="H224" s="11" t="str">
        <f aca="false">IF($D224="S",IF(AND(B224&lt;&gt;"",E224&lt;&gt;""),E224*IFERROR(VLOOKUP(B224,'Saldo Atual'!$A:$K,11,0),0),"-"),"-")</f>
        <v>-</v>
      </c>
      <c r="I224" s="19"/>
      <c r="J224" s="9"/>
      <c r="K224" s="9"/>
    </row>
    <row r="225" customFormat="false" ht="18" hidden="false" customHeight="true" outlineLevel="0" collapsed="false">
      <c r="A225" s="14"/>
      <c r="B225" s="15"/>
      <c r="C225" s="16" t="str">
        <f aca="false">IFERROR(VLOOKUP(B225,Cadastro!$A$5:$B$54,2,0),"")</f>
        <v/>
      </c>
      <c r="D225" s="15"/>
      <c r="E225" s="17"/>
      <c r="F225" s="7"/>
      <c r="G225" s="7" t="str">
        <f aca="false">IF(AND($D225="E",E225&lt;&gt;"",F225&lt;&gt;""),E225*F225,"-")</f>
        <v>-</v>
      </c>
      <c r="H225" s="7" t="str">
        <f aca="false">IF($D225="S",IF(AND(B225&lt;&gt;"",E225&lt;&gt;""),E225*IFERROR(VLOOKUP(B225,'Saldo Atual'!$A:$K,11,0),0),"-"),"-")</f>
        <v>-</v>
      </c>
      <c r="I225" s="15"/>
      <c r="J225" s="5"/>
      <c r="K225" s="5"/>
    </row>
    <row r="226" customFormat="false" ht="18" hidden="false" customHeight="true" outlineLevel="0" collapsed="false">
      <c r="A226" s="18"/>
      <c r="B226" s="19"/>
      <c r="C226" s="20" t="str">
        <f aca="false">IFERROR(VLOOKUP(B226,Cadastro!$A$5:$B$54,2,0),"")</f>
        <v/>
      </c>
      <c r="D226" s="19"/>
      <c r="E226" s="21"/>
      <c r="F226" s="11"/>
      <c r="G226" s="11" t="str">
        <f aca="false">IF(AND($D226="E",E226&lt;&gt;"",F226&lt;&gt;""),E226*F226,"-")</f>
        <v>-</v>
      </c>
      <c r="H226" s="11" t="str">
        <f aca="false">IF($D226="S",IF(AND(B226&lt;&gt;"",E226&lt;&gt;""),E226*IFERROR(VLOOKUP(B226,'Saldo Atual'!$A:$K,11,0),0),"-"),"-")</f>
        <v>-</v>
      </c>
      <c r="I226" s="19"/>
      <c r="J226" s="9"/>
      <c r="K226" s="9"/>
    </row>
    <row r="227" customFormat="false" ht="18" hidden="false" customHeight="true" outlineLevel="0" collapsed="false">
      <c r="A227" s="14"/>
      <c r="B227" s="15"/>
      <c r="C227" s="16" t="str">
        <f aca="false">IFERROR(VLOOKUP(B227,Cadastro!$A$5:$B$54,2,0),"")</f>
        <v/>
      </c>
      <c r="D227" s="15"/>
      <c r="E227" s="17"/>
      <c r="F227" s="7"/>
      <c r="G227" s="7" t="str">
        <f aca="false">IF(AND($D227="E",E227&lt;&gt;"",F227&lt;&gt;""),E227*F227,"-")</f>
        <v>-</v>
      </c>
      <c r="H227" s="7" t="str">
        <f aca="false">IF($D227="S",IF(AND(B227&lt;&gt;"",E227&lt;&gt;""),E227*IFERROR(VLOOKUP(B227,'Saldo Atual'!$A:$K,11,0),0),"-"),"-")</f>
        <v>-</v>
      </c>
      <c r="I227" s="15"/>
      <c r="J227" s="5"/>
      <c r="K227" s="5"/>
    </row>
    <row r="228" customFormat="false" ht="18" hidden="false" customHeight="true" outlineLevel="0" collapsed="false">
      <c r="A228" s="18"/>
      <c r="B228" s="19"/>
      <c r="C228" s="20" t="str">
        <f aca="false">IFERROR(VLOOKUP(B228,Cadastro!$A$5:$B$54,2,0),"")</f>
        <v/>
      </c>
      <c r="D228" s="19"/>
      <c r="E228" s="21"/>
      <c r="F228" s="11"/>
      <c r="G228" s="11" t="str">
        <f aca="false">IF(AND($D228="E",E228&lt;&gt;"",F228&lt;&gt;""),E228*F228,"-")</f>
        <v>-</v>
      </c>
      <c r="H228" s="11" t="str">
        <f aca="false">IF($D228="S",IF(AND(B228&lt;&gt;"",E228&lt;&gt;""),E228*IFERROR(VLOOKUP(B228,'Saldo Atual'!$A:$K,11,0),0),"-"),"-")</f>
        <v>-</v>
      </c>
      <c r="I228" s="19"/>
      <c r="J228" s="9"/>
      <c r="K228" s="9"/>
    </row>
    <row r="229" customFormat="false" ht="18" hidden="false" customHeight="true" outlineLevel="0" collapsed="false">
      <c r="A229" s="14"/>
      <c r="B229" s="15"/>
      <c r="C229" s="16" t="str">
        <f aca="false">IFERROR(VLOOKUP(B229,Cadastro!$A$5:$B$54,2,0),"")</f>
        <v/>
      </c>
      <c r="D229" s="15"/>
      <c r="E229" s="17"/>
      <c r="F229" s="7"/>
      <c r="G229" s="7" t="str">
        <f aca="false">IF(AND($D229="E",E229&lt;&gt;"",F229&lt;&gt;""),E229*F229,"-")</f>
        <v>-</v>
      </c>
      <c r="H229" s="7" t="str">
        <f aca="false">IF($D229="S",IF(AND(B229&lt;&gt;"",E229&lt;&gt;""),E229*IFERROR(VLOOKUP(B229,'Saldo Atual'!$A:$K,11,0),0),"-"),"-")</f>
        <v>-</v>
      </c>
      <c r="I229" s="15"/>
      <c r="J229" s="5"/>
      <c r="K229" s="5"/>
    </row>
    <row r="230" customFormat="false" ht="18" hidden="false" customHeight="true" outlineLevel="0" collapsed="false">
      <c r="A230" s="18"/>
      <c r="B230" s="19"/>
      <c r="C230" s="20" t="str">
        <f aca="false">IFERROR(VLOOKUP(B230,Cadastro!$A$5:$B$54,2,0),"")</f>
        <v/>
      </c>
      <c r="D230" s="19"/>
      <c r="E230" s="21"/>
      <c r="F230" s="11"/>
      <c r="G230" s="11" t="str">
        <f aca="false">IF(AND($D230="E",E230&lt;&gt;"",F230&lt;&gt;""),E230*F230,"-")</f>
        <v>-</v>
      </c>
      <c r="H230" s="11" t="str">
        <f aca="false">IF($D230="S",IF(AND(B230&lt;&gt;"",E230&lt;&gt;""),E230*IFERROR(VLOOKUP(B230,'Saldo Atual'!$A:$K,11,0),0),"-"),"-")</f>
        <v>-</v>
      </c>
      <c r="I230" s="19"/>
      <c r="J230" s="9"/>
      <c r="K230" s="9"/>
    </row>
    <row r="231" customFormat="false" ht="18" hidden="false" customHeight="true" outlineLevel="0" collapsed="false">
      <c r="A231" s="14"/>
      <c r="B231" s="15"/>
      <c r="C231" s="16" t="str">
        <f aca="false">IFERROR(VLOOKUP(B231,Cadastro!$A$5:$B$54,2,0),"")</f>
        <v/>
      </c>
      <c r="D231" s="15"/>
      <c r="E231" s="17"/>
      <c r="F231" s="7"/>
      <c r="G231" s="7" t="str">
        <f aca="false">IF(AND($D231="E",E231&lt;&gt;"",F231&lt;&gt;""),E231*F231,"-")</f>
        <v>-</v>
      </c>
      <c r="H231" s="7" t="str">
        <f aca="false">IF($D231="S",IF(AND(B231&lt;&gt;"",E231&lt;&gt;""),E231*IFERROR(VLOOKUP(B231,'Saldo Atual'!$A:$K,11,0),0),"-"),"-")</f>
        <v>-</v>
      </c>
      <c r="I231" s="15"/>
      <c r="J231" s="5"/>
      <c r="K231" s="5"/>
    </row>
    <row r="232" customFormat="false" ht="18" hidden="false" customHeight="true" outlineLevel="0" collapsed="false">
      <c r="A232" s="18"/>
      <c r="B232" s="19"/>
      <c r="C232" s="20" t="str">
        <f aca="false">IFERROR(VLOOKUP(B232,Cadastro!$A$5:$B$54,2,0),"")</f>
        <v/>
      </c>
      <c r="D232" s="19"/>
      <c r="E232" s="21"/>
      <c r="F232" s="11"/>
      <c r="G232" s="11" t="str">
        <f aca="false">IF(AND($D232="E",E232&lt;&gt;"",F232&lt;&gt;""),E232*F232,"-")</f>
        <v>-</v>
      </c>
      <c r="H232" s="11" t="str">
        <f aca="false">IF($D232="S",IF(AND(B232&lt;&gt;"",E232&lt;&gt;""),E232*IFERROR(VLOOKUP(B232,'Saldo Atual'!$A:$K,11,0),0),"-"),"-")</f>
        <v>-</v>
      </c>
      <c r="I232" s="19"/>
      <c r="J232" s="9"/>
      <c r="K232" s="9"/>
    </row>
    <row r="233" customFormat="false" ht="18" hidden="false" customHeight="true" outlineLevel="0" collapsed="false">
      <c r="A233" s="14"/>
      <c r="B233" s="15"/>
      <c r="C233" s="16" t="str">
        <f aca="false">IFERROR(VLOOKUP(B233,Cadastro!$A$5:$B$54,2,0),"")</f>
        <v/>
      </c>
      <c r="D233" s="15"/>
      <c r="E233" s="17"/>
      <c r="F233" s="7"/>
      <c r="G233" s="7" t="str">
        <f aca="false">IF(AND($D233="E",E233&lt;&gt;"",F233&lt;&gt;""),E233*F233,"-")</f>
        <v>-</v>
      </c>
      <c r="H233" s="7" t="str">
        <f aca="false">IF($D233="S",IF(AND(B233&lt;&gt;"",E233&lt;&gt;""),E233*IFERROR(VLOOKUP(B233,'Saldo Atual'!$A:$K,11,0),0),"-"),"-")</f>
        <v>-</v>
      </c>
      <c r="I233" s="15"/>
      <c r="J233" s="5"/>
      <c r="K233" s="5"/>
    </row>
    <row r="234" customFormat="false" ht="18" hidden="false" customHeight="true" outlineLevel="0" collapsed="false">
      <c r="A234" s="18"/>
      <c r="B234" s="19"/>
      <c r="C234" s="20" t="str">
        <f aca="false">IFERROR(VLOOKUP(B234,Cadastro!$A$5:$B$54,2,0),"")</f>
        <v/>
      </c>
      <c r="D234" s="19"/>
      <c r="E234" s="21"/>
      <c r="F234" s="11"/>
      <c r="G234" s="11" t="str">
        <f aca="false">IF(AND($D234="E",E234&lt;&gt;"",F234&lt;&gt;""),E234*F234,"-")</f>
        <v>-</v>
      </c>
      <c r="H234" s="11" t="str">
        <f aca="false">IF($D234="S",IF(AND(B234&lt;&gt;"",E234&lt;&gt;""),E234*IFERROR(VLOOKUP(B234,'Saldo Atual'!$A:$K,11,0),0),"-"),"-")</f>
        <v>-</v>
      </c>
      <c r="I234" s="19"/>
      <c r="J234" s="9"/>
      <c r="K234" s="9"/>
    </row>
    <row r="235" customFormat="false" ht="18" hidden="false" customHeight="true" outlineLevel="0" collapsed="false">
      <c r="A235" s="14"/>
      <c r="B235" s="15"/>
      <c r="C235" s="16" t="str">
        <f aca="false">IFERROR(VLOOKUP(B235,Cadastro!$A$5:$B$54,2,0),"")</f>
        <v/>
      </c>
      <c r="D235" s="15"/>
      <c r="E235" s="17"/>
      <c r="F235" s="7"/>
      <c r="G235" s="7" t="str">
        <f aca="false">IF(AND($D235="E",E235&lt;&gt;"",F235&lt;&gt;""),E235*F235,"-")</f>
        <v>-</v>
      </c>
      <c r="H235" s="7" t="str">
        <f aca="false">IF($D235="S",IF(AND(B235&lt;&gt;"",E235&lt;&gt;""),E235*IFERROR(VLOOKUP(B235,'Saldo Atual'!$A:$K,11,0),0),"-"),"-")</f>
        <v>-</v>
      </c>
      <c r="I235" s="15"/>
      <c r="J235" s="5"/>
      <c r="K235" s="5"/>
    </row>
    <row r="236" customFormat="false" ht="18" hidden="false" customHeight="true" outlineLevel="0" collapsed="false">
      <c r="A236" s="18"/>
      <c r="B236" s="19"/>
      <c r="C236" s="20" t="str">
        <f aca="false">IFERROR(VLOOKUP(B236,Cadastro!$A$5:$B$54,2,0),"")</f>
        <v/>
      </c>
      <c r="D236" s="19"/>
      <c r="E236" s="21"/>
      <c r="F236" s="11"/>
      <c r="G236" s="11" t="str">
        <f aca="false">IF(AND($D236="E",E236&lt;&gt;"",F236&lt;&gt;""),E236*F236,"-")</f>
        <v>-</v>
      </c>
      <c r="H236" s="11" t="str">
        <f aca="false">IF($D236="S",IF(AND(B236&lt;&gt;"",E236&lt;&gt;""),E236*IFERROR(VLOOKUP(B236,'Saldo Atual'!$A:$K,11,0),0),"-"),"-")</f>
        <v>-</v>
      </c>
      <c r="I236" s="19"/>
      <c r="J236" s="9"/>
      <c r="K236" s="9"/>
    </row>
    <row r="237" customFormat="false" ht="18" hidden="false" customHeight="true" outlineLevel="0" collapsed="false">
      <c r="A237" s="14"/>
      <c r="B237" s="15"/>
      <c r="C237" s="16" t="str">
        <f aca="false">IFERROR(VLOOKUP(B237,Cadastro!$A$5:$B$54,2,0),"")</f>
        <v/>
      </c>
      <c r="D237" s="15"/>
      <c r="E237" s="17"/>
      <c r="F237" s="7"/>
      <c r="G237" s="7" t="str">
        <f aca="false">IF(AND($D237="E",E237&lt;&gt;"",F237&lt;&gt;""),E237*F237,"-")</f>
        <v>-</v>
      </c>
      <c r="H237" s="7" t="str">
        <f aca="false">IF($D237="S",IF(AND(B237&lt;&gt;"",E237&lt;&gt;""),E237*IFERROR(VLOOKUP(B237,'Saldo Atual'!$A:$K,11,0),0),"-"),"-")</f>
        <v>-</v>
      </c>
      <c r="I237" s="15"/>
      <c r="J237" s="5"/>
      <c r="K237" s="5"/>
    </row>
    <row r="238" customFormat="false" ht="18" hidden="false" customHeight="true" outlineLevel="0" collapsed="false">
      <c r="A238" s="18"/>
      <c r="B238" s="19"/>
      <c r="C238" s="20" t="str">
        <f aca="false">IFERROR(VLOOKUP(B238,Cadastro!$A$5:$B$54,2,0),"")</f>
        <v/>
      </c>
      <c r="D238" s="19"/>
      <c r="E238" s="21"/>
      <c r="F238" s="11"/>
      <c r="G238" s="11" t="str">
        <f aca="false">IF(AND($D238="E",E238&lt;&gt;"",F238&lt;&gt;""),E238*F238,"-")</f>
        <v>-</v>
      </c>
      <c r="H238" s="11" t="str">
        <f aca="false">IF($D238="S",IF(AND(B238&lt;&gt;"",E238&lt;&gt;""),E238*IFERROR(VLOOKUP(B238,'Saldo Atual'!$A:$K,11,0),0),"-"),"-")</f>
        <v>-</v>
      </c>
      <c r="I238" s="19"/>
      <c r="J238" s="9"/>
      <c r="K238" s="9"/>
    </row>
    <row r="239" customFormat="false" ht="18" hidden="false" customHeight="true" outlineLevel="0" collapsed="false">
      <c r="A239" s="14"/>
      <c r="B239" s="15"/>
      <c r="C239" s="16" t="str">
        <f aca="false">IFERROR(VLOOKUP(B239,Cadastro!$A$5:$B$54,2,0),"")</f>
        <v/>
      </c>
      <c r="D239" s="15"/>
      <c r="E239" s="17"/>
      <c r="F239" s="7"/>
      <c r="G239" s="7" t="str">
        <f aca="false">IF(AND($D239="E",E239&lt;&gt;"",F239&lt;&gt;""),E239*F239,"-")</f>
        <v>-</v>
      </c>
      <c r="H239" s="7" t="str">
        <f aca="false">IF($D239="S",IF(AND(B239&lt;&gt;"",E239&lt;&gt;""),E239*IFERROR(VLOOKUP(B239,'Saldo Atual'!$A:$K,11,0),0),"-"),"-")</f>
        <v>-</v>
      </c>
      <c r="I239" s="15"/>
      <c r="J239" s="5"/>
      <c r="K239" s="5"/>
    </row>
    <row r="240" customFormat="false" ht="18" hidden="false" customHeight="true" outlineLevel="0" collapsed="false">
      <c r="A240" s="18"/>
      <c r="B240" s="19"/>
      <c r="C240" s="20" t="str">
        <f aca="false">IFERROR(VLOOKUP(B240,Cadastro!$A$5:$B$54,2,0),"")</f>
        <v/>
      </c>
      <c r="D240" s="19"/>
      <c r="E240" s="21"/>
      <c r="F240" s="11"/>
      <c r="G240" s="11" t="str">
        <f aca="false">IF(AND($D240="E",E240&lt;&gt;"",F240&lt;&gt;""),E240*F240,"-")</f>
        <v>-</v>
      </c>
      <c r="H240" s="11" t="str">
        <f aca="false">IF($D240="S",IF(AND(B240&lt;&gt;"",E240&lt;&gt;""),E240*IFERROR(VLOOKUP(B240,'Saldo Atual'!$A:$K,11,0),0),"-"),"-")</f>
        <v>-</v>
      </c>
      <c r="I240" s="19"/>
      <c r="J240" s="9"/>
      <c r="K240" s="9"/>
    </row>
    <row r="241" customFormat="false" ht="18" hidden="false" customHeight="true" outlineLevel="0" collapsed="false">
      <c r="A241" s="14"/>
      <c r="B241" s="15"/>
      <c r="C241" s="16" t="str">
        <f aca="false">IFERROR(VLOOKUP(B241,Cadastro!$A$5:$B$54,2,0),"")</f>
        <v/>
      </c>
      <c r="D241" s="15"/>
      <c r="E241" s="17"/>
      <c r="F241" s="7"/>
      <c r="G241" s="7" t="str">
        <f aca="false">IF(AND($D241="E",E241&lt;&gt;"",F241&lt;&gt;""),E241*F241,"-")</f>
        <v>-</v>
      </c>
      <c r="H241" s="7" t="str">
        <f aca="false">IF($D241="S",IF(AND(B241&lt;&gt;"",E241&lt;&gt;""),E241*IFERROR(VLOOKUP(B241,'Saldo Atual'!$A:$K,11,0),0),"-"),"-")</f>
        <v>-</v>
      </c>
      <c r="I241" s="15"/>
      <c r="J241" s="5"/>
      <c r="K241" s="5"/>
    </row>
    <row r="242" customFormat="false" ht="18" hidden="false" customHeight="true" outlineLevel="0" collapsed="false">
      <c r="A242" s="18"/>
      <c r="B242" s="19"/>
      <c r="C242" s="20" t="str">
        <f aca="false">IFERROR(VLOOKUP(B242,Cadastro!$A$5:$B$54,2,0),"")</f>
        <v/>
      </c>
      <c r="D242" s="19"/>
      <c r="E242" s="21"/>
      <c r="F242" s="11"/>
      <c r="G242" s="11" t="str">
        <f aca="false">IF(AND($D242="E",E242&lt;&gt;"",F242&lt;&gt;""),E242*F242,"-")</f>
        <v>-</v>
      </c>
      <c r="H242" s="11" t="str">
        <f aca="false">IF($D242="S",IF(AND(B242&lt;&gt;"",E242&lt;&gt;""),E242*IFERROR(VLOOKUP(B242,'Saldo Atual'!$A:$K,11,0),0),"-"),"-")</f>
        <v>-</v>
      </c>
      <c r="I242" s="19"/>
      <c r="J242" s="9"/>
      <c r="K242" s="9"/>
    </row>
    <row r="243" customFormat="false" ht="18" hidden="false" customHeight="true" outlineLevel="0" collapsed="false">
      <c r="A243" s="14"/>
      <c r="B243" s="15"/>
      <c r="C243" s="16" t="str">
        <f aca="false">IFERROR(VLOOKUP(B243,Cadastro!$A$5:$B$54,2,0),"")</f>
        <v/>
      </c>
      <c r="D243" s="15"/>
      <c r="E243" s="17"/>
      <c r="F243" s="7"/>
      <c r="G243" s="7" t="str">
        <f aca="false">IF(AND($D243="E",E243&lt;&gt;"",F243&lt;&gt;""),E243*F243,"-")</f>
        <v>-</v>
      </c>
      <c r="H243" s="7" t="str">
        <f aca="false">IF($D243="S",IF(AND(B243&lt;&gt;"",E243&lt;&gt;""),E243*IFERROR(VLOOKUP(B243,'Saldo Atual'!$A:$K,11,0),0),"-"),"-")</f>
        <v>-</v>
      </c>
      <c r="I243" s="15"/>
      <c r="J243" s="5"/>
      <c r="K243" s="5"/>
    </row>
    <row r="244" customFormat="false" ht="18" hidden="false" customHeight="true" outlineLevel="0" collapsed="false">
      <c r="A244" s="18"/>
      <c r="B244" s="19"/>
      <c r="C244" s="20" t="str">
        <f aca="false">IFERROR(VLOOKUP(B244,Cadastro!$A$5:$B$54,2,0),"")</f>
        <v/>
      </c>
      <c r="D244" s="19"/>
      <c r="E244" s="21"/>
      <c r="F244" s="11"/>
      <c r="G244" s="11" t="str">
        <f aca="false">IF(AND($D244="E",E244&lt;&gt;"",F244&lt;&gt;""),E244*F244,"-")</f>
        <v>-</v>
      </c>
      <c r="H244" s="11" t="str">
        <f aca="false">IF($D244="S",IF(AND(B244&lt;&gt;"",E244&lt;&gt;""),E244*IFERROR(VLOOKUP(B244,'Saldo Atual'!$A:$K,11,0),0),"-"),"-")</f>
        <v>-</v>
      </c>
      <c r="I244" s="19"/>
      <c r="J244" s="9"/>
      <c r="K244" s="9"/>
    </row>
    <row r="245" customFormat="false" ht="18" hidden="false" customHeight="true" outlineLevel="0" collapsed="false">
      <c r="A245" s="14"/>
      <c r="B245" s="15"/>
      <c r="C245" s="16" t="str">
        <f aca="false">IFERROR(VLOOKUP(B245,Cadastro!$A$5:$B$54,2,0),"")</f>
        <v/>
      </c>
      <c r="D245" s="15"/>
      <c r="E245" s="17"/>
      <c r="F245" s="7"/>
      <c r="G245" s="7" t="str">
        <f aca="false">IF(AND($D245="E",E245&lt;&gt;"",F245&lt;&gt;""),E245*F245,"-")</f>
        <v>-</v>
      </c>
      <c r="H245" s="7" t="str">
        <f aca="false">IF($D245="S",IF(AND(B245&lt;&gt;"",E245&lt;&gt;""),E245*IFERROR(VLOOKUP(B245,'Saldo Atual'!$A:$K,11,0),0),"-"),"-")</f>
        <v>-</v>
      </c>
      <c r="I245" s="15"/>
      <c r="J245" s="5"/>
      <c r="K245" s="5"/>
    </row>
    <row r="246" customFormat="false" ht="18" hidden="false" customHeight="true" outlineLevel="0" collapsed="false">
      <c r="A246" s="18"/>
      <c r="B246" s="19"/>
      <c r="C246" s="20" t="str">
        <f aca="false">IFERROR(VLOOKUP(B246,Cadastro!$A$5:$B$54,2,0),"")</f>
        <v/>
      </c>
      <c r="D246" s="19"/>
      <c r="E246" s="21"/>
      <c r="F246" s="11"/>
      <c r="G246" s="11" t="str">
        <f aca="false">IF(AND($D246="E",E246&lt;&gt;"",F246&lt;&gt;""),E246*F246,"-")</f>
        <v>-</v>
      </c>
      <c r="H246" s="11" t="str">
        <f aca="false">IF($D246="S",IF(AND(B246&lt;&gt;"",E246&lt;&gt;""),E246*IFERROR(VLOOKUP(B246,'Saldo Atual'!$A:$K,11,0),0),"-"),"-")</f>
        <v>-</v>
      </c>
      <c r="I246" s="19"/>
      <c r="J246" s="9"/>
      <c r="K246" s="9"/>
    </row>
    <row r="247" customFormat="false" ht="18" hidden="false" customHeight="true" outlineLevel="0" collapsed="false">
      <c r="A247" s="14"/>
      <c r="B247" s="15"/>
      <c r="C247" s="16" t="str">
        <f aca="false">IFERROR(VLOOKUP(B247,Cadastro!$A$5:$B$54,2,0),"")</f>
        <v/>
      </c>
      <c r="D247" s="15"/>
      <c r="E247" s="17"/>
      <c r="F247" s="7"/>
      <c r="G247" s="7" t="str">
        <f aca="false">IF(AND($D247="E",E247&lt;&gt;"",F247&lt;&gt;""),E247*F247,"-")</f>
        <v>-</v>
      </c>
      <c r="H247" s="7" t="str">
        <f aca="false">IF($D247="S",IF(AND(B247&lt;&gt;"",E247&lt;&gt;""),E247*IFERROR(VLOOKUP(B247,'Saldo Atual'!$A:$K,11,0),0),"-"),"-")</f>
        <v>-</v>
      </c>
      <c r="I247" s="15"/>
      <c r="J247" s="5"/>
      <c r="K247" s="5"/>
    </row>
    <row r="248" customFormat="false" ht="18" hidden="false" customHeight="true" outlineLevel="0" collapsed="false">
      <c r="A248" s="18"/>
      <c r="B248" s="19"/>
      <c r="C248" s="20" t="str">
        <f aca="false">IFERROR(VLOOKUP(B248,Cadastro!$A$5:$B$54,2,0),"")</f>
        <v/>
      </c>
      <c r="D248" s="19"/>
      <c r="E248" s="21"/>
      <c r="F248" s="11"/>
      <c r="G248" s="11" t="str">
        <f aca="false">IF(AND($D248="E",E248&lt;&gt;"",F248&lt;&gt;""),E248*F248,"-")</f>
        <v>-</v>
      </c>
      <c r="H248" s="11" t="str">
        <f aca="false">IF($D248="S",IF(AND(B248&lt;&gt;"",E248&lt;&gt;""),E248*IFERROR(VLOOKUP(B248,'Saldo Atual'!$A:$K,11,0),0),"-"),"-")</f>
        <v>-</v>
      </c>
      <c r="I248" s="19"/>
      <c r="J248" s="9"/>
      <c r="K248" s="9"/>
    </row>
    <row r="249" customFormat="false" ht="18" hidden="false" customHeight="true" outlineLevel="0" collapsed="false">
      <c r="A249" s="14"/>
      <c r="B249" s="15"/>
      <c r="C249" s="16" t="str">
        <f aca="false">IFERROR(VLOOKUP(B249,Cadastro!$A$5:$B$54,2,0),"")</f>
        <v/>
      </c>
      <c r="D249" s="15"/>
      <c r="E249" s="17"/>
      <c r="F249" s="7"/>
      <c r="G249" s="7" t="str">
        <f aca="false">IF(AND($D249="E",E249&lt;&gt;"",F249&lt;&gt;""),E249*F249,"-")</f>
        <v>-</v>
      </c>
      <c r="H249" s="7" t="str">
        <f aca="false">IF($D249="S",IF(AND(B249&lt;&gt;"",E249&lt;&gt;""),E249*IFERROR(VLOOKUP(B249,'Saldo Atual'!$A:$K,11,0),0),"-"),"-")</f>
        <v>-</v>
      </c>
      <c r="I249" s="15"/>
      <c r="J249" s="5"/>
      <c r="K249" s="5"/>
    </row>
    <row r="250" customFormat="false" ht="18" hidden="false" customHeight="true" outlineLevel="0" collapsed="false">
      <c r="A250" s="18"/>
      <c r="B250" s="19"/>
      <c r="C250" s="20" t="str">
        <f aca="false">IFERROR(VLOOKUP(B250,Cadastro!$A$5:$B$54,2,0),"")</f>
        <v/>
      </c>
      <c r="D250" s="19"/>
      <c r="E250" s="21"/>
      <c r="F250" s="11"/>
      <c r="G250" s="11" t="str">
        <f aca="false">IF(AND($D250="E",E250&lt;&gt;"",F250&lt;&gt;""),E250*F250,"-")</f>
        <v>-</v>
      </c>
      <c r="H250" s="11" t="str">
        <f aca="false">IF($D250="S",IF(AND(B250&lt;&gt;"",E250&lt;&gt;""),E250*IFERROR(VLOOKUP(B250,'Saldo Atual'!$A:$K,11,0),0),"-"),"-")</f>
        <v>-</v>
      </c>
      <c r="I250" s="19"/>
      <c r="J250" s="9"/>
      <c r="K250" s="9"/>
    </row>
    <row r="251" customFormat="false" ht="18" hidden="false" customHeight="true" outlineLevel="0" collapsed="false">
      <c r="A251" s="14"/>
      <c r="B251" s="15"/>
      <c r="C251" s="16" t="str">
        <f aca="false">IFERROR(VLOOKUP(B251,Cadastro!$A$5:$B$54,2,0),"")</f>
        <v/>
      </c>
      <c r="D251" s="15"/>
      <c r="E251" s="17"/>
      <c r="F251" s="7"/>
      <c r="G251" s="7" t="str">
        <f aca="false">IF(AND($D251="E",E251&lt;&gt;"",F251&lt;&gt;""),E251*F251,"-")</f>
        <v>-</v>
      </c>
      <c r="H251" s="7" t="str">
        <f aca="false">IF($D251="S",IF(AND(B251&lt;&gt;"",E251&lt;&gt;""),E251*IFERROR(VLOOKUP(B251,'Saldo Atual'!$A:$K,11,0),0),"-"),"-")</f>
        <v>-</v>
      </c>
      <c r="I251" s="15"/>
      <c r="J251" s="5"/>
      <c r="K251" s="5"/>
    </row>
    <row r="252" customFormat="false" ht="18" hidden="false" customHeight="true" outlineLevel="0" collapsed="false">
      <c r="A252" s="18"/>
      <c r="B252" s="19"/>
      <c r="C252" s="20" t="str">
        <f aca="false">IFERROR(VLOOKUP(B252,Cadastro!$A$5:$B$54,2,0),"")</f>
        <v/>
      </c>
      <c r="D252" s="19"/>
      <c r="E252" s="21"/>
      <c r="F252" s="11"/>
      <c r="G252" s="11" t="str">
        <f aca="false">IF(AND($D252="E",E252&lt;&gt;"",F252&lt;&gt;""),E252*F252,"-")</f>
        <v>-</v>
      </c>
      <c r="H252" s="11" t="str">
        <f aca="false">IF($D252="S",IF(AND(B252&lt;&gt;"",E252&lt;&gt;""),E252*IFERROR(VLOOKUP(B252,'Saldo Atual'!$A:$K,11,0),0),"-"),"-")</f>
        <v>-</v>
      </c>
      <c r="I252" s="19"/>
      <c r="J252" s="9"/>
      <c r="K252" s="9"/>
    </row>
    <row r="253" customFormat="false" ht="18" hidden="false" customHeight="true" outlineLevel="0" collapsed="false">
      <c r="A253" s="14"/>
      <c r="B253" s="15"/>
      <c r="C253" s="16" t="str">
        <f aca="false">IFERROR(VLOOKUP(B253,Cadastro!$A$5:$B$54,2,0),"")</f>
        <v/>
      </c>
      <c r="D253" s="15"/>
      <c r="E253" s="17"/>
      <c r="F253" s="7"/>
      <c r="G253" s="7" t="str">
        <f aca="false">IF(AND($D253="E",E253&lt;&gt;"",F253&lt;&gt;""),E253*F253,"-")</f>
        <v>-</v>
      </c>
      <c r="H253" s="7" t="str">
        <f aca="false">IF($D253="S",IF(AND(B253&lt;&gt;"",E253&lt;&gt;""),E253*IFERROR(VLOOKUP(B253,'Saldo Atual'!$A:$K,11,0),0),"-"),"-")</f>
        <v>-</v>
      </c>
      <c r="I253" s="15"/>
      <c r="J253" s="5"/>
      <c r="K253" s="5"/>
    </row>
    <row r="254" customFormat="false" ht="18" hidden="false" customHeight="true" outlineLevel="0" collapsed="false">
      <c r="A254" s="18"/>
      <c r="B254" s="19"/>
      <c r="C254" s="20" t="str">
        <f aca="false">IFERROR(VLOOKUP(B254,Cadastro!$A$5:$B$54,2,0),"")</f>
        <v/>
      </c>
      <c r="D254" s="19"/>
      <c r="E254" s="21"/>
      <c r="F254" s="11"/>
      <c r="G254" s="11" t="str">
        <f aca="false">IF(AND($D254="E",E254&lt;&gt;"",F254&lt;&gt;""),E254*F254,"-")</f>
        <v>-</v>
      </c>
      <c r="H254" s="11" t="str">
        <f aca="false">IF($D254="S",IF(AND(B254&lt;&gt;"",E254&lt;&gt;""),E254*IFERROR(VLOOKUP(B254,'Saldo Atual'!$A:$K,11,0),0),"-"),"-")</f>
        <v>-</v>
      </c>
      <c r="I254" s="19"/>
      <c r="J254" s="9"/>
      <c r="K254" s="9"/>
    </row>
    <row r="255" customFormat="false" ht="18" hidden="false" customHeight="true" outlineLevel="0" collapsed="false">
      <c r="A255" s="14"/>
      <c r="B255" s="15"/>
      <c r="C255" s="16" t="str">
        <f aca="false">IFERROR(VLOOKUP(B255,Cadastro!$A$5:$B$54,2,0),"")</f>
        <v/>
      </c>
      <c r="D255" s="15"/>
      <c r="E255" s="17"/>
      <c r="F255" s="7"/>
      <c r="G255" s="7" t="str">
        <f aca="false">IF(AND($D255="E",E255&lt;&gt;"",F255&lt;&gt;""),E255*F255,"-")</f>
        <v>-</v>
      </c>
      <c r="H255" s="7" t="str">
        <f aca="false">IF($D255="S",IF(AND(B255&lt;&gt;"",E255&lt;&gt;""),E255*IFERROR(VLOOKUP(B255,'Saldo Atual'!$A:$K,11,0),0),"-"),"-")</f>
        <v>-</v>
      </c>
      <c r="I255" s="15"/>
      <c r="J255" s="5"/>
      <c r="K255" s="5"/>
    </row>
    <row r="256" customFormat="false" ht="18" hidden="false" customHeight="true" outlineLevel="0" collapsed="false">
      <c r="A256" s="18"/>
      <c r="B256" s="19"/>
      <c r="C256" s="20" t="str">
        <f aca="false">IFERROR(VLOOKUP(B256,Cadastro!$A$5:$B$54,2,0),"")</f>
        <v/>
      </c>
      <c r="D256" s="19"/>
      <c r="E256" s="21"/>
      <c r="F256" s="11"/>
      <c r="G256" s="11" t="str">
        <f aca="false">IF(AND($D256="E",E256&lt;&gt;"",F256&lt;&gt;""),E256*F256,"-")</f>
        <v>-</v>
      </c>
      <c r="H256" s="11" t="str">
        <f aca="false">IF($D256="S",IF(AND(B256&lt;&gt;"",E256&lt;&gt;""),E256*IFERROR(VLOOKUP(B256,'Saldo Atual'!$A:$K,11,0),0),"-"),"-")</f>
        <v>-</v>
      </c>
      <c r="I256" s="19"/>
      <c r="J256" s="9"/>
      <c r="K256" s="9"/>
    </row>
    <row r="257" customFormat="false" ht="18" hidden="false" customHeight="true" outlineLevel="0" collapsed="false">
      <c r="A257" s="14"/>
      <c r="B257" s="15"/>
      <c r="C257" s="16" t="str">
        <f aca="false">IFERROR(VLOOKUP(B257,Cadastro!$A$5:$B$54,2,0),"")</f>
        <v/>
      </c>
      <c r="D257" s="15"/>
      <c r="E257" s="17"/>
      <c r="F257" s="7"/>
      <c r="G257" s="7" t="str">
        <f aca="false">IF(AND($D257="E",E257&lt;&gt;"",F257&lt;&gt;""),E257*F257,"-")</f>
        <v>-</v>
      </c>
      <c r="H257" s="7" t="str">
        <f aca="false">IF($D257="S",IF(AND(B257&lt;&gt;"",E257&lt;&gt;""),E257*IFERROR(VLOOKUP(B257,'Saldo Atual'!$A:$K,11,0),0),"-"),"-")</f>
        <v>-</v>
      </c>
      <c r="I257" s="15"/>
      <c r="J257" s="5"/>
      <c r="K257" s="5"/>
    </row>
    <row r="258" customFormat="false" ht="18" hidden="false" customHeight="true" outlineLevel="0" collapsed="false">
      <c r="A258" s="18"/>
      <c r="B258" s="19"/>
      <c r="C258" s="20" t="str">
        <f aca="false">IFERROR(VLOOKUP(B258,Cadastro!$A$5:$B$54,2,0),"")</f>
        <v/>
      </c>
      <c r="D258" s="19"/>
      <c r="E258" s="21"/>
      <c r="F258" s="11"/>
      <c r="G258" s="11" t="str">
        <f aca="false">IF(AND($D258="E",E258&lt;&gt;"",F258&lt;&gt;""),E258*F258,"-")</f>
        <v>-</v>
      </c>
      <c r="H258" s="11" t="str">
        <f aca="false">IF($D258="S",IF(AND(B258&lt;&gt;"",E258&lt;&gt;""),E258*IFERROR(VLOOKUP(B258,'Saldo Atual'!$A:$K,11,0),0),"-"),"-")</f>
        <v>-</v>
      </c>
      <c r="I258" s="19"/>
      <c r="J258" s="9"/>
      <c r="K258" s="9"/>
    </row>
    <row r="259" customFormat="false" ht="18" hidden="false" customHeight="true" outlineLevel="0" collapsed="false">
      <c r="A259" s="14"/>
      <c r="B259" s="15"/>
      <c r="C259" s="16" t="str">
        <f aca="false">IFERROR(VLOOKUP(B259,Cadastro!$A$5:$B$54,2,0),"")</f>
        <v/>
      </c>
      <c r="D259" s="15"/>
      <c r="E259" s="17"/>
      <c r="F259" s="7"/>
      <c r="G259" s="7" t="str">
        <f aca="false">IF(AND($D259="E",E259&lt;&gt;"",F259&lt;&gt;""),E259*F259,"-")</f>
        <v>-</v>
      </c>
      <c r="H259" s="7" t="str">
        <f aca="false">IF($D259="S",IF(AND(B259&lt;&gt;"",E259&lt;&gt;""),E259*IFERROR(VLOOKUP(B259,'Saldo Atual'!$A:$K,11,0),0),"-"),"-")</f>
        <v>-</v>
      </c>
      <c r="I259" s="15"/>
      <c r="J259" s="5"/>
      <c r="K259" s="5"/>
    </row>
    <row r="260" customFormat="false" ht="18" hidden="false" customHeight="true" outlineLevel="0" collapsed="false">
      <c r="A260" s="18"/>
      <c r="B260" s="19"/>
      <c r="C260" s="20" t="str">
        <f aca="false">IFERROR(VLOOKUP(B260,Cadastro!$A$5:$B$54,2,0),"")</f>
        <v/>
      </c>
      <c r="D260" s="19"/>
      <c r="E260" s="21"/>
      <c r="F260" s="11"/>
      <c r="G260" s="11" t="str">
        <f aca="false">IF(AND($D260="E",E260&lt;&gt;"",F260&lt;&gt;""),E260*F260,"-")</f>
        <v>-</v>
      </c>
      <c r="H260" s="11" t="str">
        <f aca="false">IF($D260="S",IF(AND(B260&lt;&gt;"",E260&lt;&gt;""),E260*IFERROR(VLOOKUP(B260,'Saldo Atual'!$A:$K,11,0),0),"-"),"-")</f>
        <v>-</v>
      </c>
      <c r="I260" s="19"/>
      <c r="J260" s="9"/>
      <c r="K260" s="9"/>
    </row>
    <row r="261" customFormat="false" ht="18" hidden="false" customHeight="true" outlineLevel="0" collapsed="false">
      <c r="A261" s="14"/>
      <c r="B261" s="15"/>
      <c r="C261" s="16" t="str">
        <f aca="false">IFERROR(VLOOKUP(B261,Cadastro!$A$5:$B$54,2,0),"")</f>
        <v/>
      </c>
      <c r="D261" s="15"/>
      <c r="E261" s="17"/>
      <c r="F261" s="7"/>
      <c r="G261" s="7" t="str">
        <f aca="false">IF(AND($D261="E",E261&lt;&gt;"",F261&lt;&gt;""),E261*F261,"-")</f>
        <v>-</v>
      </c>
      <c r="H261" s="7" t="str">
        <f aca="false">IF($D261="S",IF(AND(B261&lt;&gt;"",E261&lt;&gt;""),E261*IFERROR(VLOOKUP(B261,'Saldo Atual'!$A:$K,11,0),0),"-"),"-")</f>
        <v>-</v>
      </c>
      <c r="I261" s="15"/>
      <c r="J261" s="5"/>
      <c r="K261" s="5"/>
    </row>
    <row r="262" customFormat="false" ht="18" hidden="false" customHeight="true" outlineLevel="0" collapsed="false">
      <c r="A262" s="18"/>
      <c r="B262" s="19"/>
      <c r="C262" s="20" t="str">
        <f aca="false">IFERROR(VLOOKUP(B262,Cadastro!$A$5:$B$54,2,0),"")</f>
        <v/>
      </c>
      <c r="D262" s="19"/>
      <c r="E262" s="21"/>
      <c r="F262" s="11"/>
      <c r="G262" s="11" t="str">
        <f aca="false">IF(AND($D262="E",E262&lt;&gt;"",F262&lt;&gt;""),E262*F262,"-")</f>
        <v>-</v>
      </c>
      <c r="H262" s="11" t="str">
        <f aca="false">IF($D262="S",IF(AND(B262&lt;&gt;"",E262&lt;&gt;""),E262*IFERROR(VLOOKUP(B262,'Saldo Atual'!$A:$K,11,0),0),"-"),"-")</f>
        <v>-</v>
      </c>
      <c r="I262" s="19"/>
      <c r="J262" s="9"/>
      <c r="K262" s="9"/>
    </row>
    <row r="263" customFormat="false" ht="18" hidden="false" customHeight="true" outlineLevel="0" collapsed="false">
      <c r="A263" s="14"/>
      <c r="B263" s="15"/>
      <c r="C263" s="16" t="str">
        <f aca="false">IFERROR(VLOOKUP(B263,Cadastro!$A$5:$B$54,2,0),"")</f>
        <v/>
      </c>
      <c r="D263" s="15"/>
      <c r="E263" s="17"/>
      <c r="F263" s="7"/>
      <c r="G263" s="7" t="str">
        <f aca="false">IF(AND($D263="E",E263&lt;&gt;"",F263&lt;&gt;""),E263*F263,"-")</f>
        <v>-</v>
      </c>
      <c r="H263" s="7" t="str">
        <f aca="false">IF($D263="S",IF(AND(B263&lt;&gt;"",E263&lt;&gt;""),E263*IFERROR(VLOOKUP(B263,'Saldo Atual'!$A:$K,11,0),0),"-"),"-")</f>
        <v>-</v>
      </c>
      <c r="I263" s="15"/>
      <c r="J263" s="5"/>
      <c r="K263" s="5"/>
    </row>
    <row r="264" customFormat="false" ht="18" hidden="false" customHeight="true" outlineLevel="0" collapsed="false">
      <c r="A264" s="18"/>
      <c r="B264" s="19"/>
      <c r="C264" s="20" t="str">
        <f aca="false">IFERROR(VLOOKUP(B264,Cadastro!$A$5:$B$54,2,0),"")</f>
        <v/>
      </c>
      <c r="D264" s="19"/>
      <c r="E264" s="21"/>
      <c r="F264" s="11"/>
      <c r="G264" s="11" t="str">
        <f aca="false">IF(AND($D264="E",E264&lt;&gt;"",F264&lt;&gt;""),E264*F264,"-")</f>
        <v>-</v>
      </c>
      <c r="H264" s="11" t="str">
        <f aca="false">IF($D264="S",IF(AND(B264&lt;&gt;"",E264&lt;&gt;""),E264*IFERROR(VLOOKUP(B264,'Saldo Atual'!$A:$K,11,0),0),"-"),"-")</f>
        <v>-</v>
      </c>
      <c r="I264" s="19"/>
      <c r="J264" s="9"/>
      <c r="K264" s="9"/>
    </row>
    <row r="265" customFormat="false" ht="18" hidden="false" customHeight="true" outlineLevel="0" collapsed="false">
      <c r="A265" s="14"/>
      <c r="B265" s="15"/>
      <c r="C265" s="16" t="str">
        <f aca="false">IFERROR(VLOOKUP(B265,Cadastro!$A$5:$B$54,2,0),"")</f>
        <v/>
      </c>
      <c r="D265" s="15"/>
      <c r="E265" s="17"/>
      <c r="F265" s="7"/>
      <c r="G265" s="7" t="str">
        <f aca="false">IF(AND($D265="E",E265&lt;&gt;"",F265&lt;&gt;""),E265*F265,"-")</f>
        <v>-</v>
      </c>
      <c r="H265" s="7" t="str">
        <f aca="false">IF($D265="S",IF(AND(B265&lt;&gt;"",E265&lt;&gt;""),E265*IFERROR(VLOOKUP(B265,'Saldo Atual'!$A:$K,11,0),0),"-"),"-")</f>
        <v>-</v>
      </c>
      <c r="I265" s="15"/>
      <c r="J265" s="5"/>
      <c r="K265" s="5"/>
    </row>
    <row r="266" customFormat="false" ht="18" hidden="false" customHeight="true" outlineLevel="0" collapsed="false">
      <c r="A266" s="18"/>
      <c r="B266" s="19"/>
      <c r="C266" s="20" t="str">
        <f aca="false">IFERROR(VLOOKUP(B266,Cadastro!$A$5:$B$54,2,0),"")</f>
        <v/>
      </c>
      <c r="D266" s="19"/>
      <c r="E266" s="21"/>
      <c r="F266" s="11"/>
      <c r="G266" s="11" t="str">
        <f aca="false">IF(AND($D266="E",E266&lt;&gt;"",F266&lt;&gt;""),E266*F266,"-")</f>
        <v>-</v>
      </c>
      <c r="H266" s="11" t="str">
        <f aca="false">IF($D266="S",IF(AND(B266&lt;&gt;"",E266&lt;&gt;""),E266*IFERROR(VLOOKUP(B266,'Saldo Atual'!$A:$K,11,0),0),"-"),"-")</f>
        <v>-</v>
      </c>
      <c r="I266" s="19"/>
      <c r="J266" s="9"/>
      <c r="K266" s="9"/>
    </row>
    <row r="267" customFormat="false" ht="18" hidden="false" customHeight="true" outlineLevel="0" collapsed="false">
      <c r="A267" s="14"/>
      <c r="B267" s="15"/>
      <c r="C267" s="16" t="str">
        <f aca="false">IFERROR(VLOOKUP(B267,Cadastro!$A$5:$B$54,2,0),"")</f>
        <v/>
      </c>
      <c r="D267" s="15"/>
      <c r="E267" s="17"/>
      <c r="F267" s="7"/>
      <c r="G267" s="7" t="str">
        <f aca="false">IF(AND($D267="E",E267&lt;&gt;"",F267&lt;&gt;""),E267*F267,"-")</f>
        <v>-</v>
      </c>
      <c r="H267" s="7" t="str">
        <f aca="false">IF($D267="S",IF(AND(B267&lt;&gt;"",E267&lt;&gt;""),E267*IFERROR(VLOOKUP(B267,'Saldo Atual'!$A:$K,11,0),0),"-"),"-")</f>
        <v>-</v>
      </c>
      <c r="I267" s="15"/>
      <c r="J267" s="5"/>
      <c r="K267" s="5"/>
    </row>
    <row r="268" customFormat="false" ht="18" hidden="false" customHeight="true" outlineLevel="0" collapsed="false">
      <c r="A268" s="18"/>
      <c r="B268" s="19"/>
      <c r="C268" s="20" t="str">
        <f aca="false">IFERROR(VLOOKUP(B268,Cadastro!$A$5:$B$54,2,0),"")</f>
        <v/>
      </c>
      <c r="D268" s="19"/>
      <c r="E268" s="21"/>
      <c r="F268" s="11"/>
      <c r="G268" s="11" t="str">
        <f aca="false">IF(AND($D268="E",E268&lt;&gt;"",F268&lt;&gt;""),E268*F268,"-")</f>
        <v>-</v>
      </c>
      <c r="H268" s="11" t="str">
        <f aca="false">IF($D268="S",IF(AND(B268&lt;&gt;"",E268&lt;&gt;""),E268*IFERROR(VLOOKUP(B268,'Saldo Atual'!$A:$K,11,0),0),"-"),"-")</f>
        <v>-</v>
      </c>
      <c r="I268" s="19"/>
      <c r="J268" s="9"/>
      <c r="K268" s="9"/>
    </row>
    <row r="269" customFormat="false" ht="18" hidden="false" customHeight="true" outlineLevel="0" collapsed="false">
      <c r="A269" s="14"/>
      <c r="B269" s="15"/>
      <c r="C269" s="16" t="str">
        <f aca="false">IFERROR(VLOOKUP(B269,Cadastro!$A$5:$B$54,2,0),"")</f>
        <v/>
      </c>
      <c r="D269" s="15"/>
      <c r="E269" s="17"/>
      <c r="F269" s="7"/>
      <c r="G269" s="7" t="str">
        <f aca="false">IF(AND($D269="E",E269&lt;&gt;"",F269&lt;&gt;""),E269*F269,"-")</f>
        <v>-</v>
      </c>
      <c r="H269" s="7" t="str">
        <f aca="false">IF($D269="S",IF(AND(B269&lt;&gt;"",E269&lt;&gt;""),E269*IFERROR(VLOOKUP(B269,'Saldo Atual'!$A:$K,11,0),0),"-"),"-")</f>
        <v>-</v>
      </c>
      <c r="I269" s="15"/>
      <c r="J269" s="5"/>
      <c r="K269" s="5"/>
    </row>
    <row r="270" customFormat="false" ht="18" hidden="false" customHeight="true" outlineLevel="0" collapsed="false">
      <c r="A270" s="18"/>
      <c r="B270" s="19"/>
      <c r="C270" s="20" t="str">
        <f aca="false">IFERROR(VLOOKUP(B270,Cadastro!$A$5:$B$54,2,0),"")</f>
        <v/>
      </c>
      <c r="D270" s="19"/>
      <c r="E270" s="21"/>
      <c r="F270" s="11"/>
      <c r="G270" s="11" t="str">
        <f aca="false">IF(AND($D270="E",E270&lt;&gt;"",F270&lt;&gt;""),E270*F270,"-")</f>
        <v>-</v>
      </c>
      <c r="H270" s="11" t="str">
        <f aca="false">IF($D270="S",IF(AND(B270&lt;&gt;"",E270&lt;&gt;""),E270*IFERROR(VLOOKUP(B270,'Saldo Atual'!$A:$K,11,0),0),"-"),"-")</f>
        <v>-</v>
      </c>
      <c r="I270" s="19"/>
      <c r="J270" s="9"/>
      <c r="K270" s="9"/>
    </row>
    <row r="271" customFormat="false" ht="18" hidden="false" customHeight="true" outlineLevel="0" collapsed="false">
      <c r="A271" s="14"/>
      <c r="B271" s="15"/>
      <c r="C271" s="16" t="str">
        <f aca="false">IFERROR(VLOOKUP(B271,Cadastro!$A$5:$B$54,2,0),"")</f>
        <v/>
      </c>
      <c r="D271" s="15"/>
      <c r="E271" s="17"/>
      <c r="F271" s="7"/>
      <c r="G271" s="7" t="str">
        <f aca="false">IF(AND($D271="E",E271&lt;&gt;"",F271&lt;&gt;""),E271*F271,"-")</f>
        <v>-</v>
      </c>
      <c r="H271" s="7" t="str">
        <f aca="false">IF($D271="S",IF(AND(B271&lt;&gt;"",E271&lt;&gt;""),E271*IFERROR(VLOOKUP(B271,'Saldo Atual'!$A:$K,11,0),0),"-"),"-")</f>
        <v>-</v>
      </c>
      <c r="I271" s="15"/>
      <c r="J271" s="5"/>
      <c r="K271" s="5"/>
    </row>
    <row r="272" customFormat="false" ht="18" hidden="false" customHeight="true" outlineLevel="0" collapsed="false">
      <c r="A272" s="18"/>
      <c r="B272" s="19"/>
      <c r="C272" s="20" t="str">
        <f aca="false">IFERROR(VLOOKUP(B272,Cadastro!$A$5:$B$54,2,0),"")</f>
        <v/>
      </c>
      <c r="D272" s="19"/>
      <c r="E272" s="21"/>
      <c r="F272" s="11"/>
      <c r="G272" s="11" t="str">
        <f aca="false">IF(AND($D272="E",E272&lt;&gt;"",F272&lt;&gt;""),E272*F272,"-")</f>
        <v>-</v>
      </c>
      <c r="H272" s="11" t="str">
        <f aca="false">IF($D272="S",IF(AND(B272&lt;&gt;"",E272&lt;&gt;""),E272*IFERROR(VLOOKUP(B272,'Saldo Atual'!$A:$K,11,0),0),"-"),"-")</f>
        <v>-</v>
      </c>
      <c r="I272" s="19"/>
      <c r="J272" s="9"/>
      <c r="K272" s="9"/>
    </row>
    <row r="273" customFormat="false" ht="18" hidden="false" customHeight="true" outlineLevel="0" collapsed="false">
      <c r="A273" s="14"/>
      <c r="B273" s="15"/>
      <c r="C273" s="16" t="str">
        <f aca="false">IFERROR(VLOOKUP(B273,Cadastro!$A$5:$B$54,2,0),"")</f>
        <v/>
      </c>
      <c r="D273" s="15"/>
      <c r="E273" s="17"/>
      <c r="F273" s="7"/>
      <c r="G273" s="7" t="str">
        <f aca="false">IF(AND($D273="E",E273&lt;&gt;"",F273&lt;&gt;""),E273*F273,"-")</f>
        <v>-</v>
      </c>
      <c r="H273" s="7" t="str">
        <f aca="false">IF($D273="S",IF(AND(B273&lt;&gt;"",E273&lt;&gt;""),E273*IFERROR(VLOOKUP(B273,'Saldo Atual'!$A:$K,11,0),0),"-"),"-")</f>
        <v>-</v>
      </c>
      <c r="I273" s="15"/>
      <c r="J273" s="5"/>
      <c r="K273" s="5"/>
    </row>
    <row r="274" customFormat="false" ht="18" hidden="false" customHeight="true" outlineLevel="0" collapsed="false">
      <c r="A274" s="18"/>
      <c r="B274" s="19"/>
      <c r="C274" s="20" t="str">
        <f aca="false">IFERROR(VLOOKUP(B274,Cadastro!$A$5:$B$54,2,0),"")</f>
        <v/>
      </c>
      <c r="D274" s="19"/>
      <c r="E274" s="21"/>
      <c r="F274" s="11"/>
      <c r="G274" s="11" t="str">
        <f aca="false">IF(AND($D274="E",E274&lt;&gt;"",F274&lt;&gt;""),E274*F274,"-")</f>
        <v>-</v>
      </c>
      <c r="H274" s="11" t="str">
        <f aca="false">IF($D274="S",IF(AND(B274&lt;&gt;"",E274&lt;&gt;""),E274*IFERROR(VLOOKUP(B274,'Saldo Atual'!$A:$K,11,0),0),"-"),"-")</f>
        <v>-</v>
      </c>
      <c r="I274" s="19"/>
      <c r="J274" s="9"/>
      <c r="K274" s="9"/>
    </row>
    <row r="275" customFormat="false" ht="18" hidden="false" customHeight="true" outlineLevel="0" collapsed="false">
      <c r="A275" s="14"/>
      <c r="B275" s="15"/>
      <c r="C275" s="16" t="str">
        <f aca="false">IFERROR(VLOOKUP(B275,Cadastro!$A$5:$B$54,2,0),"")</f>
        <v/>
      </c>
      <c r="D275" s="15"/>
      <c r="E275" s="17"/>
      <c r="F275" s="7"/>
      <c r="G275" s="7" t="str">
        <f aca="false">IF(AND($D275="E",E275&lt;&gt;"",F275&lt;&gt;""),E275*F275,"-")</f>
        <v>-</v>
      </c>
      <c r="H275" s="7" t="str">
        <f aca="false">IF($D275="S",IF(AND(B275&lt;&gt;"",E275&lt;&gt;""),E275*IFERROR(VLOOKUP(B275,'Saldo Atual'!$A:$K,11,0),0),"-"),"-")</f>
        <v>-</v>
      </c>
      <c r="I275" s="15"/>
      <c r="J275" s="5"/>
      <c r="K275" s="5"/>
    </row>
    <row r="276" customFormat="false" ht="18" hidden="false" customHeight="true" outlineLevel="0" collapsed="false">
      <c r="A276" s="18"/>
      <c r="B276" s="19"/>
      <c r="C276" s="20" t="str">
        <f aca="false">IFERROR(VLOOKUP(B276,Cadastro!$A$5:$B$54,2,0),"")</f>
        <v/>
      </c>
      <c r="D276" s="19"/>
      <c r="E276" s="21"/>
      <c r="F276" s="11"/>
      <c r="G276" s="11" t="str">
        <f aca="false">IF(AND($D276="E",E276&lt;&gt;"",F276&lt;&gt;""),E276*F276,"-")</f>
        <v>-</v>
      </c>
      <c r="H276" s="11" t="str">
        <f aca="false">IF($D276="S",IF(AND(B276&lt;&gt;"",E276&lt;&gt;""),E276*IFERROR(VLOOKUP(B276,'Saldo Atual'!$A:$K,11,0),0),"-"),"-")</f>
        <v>-</v>
      </c>
      <c r="I276" s="19"/>
      <c r="J276" s="9"/>
      <c r="K276" s="9"/>
    </row>
    <row r="277" customFormat="false" ht="18" hidden="false" customHeight="true" outlineLevel="0" collapsed="false">
      <c r="A277" s="14"/>
      <c r="B277" s="15"/>
      <c r="C277" s="16" t="str">
        <f aca="false">IFERROR(VLOOKUP(B277,Cadastro!$A$5:$B$54,2,0),"")</f>
        <v/>
      </c>
      <c r="D277" s="15"/>
      <c r="E277" s="17"/>
      <c r="F277" s="7"/>
      <c r="G277" s="7" t="str">
        <f aca="false">IF(AND($D277="E",E277&lt;&gt;"",F277&lt;&gt;""),E277*F277,"-")</f>
        <v>-</v>
      </c>
      <c r="H277" s="7" t="str">
        <f aca="false">IF($D277="S",IF(AND(B277&lt;&gt;"",E277&lt;&gt;""),E277*IFERROR(VLOOKUP(B277,'Saldo Atual'!$A:$K,11,0),0),"-"),"-")</f>
        <v>-</v>
      </c>
      <c r="I277" s="15"/>
      <c r="J277" s="5"/>
      <c r="K277" s="5"/>
    </row>
    <row r="278" customFormat="false" ht="18" hidden="false" customHeight="true" outlineLevel="0" collapsed="false">
      <c r="A278" s="18"/>
      <c r="B278" s="19"/>
      <c r="C278" s="20" t="str">
        <f aca="false">IFERROR(VLOOKUP(B278,Cadastro!$A$5:$B$54,2,0),"")</f>
        <v/>
      </c>
      <c r="D278" s="19"/>
      <c r="E278" s="21"/>
      <c r="F278" s="11"/>
      <c r="G278" s="11" t="str">
        <f aca="false">IF(AND($D278="E",E278&lt;&gt;"",F278&lt;&gt;""),E278*F278,"-")</f>
        <v>-</v>
      </c>
      <c r="H278" s="11" t="str">
        <f aca="false">IF($D278="S",IF(AND(B278&lt;&gt;"",E278&lt;&gt;""),E278*IFERROR(VLOOKUP(B278,'Saldo Atual'!$A:$K,11,0),0),"-"),"-")</f>
        <v>-</v>
      </c>
      <c r="I278" s="19"/>
      <c r="J278" s="9"/>
      <c r="K278" s="9"/>
    </row>
    <row r="279" customFormat="false" ht="18" hidden="false" customHeight="true" outlineLevel="0" collapsed="false">
      <c r="A279" s="14"/>
      <c r="B279" s="15"/>
      <c r="C279" s="16" t="str">
        <f aca="false">IFERROR(VLOOKUP(B279,Cadastro!$A$5:$B$54,2,0),"")</f>
        <v/>
      </c>
      <c r="D279" s="15"/>
      <c r="E279" s="17"/>
      <c r="F279" s="7"/>
      <c r="G279" s="7" t="str">
        <f aca="false">IF(AND($D279="E",E279&lt;&gt;"",F279&lt;&gt;""),E279*F279,"-")</f>
        <v>-</v>
      </c>
      <c r="H279" s="7" t="str">
        <f aca="false">IF($D279="S",IF(AND(B279&lt;&gt;"",E279&lt;&gt;""),E279*IFERROR(VLOOKUP(B279,'Saldo Atual'!$A:$K,11,0),0),"-"),"-")</f>
        <v>-</v>
      </c>
      <c r="I279" s="15"/>
      <c r="J279" s="5"/>
      <c r="K279" s="5"/>
    </row>
    <row r="280" customFormat="false" ht="18" hidden="false" customHeight="true" outlineLevel="0" collapsed="false">
      <c r="A280" s="18"/>
      <c r="B280" s="19"/>
      <c r="C280" s="20" t="str">
        <f aca="false">IFERROR(VLOOKUP(B280,Cadastro!$A$5:$B$54,2,0),"")</f>
        <v/>
      </c>
      <c r="D280" s="19"/>
      <c r="E280" s="21"/>
      <c r="F280" s="11"/>
      <c r="G280" s="11" t="str">
        <f aca="false">IF(AND($D280="E",E280&lt;&gt;"",F280&lt;&gt;""),E280*F280,"-")</f>
        <v>-</v>
      </c>
      <c r="H280" s="11" t="str">
        <f aca="false">IF($D280="S",IF(AND(B280&lt;&gt;"",E280&lt;&gt;""),E280*IFERROR(VLOOKUP(B280,'Saldo Atual'!$A:$K,11,0),0),"-"),"-")</f>
        <v>-</v>
      </c>
      <c r="I280" s="19"/>
      <c r="J280" s="9"/>
      <c r="K280" s="9"/>
    </row>
    <row r="281" customFormat="false" ht="18" hidden="false" customHeight="true" outlineLevel="0" collapsed="false">
      <c r="A281" s="14"/>
      <c r="B281" s="15"/>
      <c r="C281" s="16" t="str">
        <f aca="false">IFERROR(VLOOKUP(B281,Cadastro!$A$5:$B$54,2,0),"")</f>
        <v/>
      </c>
      <c r="D281" s="15"/>
      <c r="E281" s="17"/>
      <c r="F281" s="7"/>
      <c r="G281" s="7" t="str">
        <f aca="false">IF(AND($D281="E",E281&lt;&gt;"",F281&lt;&gt;""),E281*F281,"-")</f>
        <v>-</v>
      </c>
      <c r="H281" s="7" t="str">
        <f aca="false">IF($D281="S",IF(AND(B281&lt;&gt;"",E281&lt;&gt;""),E281*IFERROR(VLOOKUP(B281,'Saldo Atual'!$A:$K,11,0),0),"-"),"-")</f>
        <v>-</v>
      </c>
      <c r="I281" s="15"/>
      <c r="J281" s="5"/>
      <c r="K281" s="5"/>
    </row>
    <row r="282" customFormat="false" ht="18" hidden="false" customHeight="true" outlineLevel="0" collapsed="false">
      <c r="A282" s="18"/>
      <c r="B282" s="19"/>
      <c r="C282" s="20" t="str">
        <f aca="false">IFERROR(VLOOKUP(B282,Cadastro!$A$5:$B$54,2,0),"")</f>
        <v/>
      </c>
      <c r="D282" s="19"/>
      <c r="E282" s="21"/>
      <c r="F282" s="11"/>
      <c r="G282" s="11" t="str">
        <f aca="false">IF(AND($D282="E",E282&lt;&gt;"",F282&lt;&gt;""),E282*F282,"-")</f>
        <v>-</v>
      </c>
      <c r="H282" s="11" t="str">
        <f aca="false">IF($D282="S",IF(AND(B282&lt;&gt;"",E282&lt;&gt;""),E282*IFERROR(VLOOKUP(B282,'Saldo Atual'!$A:$K,11,0),0),"-"),"-")</f>
        <v>-</v>
      </c>
      <c r="I282" s="19"/>
      <c r="J282" s="9"/>
      <c r="K282" s="9"/>
    </row>
    <row r="283" customFormat="false" ht="18" hidden="false" customHeight="true" outlineLevel="0" collapsed="false">
      <c r="A283" s="14"/>
      <c r="B283" s="15"/>
      <c r="C283" s="16" t="str">
        <f aca="false">IFERROR(VLOOKUP(B283,Cadastro!$A$5:$B$54,2,0),"")</f>
        <v/>
      </c>
      <c r="D283" s="15"/>
      <c r="E283" s="17"/>
      <c r="F283" s="7"/>
      <c r="G283" s="7" t="str">
        <f aca="false">IF(AND($D283="E",E283&lt;&gt;"",F283&lt;&gt;""),E283*F283,"-")</f>
        <v>-</v>
      </c>
      <c r="H283" s="7" t="str">
        <f aca="false">IF($D283="S",IF(AND(B283&lt;&gt;"",E283&lt;&gt;""),E283*IFERROR(VLOOKUP(B283,'Saldo Atual'!$A:$K,11,0),0),"-"),"-")</f>
        <v>-</v>
      </c>
      <c r="I283" s="15"/>
      <c r="J283" s="5"/>
      <c r="K283" s="5"/>
    </row>
    <row r="284" customFormat="false" ht="18" hidden="false" customHeight="true" outlineLevel="0" collapsed="false">
      <c r="A284" s="18"/>
      <c r="B284" s="19"/>
      <c r="C284" s="20" t="str">
        <f aca="false">IFERROR(VLOOKUP(B284,Cadastro!$A$5:$B$54,2,0),"")</f>
        <v/>
      </c>
      <c r="D284" s="19"/>
      <c r="E284" s="21"/>
      <c r="F284" s="11"/>
      <c r="G284" s="11" t="str">
        <f aca="false">IF(AND($D284="E",E284&lt;&gt;"",F284&lt;&gt;""),E284*F284,"-")</f>
        <v>-</v>
      </c>
      <c r="H284" s="11" t="str">
        <f aca="false">IF($D284="S",IF(AND(B284&lt;&gt;"",E284&lt;&gt;""),E284*IFERROR(VLOOKUP(B284,'Saldo Atual'!$A:$K,11,0),0),"-"),"-")</f>
        <v>-</v>
      </c>
      <c r="I284" s="19"/>
      <c r="J284" s="9"/>
      <c r="K284" s="9"/>
    </row>
    <row r="285" customFormat="false" ht="18" hidden="false" customHeight="true" outlineLevel="0" collapsed="false">
      <c r="A285" s="14"/>
      <c r="B285" s="15"/>
      <c r="C285" s="16" t="str">
        <f aca="false">IFERROR(VLOOKUP(B285,Cadastro!$A$5:$B$54,2,0),"")</f>
        <v/>
      </c>
      <c r="D285" s="15"/>
      <c r="E285" s="17"/>
      <c r="F285" s="7"/>
      <c r="G285" s="7" t="str">
        <f aca="false">IF(AND($D285="E",E285&lt;&gt;"",F285&lt;&gt;""),E285*F285,"-")</f>
        <v>-</v>
      </c>
      <c r="H285" s="7" t="str">
        <f aca="false">IF($D285="S",IF(AND(B285&lt;&gt;"",E285&lt;&gt;""),E285*IFERROR(VLOOKUP(B285,'Saldo Atual'!$A:$K,11,0),0),"-"),"-")</f>
        <v>-</v>
      </c>
      <c r="I285" s="15"/>
      <c r="J285" s="5"/>
      <c r="K285" s="5"/>
    </row>
    <row r="286" customFormat="false" ht="18" hidden="false" customHeight="true" outlineLevel="0" collapsed="false">
      <c r="A286" s="18"/>
      <c r="B286" s="19"/>
      <c r="C286" s="20" t="str">
        <f aca="false">IFERROR(VLOOKUP(B286,Cadastro!$A$5:$B$54,2,0),"")</f>
        <v/>
      </c>
      <c r="D286" s="19"/>
      <c r="E286" s="21"/>
      <c r="F286" s="11"/>
      <c r="G286" s="11" t="str">
        <f aca="false">IF(AND($D286="E",E286&lt;&gt;"",F286&lt;&gt;""),E286*F286,"-")</f>
        <v>-</v>
      </c>
      <c r="H286" s="11" t="str">
        <f aca="false">IF($D286="S",IF(AND(B286&lt;&gt;"",E286&lt;&gt;""),E286*IFERROR(VLOOKUP(B286,'Saldo Atual'!$A:$K,11,0),0),"-"),"-")</f>
        <v>-</v>
      </c>
      <c r="I286" s="19"/>
      <c r="J286" s="9"/>
      <c r="K286" s="9"/>
    </row>
    <row r="287" customFormat="false" ht="18" hidden="false" customHeight="true" outlineLevel="0" collapsed="false">
      <c r="A287" s="14"/>
      <c r="B287" s="15"/>
      <c r="C287" s="16" t="str">
        <f aca="false">IFERROR(VLOOKUP(B287,Cadastro!$A$5:$B$54,2,0),"")</f>
        <v/>
      </c>
      <c r="D287" s="15"/>
      <c r="E287" s="17"/>
      <c r="F287" s="7"/>
      <c r="G287" s="7" t="str">
        <f aca="false">IF(AND($D287="E",E287&lt;&gt;"",F287&lt;&gt;""),E287*F287,"-")</f>
        <v>-</v>
      </c>
      <c r="H287" s="7" t="str">
        <f aca="false">IF($D287="S",IF(AND(B287&lt;&gt;"",E287&lt;&gt;""),E287*IFERROR(VLOOKUP(B287,'Saldo Atual'!$A:$K,11,0),0),"-"),"-")</f>
        <v>-</v>
      </c>
      <c r="I287" s="15"/>
      <c r="J287" s="5"/>
      <c r="K287" s="5"/>
    </row>
    <row r="288" customFormat="false" ht="18" hidden="false" customHeight="true" outlineLevel="0" collapsed="false">
      <c r="A288" s="18"/>
      <c r="B288" s="19"/>
      <c r="C288" s="20" t="str">
        <f aca="false">IFERROR(VLOOKUP(B288,Cadastro!$A$5:$B$54,2,0),"")</f>
        <v/>
      </c>
      <c r="D288" s="19"/>
      <c r="E288" s="21"/>
      <c r="F288" s="11"/>
      <c r="G288" s="11" t="str">
        <f aca="false">IF(AND($D288="E",E288&lt;&gt;"",F288&lt;&gt;""),E288*F288,"-")</f>
        <v>-</v>
      </c>
      <c r="H288" s="11" t="str">
        <f aca="false">IF($D288="S",IF(AND(B288&lt;&gt;"",E288&lt;&gt;""),E288*IFERROR(VLOOKUP(B288,'Saldo Atual'!$A:$K,11,0),0),"-"),"-")</f>
        <v>-</v>
      </c>
      <c r="I288" s="19"/>
      <c r="J288" s="9"/>
      <c r="K288" s="9"/>
    </row>
    <row r="289" customFormat="false" ht="18" hidden="false" customHeight="true" outlineLevel="0" collapsed="false">
      <c r="A289" s="14"/>
      <c r="B289" s="15"/>
      <c r="C289" s="16" t="str">
        <f aca="false">IFERROR(VLOOKUP(B289,Cadastro!$A$5:$B$54,2,0),"")</f>
        <v/>
      </c>
      <c r="D289" s="15"/>
      <c r="E289" s="17"/>
      <c r="F289" s="7"/>
      <c r="G289" s="7" t="str">
        <f aca="false">IF(AND($D289="E",E289&lt;&gt;"",F289&lt;&gt;""),E289*F289,"-")</f>
        <v>-</v>
      </c>
      <c r="H289" s="7" t="str">
        <f aca="false">IF($D289="S",IF(AND(B289&lt;&gt;"",E289&lt;&gt;""),E289*IFERROR(VLOOKUP(B289,'Saldo Atual'!$A:$K,11,0),0),"-"),"-")</f>
        <v>-</v>
      </c>
      <c r="I289" s="15"/>
      <c r="J289" s="5"/>
      <c r="K289" s="5"/>
    </row>
    <row r="290" customFormat="false" ht="18" hidden="false" customHeight="true" outlineLevel="0" collapsed="false">
      <c r="A290" s="18"/>
      <c r="B290" s="19"/>
      <c r="C290" s="20" t="str">
        <f aca="false">IFERROR(VLOOKUP(B290,Cadastro!$A$5:$B$54,2,0),"")</f>
        <v/>
      </c>
      <c r="D290" s="19"/>
      <c r="E290" s="21"/>
      <c r="F290" s="11"/>
      <c r="G290" s="11" t="str">
        <f aca="false">IF(AND($D290="E",E290&lt;&gt;"",F290&lt;&gt;""),E290*F290,"-")</f>
        <v>-</v>
      </c>
      <c r="H290" s="11" t="str">
        <f aca="false">IF($D290="S",IF(AND(B290&lt;&gt;"",E290&lt;&gt;""),E290*IFERROR(VLOOKUP(B290,'Saldo Atual'!$A:$K,11,0),0),"-"),"-")</f>
        <v>-</v>
      </c>
      <c r="I290" s="19"/>
      <c r="J290" s="9"/>
      <c r="K290" s="9"/>
    </row>
    <row r="291" customFormat="false" ht="18" hidden="false" customHeight="true" outlineLevel="0" collapsed="false">
      <c r="A291" s="14"/>
      <c r="B291" s="15"/>
      <c r="C291" s="16" t="str">
        <f aca="false">IFERROR(VLOOKUP(B291,Cadastro!$A$5:$B$54,2,0),"")</f>
        <v/>
      </c>
      <c r="D291" s="15"/>
      <c r="E291" s="17"/>
      <c r="F291" s="7"/>
      <c r="G291" s="7" t="str">
        <f aca="false">IF(AND($D291="E",E291&lt;&gt;"",F291&lt;&gt;""),E291*F291,"-")</f>
        <v>-</v>
      </c>
      <c r="H291" s="7" t="str">
        <f aca="false">IF($D291="S",IF(AND(B291&lt;&gt;"",E291&lt;&gt;""),E291*IFERROR(VLOOKUP(B291,'Saldo Atual'!$A:$K,11,0),0),"-"),"-")</f>
        <v>-</v>
      </c>
      <c r="I291" s="15"/>
      <c r="J291" s="5"/>
      <c r="K291" s="5"/>
    </row>
    <row r="292" customFormat="false" ht="18" hidden="false" customHeight="true" outlineLevel="0" collapsed="false">
      <c r="A292" s="18"/>
      <c r="B292" s="19"/>
      <c r="C292" s="20" t="str">
        <f aca="false">IFERROR(VLOOKUP(B292,Cadastro!$A$5:$B$54,2,0),"")</f>
        <v/>
      </c>
      <c r="D292" s="19"/>
      <c r="E292" s="21"/>
      <c r="F292" s="11"/>
      <c r="G292" s="11" t="str">
        <f aca="false">IF(AND($D292="E",E292&lt;&gt;"",F292&lt;&gt;""),E292*F292,"-")</f>
        <v>-</v>
      </c>
      <c r="H292" s="11" t="str">
        <f aca="false">IF($D292="S",IF(AND(B292&lt;&gt;"",E292&lt;&gt;""),E292*IFERROR(VLOOKUP(B292,'Saldo Atual'!$A:$K,11,0),0),"-"),"-")</f>
        <v>-</v>
      </c>
      <c r="I292" s="19"/>
      <c r="J292" s="9"/>
      <c r="K292" s="9"/>
    </row>
    <row r="293" customFormat="false" ht="18" hidden="false" customHeight="true" outlineLevel="0" collapsed="false">
      <c r="A293" s="14"/>
      <c r="B293" s="15"/>
      <c r="C293" s="16" t="str">
        <f aca="false">IFERROR(VLOOKUP(B293,Cadastro!$A$5:$B$54,2,0),"")</f>
        <v/>
      </c>
      <c r="D293" s="15"/>
      <c r="E293" s="17"/>
      <c r="F293" s="7"/>
      <c r="G293" s="7" t="str">
        <f aca="false">IF(AND($D293="E",E293&lt;&gt;"",F293&lt;&gt;""),E293*F293,"-")</f>
        <v>-</v>
      </c>
      <c r="H293" s="7" t="str">
        <f aca="false">IF($D293="S",IF(AND(B293&lt;&gt;"",E293&lt;&gt;""),E293*IFERROR(VLOOKUP(B293,'Saldo Atual'!$A:$K,11,0),0),"-"),"-")</f>
        <v>-</v>
      </c>
      <c r="I293" s="15"/>
      <c r="J293" s="5"/>
      <c r="K293" s="5"/>
    </row>
    <row r="294" customFormat="false" ht="18" hidden="false" customHeight="true" outlineLevel="0" collapsed="false">
      <c r="A294" s="18"/>
      <c r="B294" s="19"/>
      <c r="C294" s="20" t="str">
        <f aca="false">IFERROR(VLOOKUP(B294,Cadastro!$A$5:$B$54,2,0),"")</f>
        <v/>
      </c>
      <c r="D294" s="19"/>
      <c r="E294" s="21"/>
      <c r="F294" s="11"/>
      <c r="G294" s="11" t="str">
        <f aca="false">IF(AND($D294="E",E294&lt;&gt;"",F294&lt;&gt;""),E294*F294,"-")</f>
        <v>-</v>
      </c>
      <c r="H294" s="11" t="str">
        <f aca="false">IF($D294="S",IF(AND(B294&lt;&gt;"",E294&lt;&gt;""),E294*IFERROR(VLOOKUP(B294,'Saldo Atual'!$A:$K,11,0),0),"-"),"-")</f>
        <v>-</v>
      </c>
      <c r="I294" s="19"/>
      <c r="J294" s="9"/>
      <c r="K294" s="9"/>
    </row>
    <row r="295" customFormat="false" ht="18" hidden="false" customHeight="true" outlineLevel="0" collapsed="false">
      <c r="A295" s="14"/>
      <c r="B295" s="15"/>
      <c r="C295" s="16" t="str">
        <f aca="false">IFERROR(VLOOKUP(B295,Cadastro!$A$5:$B$54,2,0),"")</f>
        <v/>
      </c>
      <c r="D295" s="15"/>
      <c r="E295" s="17"/>
      <c r="F295" s="7"/>
      <c r="G295" s="7" t="str">
        <f aca="false">IF(AND($D295="E",E295&lt;&gt;"",F295&lt;&gt;""),E295*F295,"-")</f>
        <v>-</v>
      </c>
      <c r="H295" s="7" t="str">
        <f aca="false">IF($D295="S",IF(AND(B295&lt;&gt;"",E295&lt;&gt;""),E295*IFERROR(VLOOKUP(B295,'Saldo Atual'!$A:$K,11,0),0),"-"),"-")</f>
        <v>-</v>
      </c>
      <c r="I295" s="15"/>
      <c r="J295" s="5"/>
      <c r="K295" s="5"/>
    </row>
    <row r="296" customFormat="false" ht="18" hidden="false" customHeight="true" outlineLevel="0" collapsed="false">
      <c r="A296" s="18"/>
      <c r="B296" s="19"/>
      <c r="C296" s="20" t="str">
        <f aca="false">IFERROR(VLOOKUP(B296,Cadastro!$A$5:$B$54,2,0),"")</f>
        <v/>
      </c>
      <c r="D296" s="19"/>
      <c r="E296" s="21"/>
      <c r="F296" s="11"/>
      <c r="G296" s="11" t="str">
        <f aca="false">IF(AND($D296="E",E296&lt;&gt;"",F296&lt;&gt;""),E296*F296,"-")</f>
        <v>-</v>
      </c>
      <c r="H296" s="11" t="str">
        <f aca="false">IF($D296="S",IF(AND(B296&lt;&gt;"",E296&lt;&gt;""),E296*IFERROR(VLOOKUP(B296,'Saldo Atual'!$A:$K,11,0),0),"-"),"-")</f>
        <v>-</v>
      </c>
      <c r="I296" s="19"/>
      <c r="J296" s="9"/>
      <c r="K296" s="9"/>
    </row>
    <row r="297" customFormat="false" ht="18" hidden="false" customHeight="true" outlineLevel="0" collapsed="false">
      <c r="A297" s="14"/>
      <c r="B297" s="15"/>
      <c r="C297" s="16" t="str">
        <f aca="false">IFERROR(VLOOKUP(B297,Cadastro!$A$5:$B$54,2,0),"")</f>
        <v/>
      </c>
      <c r="D297" s="15"/>
      <c r="E297" s="17"/>
      <c r="F297" s="7"/>
      <c r="G297" s="7" t="str">
        <f aca="false">IF(AND($D297="E",E297&lt;&gt;"",F297&lt;&gt;""),E297*F297,"-")</f>
        <v>-</v>
      </c>
      <c r="H297" s="7" t="str">
        <f aca="false">IF($D297="S",IF(AND(B297&lt;&gt;"",E297&lt;&gt;""),E297*IFERROR(VLOOKUP(B297,'Saldo Atual'!$A:$K,11,0),0),"-"),"-")</f>
        <v>-</v>
      </c>
      <c r="I297" s="15"/>
      <c r="J297" s="5"/>
      <c r="K297" s="5"/>
    </row>
    <row r="298" customFormat="false" ht="18" hidden="false" customHeight="true" outlineLevel="0" collapsed="false">
      <c r="A298" s="18"/>
      <c r="B298" s="19"/>
      <c r="C298" s="20" t="str">
        <f aca="false">IFERROR(VLOOKUP(B298,Cadastro!$A$5:$B$54,2,0),"")</f>
        <v/>
      </c>
      <c r="D298" s="19"/>
      <c r="E298" s="21"/>
      <c r="F298" s="11"/>
      <c r="G298" s="11" t="str">
        <f aca="false">IF(AND($D298="E",E298&lt;&gt;"",F298&lt;&gt;""),E298*F298,"-")</f>
        <v>-</v>
      </c>
      <c r="H298" s="11" t="str">
        <f aca="false">IF($D298="S",IF(AND(B298&lt;&gt;"",E298&lt;&gt;""),E298*IFERROR(VLOOKUP(B298,'Saldo Atual'!$A:$K,11,0),0),"-"),"-")</f>
        <v>-</v>
      </c>
      <c r="I298" s="19"/>
      <c r="J298" s="9"/>
      <c r="K298" s="9"/>
    </row>
    <row r="299" customFormat="false" ht="18" hidden="false" customHeight="true" outlineLevel="0" collapsed="false">
      <c r="A299" s="14"/>
      <c r="B299" s="15"/>
      <c r="C299" s="16" t="str">
        <f aca="false">IFERROR(VLOOKUP(B299,Cadastro!$A$5:$B$54,2,0),"")</f>
        <v/>
      </c>
      <c r="D299" s="15"/>
      <c r="E299" s="17"/>
      <c r="F299" s="7"/>
      <c r="G299" s="7" t="str">
        <f aca="false">IF(AND($D299="E",E299&lt;&gt;"",F299&lt;&gt;""),E299*F299,"-")</f>
        <v>-</v>
      </c>
      <c r="H299" s="7" t="str">
        <f aca="false">IF($D299="S",IF(AND(B299&lt;&gt;"",E299&lt;&gt;""),E299*IFERROR(VLOOKUP(B299,'Saldo Atual'!$A:$K,11,0),0),"-"),"-")</f>
        <v>-</v>
      </c>
      <c r="I299" s="15"/>
      <c r="J299" s="5"/>
      <c r="K299" s="5"/>
    </row>
    <row r="300" customFormat="false" ht="18" hidden="false" customHeight="true" outlineLevel="0" collapsed="false">
      <c r="A300" s="18"/>
      <c r="B300" s="19"/>
      <c r="C300" s="20" t="str">
        <f aca="false">IFERROR(VLOOKUP(B300,Cadastro!$A$5:$B$54,2,0),"")</f>
        <v/>
      </c>
      <c r="D300" s="19"/>
      <c r="E300" s="21"/>
      <c r="F300" s="11"/>
      <c r="G300" s="11" t="str">
        <f aca="false">IF(AND($D300="E",E300&lt;&gt;"",F300&lt;&gt;""),E300*F300,"-")</f>
        <v>-</v>
      </c>
      <c r="H300" s="11" t="str">
        <f aca="false">IF($D300="S",IF(AND(B300&lt;&gt;"",E300&lt;&gt;""),E300*IFERROR(VLOOKUP(B300,'Saldo Atual'!$A:$K,11,0),0),"-"),"-")</f>
        <v>-</v>
      </c>
      <c r="I300" s="19"/>
      <c r="J300" s="9"/>
      <c r="K300" s="9"/>
    </row>
    <row r="301" customFormat="false" ht="18" hidden="false" customHeight="true" outlineLevel="0" collapsed="false">
      <c r="A301" s="14"/>
      <c r="B301" s="15"/>
      <c r="C301" s="16" t="str">
        <f aca="false">IFERROR(VLOOKUP(B301,Cadastro!$A$5:$B$54,2,0),"")</f>
        <v/>
      </c>
      <c r="D301" s="15"/>
      <c r="E301" s="17"/>
      <c r="F301" s="7"/>
      <c r="G301" s="7" t="str">
        <f aca="false">IF(AND($D301="E",E301&lt;&gt;"",F301&lt;&gt;""),E301*F301,"-")</f>
        <v>-</v>
      </c>
      <c r="H301" s="7" t="str">
        <f aca="false">IF($D301="S",IF(AND(B301&lt;&gt;"",E301&lt;&gt;""),E301*IFERROR(VLOOKUP(B301,'Saldo Atual'!$A:$K,11,0),0),"-"),"-")</f>
        <v>-</v>
      </c>
      <c r="I301" s="15"/>
      <c r="J301" s="5"/>
      <c r="K301" s="5"/>
    </row>
    <row r="302" customFormat="false" ht="18" hidden="false" customHeight="true" outlineLevel="0" collapsed="false">
      <c r="A302" s="18"/>
      <c r="B302" s="19"/>
      <c r="C302" s="20" t="str">
        <f aca="false">IFERROR(VLOOKUP(B302,Cadastro!$A$5:$B$54,2,0),"")</f>
        <v/>
      </c>
      <c r="D302" s="19"/>
      <c r="E302" s="21"/>
      <c r="F302" s="11"/>
      <c r="G302" s="11" t="str">
        <f aca="false">IF(AND($D302="E",E302&lt;&gt;"",F302&lt;&gt;""),E302*F302,"-")</f>
        <v>-</v>
      </c>
      <c r="H302" s="11" t="str">
        <f aca="false">IF($D302="S",IF(AND(B302&lt;&gt;"",E302&lt;&gt;""),E302*IFERROR(VLOOKUP(B302,'Saldo Atual'!$A:$K,11,0),0),"-"),"-")</f>
        <v>-</v>
      </c>
      <c r="I302" s="19"/>
      <c r="J302" s="9"/>
      <c r="K302" s="9"/>
    </row>
    <row r="303" customFormat="false" ht="18" hidden="false" customHeight="true" outlineLevel="0" collapsed="false">
      <c r="A303" s="14"/>
      <c r="B303" s="15"/>
      <c r="C303" s="16" t="str">
        <f aca="false">IFERROR(VLOOKUP(B303,Cadastro!$A$5:$B$54,2,0),"")</f>
        <v/>
      </c>
      <c r="D303" s="15"/>
      <c r="E303" s="17"/>
      <c r="F303" s="7"/>
      <c r="G303" s="7" t="str">
        <f aca="false">IF(AND($D303="E",E303&lt;&gt;"",F303&lt;&gt;""),E303*F303,"-")</f>
        <v>-</v>
      </c>
      <c r="H303" s="7" t="str">
        <f aca="false">IF($D303="S",IF(AND(B303&lt;&gt;"",E303&lt;&gt;""),E303*IFERROR(VLOOKUP(B303,'Saldo Atual'!$A:$K,11,0),0),"-"),"-")</f>
        <v>-</v>
      </c>
      <c r="I303" s="15"/>
      <c r="J303" s="5"/>
      <c r="K303" s="5"/>
    </row>
    <row r="304" customFormat="false" ht="18" hidden="false" customHeight="true" outlineLevel="0" collapsed="false">
      <c r="A304" s="18"/>
      <c r="B304" s="19"/>
      <c r="C304" s="20" t="str">
        <f aca="false">IFERROR(VLOOKUP(B304,Cadastro!$A$5:$B$54,2,0),"")</f>
        <v/>
      </c>
      <c r="D304" s="19"/>
      <c r="E304" s="21"/>
      <c r="F304" s="11"/>
      <c r="G304" s="11" t="str">
        <f aca="false">IF(AND($D304="E",E304&lt;&gt;"",F304&lt;&gt;""),E304*F304,"-")</f>
        <v>-</v>
      </c>
      <c r="H304" s="11" t="str">
        <f aca="false">IF($D304="S",IF(AND(B304&lt;&gt;"",E304&lt;&gt;""),E304*IFERROR(VLOOKUP(B304,'Saldo Atual'!$A:$K,11,0),0),"-"),"-")</f>
        <v>-</v>
      </c>
      <c r="I304" s="19"/>
      <c r="J304" s="9"/>
      <c r="K304" s="9"/>
    </row>
    <row r="305" customFormat="false" ht="18" hidden="false" customHeight="true" outlineLevel="0" collapsed="false">
      <c r="A305" s="14"/>
      <c r="B305" s="15"/>
      <c r="C305" s="16" t="str">
        <f aca="false">IFERROR(VLOOKUP(B305,Cadastro!$A$5:$B$54,2,0),"")</f>
        <v/>
      </c>
      <c r="D305" s="15"/>
      <c r="E305" s="17"/>
      <c r="F305" s="7"/>
      <c r="G305" s="7" t="str">
        <f aca="false">IF(AND($D305="E",E305&lt;&gt;"",F305&lt;&gt;""),E305*F305,"-")</f>
        <v>-</v>
      </c>
      <c r="H305" s="7" t="str">
        <f aca="false">IF($D305="S",IF(AND(B305&lt;&gt;"",E305&lt;&gt;""),E305*IFERROR(VLOOKUP(B305,'Saldo Atual'!$A:$K,11,0),0),"-"),"-")</f>
        <v>-</v>
      </c>
      <c r="I305" s="15"/>
      <c r="J305" s="5"/>
      <c r="K305" s="5"/>
    </row>
    <row r="306" customFormat="false" ht="18" hidden="false" customHeight="true" outlineLevel="0" collapsed="false">
      <c r="A306" s="18"/>
      <c r="B306" s="19"/>
      <c r="C306" s="20" t="str">
        <f aca="false">IFERROR(VLOOKUP(B306,Cadastro!$A$5:$B$54,2,0),"")</f>
        <v/>
      </c>
      <c r="D306" s="19"/>
      <c r="E306" s="21"/>
      <c r="F306" s="11"/>
      <c r="G306" s="11" t="str">
        <f aca="false">IF(AND($D306="E",E306&lt;&gt;"",F306&lt;&gt;""),E306*F306,"-")</f>
        <v>-</v>
      </c>
      <c r="H306" s="11" t="str">
        <f aca="false">IF($D306="S",IF(AND(B306&lt;&gt;"",E306&lt;&gt;""),E306*IFERROR(VLOOKUP(B306,'Saldo Atual'!$A:$K,11,0),0),"-"),"-")</f>
        <v>-</v>
      </c>
      <c r="I306" s="19"/>
      <c r="J306" s="9"/>
      <c r="K306" s="9"/>
    </row>
    <row r="307" customFormat="false" ht="18" hidden="false" customHeight="true" outlineLevel="0" collapsed="false">
      <c r="A307" s="14"/>
      <c r="B307" s="15"/>
      <c r="C307" s="16" t="str">
        <f aca="false">IFERROR(VLOOKUP(B307,Cadastro!$A$5:$B$54,2,0),"")</f>
        <v/>
      </c>
      <c r="D307" s="15"/>
      <c r="E307" s="17"/>
      <c r="F307" s="7"/>
      <c r="G307" s="7" t="str">
        <f aca="false">IF(AND($D307="E",E307&lt;&gt;"",F307&lt;&gt;""),E307*F307,"-")</f>
        <v>-</v>
      </c>
      <c r="H307" s="7" t="str">
        <f aca="false">IF($D307="S",IF(AND(B307&lt;&gt;"",E307&lt;&gt;""),E307*IFERROR(VLOOKUP(B307,'Saldo Atual'!$A:$K,11,0),0),"-"),"-")</f>
        <v>-</v>
      </c>
      <c r="I307" s="15"/>
      <c r="J307" s="5"/>
      <c r="K307" s="5"/>
    </row>
    <row r="308" customFormat="false" ht="18" hidden="false" customHeight="true" outlineLevel="0" collapsed="false">
      <c r="A308" s="18"/>
      <c r="B308" s="19"/>
      <c r="C308" s="20" t="str">
        <f aca="false">IFERROR(VLOOKUP(B308,Cadastro!$A$5:$B$54,2,0),"")</f>
        <v/>
      </c>
      <c r="D308" s="19"/>
      <c r="E308" s="21"/>
      <c r="F308" s="11"/>
      <c r="G308" s="11" t="str">
        <f aca="false">IF(AND($D308="E",E308&lt;&gt;"",F308&lt;&gt;""),E308*F308,"-")</f>
        <v>-</v>
      </c>
      <c r="H308" s="11" t="str">
        <f aca="false">IF($D308="S",IF(AND(B308&lt;&gt;"",E308&lt;&gt;""),E308*IFERROR(VLOOKUP(B308,'Saldo Atual'!$A:$K,11,0),0),"-"),"-")</f>
        <v>-</v>
      </c>
      <c r="I308" s="19"/>
      <c r="J308" s="9"/>
      <c r="K308" s="9"/>
    </row>
    <row r="309" customFormat="false" ht="18" hidden="false" customHeight="true" outlineLevel="0" collapsed="false">
      <c r="A309" s="14"/>
      <c r="B309" s="15"/>
      <c r="C309" s="16" t="str">
        <f aca="false">IFERROR(VLOOKUP(B309,Cadastro!$A$5:$B$54,2,0),"")</f>
        <v/>
      </c>
      <c r="D309" s="15"/>
      <c r="E309" s="17"/>
      <c r="F309" s="7"/>
      <c r="G309" s="7" t="str">
        <f aca="false">IF(AND($D309="E",E309&lt;&gt;"",F309&lt;&gt;""),E309*F309,"-")</f>
        <v>-</v>
      </c>
      <c r="H309" s="7" t="str">
        <f aca="false">IF($D309="S",IF(AND(B309&lt;&gt;"",E309&lt;&gt;""),E309*IFERROR(VLOOKUP(B309,'Saldo Atual'!$A:$K,11,0),0),"-"),"-")</f>
        <v>-</v>
      </c>
      <c r="I309" s="15"/>
      <c r="J309" s="5"/>
      <c r="K309" s="5"/>
    </row>
    <row r="310" customFormat="false" ht="18" hidden="false" customHeight="true" outlineLevel="0" collapsed="false">
      <c r="A310" s="18"/>
      <c r="B310" s="19"/>
      <c r="C310" s="20" t="str">
        <f aca="false">IFERROR(VLOOKUP(B310,Cadastro!$A$5:$B$54,2,0),"")</f>
        <v/>
      </c>
      <c r="D310" s="19"/>
      <c r="E310" s="21"/>
      <c r="F310" s="11"/>
      <c r="G310" s="11" t="str">
        <f aca="false">IF(AND($D310="E",E310&lt;&gt;"",F310&lt;&gt;""),E310*F310,"-")</f>
        <v>-</v>
      </c>
      <c r="H310" s="11" t="str">
        <f aca="false">IF($D310="S",IF(AND(B310&lt;&gt;"",E310&lt;&gt;""),E310*IFERROR(VLOOKUP(B310,'Saldo Atual'!$A:$K,11,0),0),"-"),"-")</f>
        <v>-</v>
      </c>
      <c r="I310" s="19"/>
      <c r="J310" s="9"/>
      <c r="K310" s="9"/>
    </row>
    <row r="311" customFormat="false" ht="18" hidden="false" customHeight="true" outlineLevel="0" collapsed="false">
      <c r="A311" s="14"/>
      <c r="B311" s="15"/>
      <c r="C311" s="16" t="str">
        <f aca="false">IFERROR(VLOOKUP(B311,Cadastro!$A$5:$B$54,2,0),"")</f>
        <v/>
      </c>
      <c r="D311" s="15"/>
      <c r="E311" s="17"/>
      <c r="F311" s="7"/>
      <c r="G311" s="7" t="str">
        <f aca="false">IF(AND($D311="E",E311&lt;&gt;"",F311&lt;&gt;""),E311*F311,"-")</f>
        <v>-</v>
      </c>
      <c r="H311" s="7" t="str">
        <f aca="false">IF($D311="S",IF(AND(B311&lt;&gt;"",E311&lt;&gt;""),E311*IFERROR(VLOOKUP(B311,'Saldo Atual'!$A:$K,11,0),0),"-"),"-")</f>
        <v>-</v>
      </c>
      <c r="I311" s="15"/>
      <c r="J311" s="5"/>
      <c r="K311" s="5"/>
    </row>
    <row r="312" customFormat="false" ht="18" hidden="false" customHeight="true" outlineLevel="0" collapsed="false">
      <c r="A312" s="18"/>
      <c r="B312" s="19"/>
      <c r="C312" s="20" t="str">
        <f aca="false">IFERROR(VLOOKUP(B312,Cadastro!$A$5:$B$54,2,0),"")</f>
        <v/>
      </c>
      <c r="D312" s="19"/>
      <c r="E312" s="21"/>
      <c r="F312" s="11"/>
      <c r="G312" s="11" t="str">
        <f aca="false">IF(AND($D312="E",E312&lt;&gt;"",F312&lt;&gt;""),E312*F312,"-")</f>
        <v>-</v>
      </c>
      <c r="H312" s="11" t="str">
        <f aca="false">IF($D312="S",IF(AND(B312&lt;&gt;"",E312&lt;&gt;""),E312*IFERROR(VLOOKUP(B312,'Saldo Atual'!$A:$K,11,0),0),"-"),"-")</f>
        <v>-</v>
      </c>
      <c r="I312" s="19"/>
      <c r="J312" s="9"/>
      <c r="K312" s="9"/>
    </row>
    <row r="313" customFormat="false" ht="18" hidden="false" customHeight="true" outlineLevel="0" collapsed="false">
      <c r="A313" s="14"/>
      <c r="B313" s="15"/>
      <c r="C313" s="16" t="str">
        <f aca="false">IFERROR(VLOOKUP(B313,Cadastro!$A$5:$B$54,2,0),"")</f>
        <v/>
      </c>
      <c r="D313" s="15"/>
      <c r="E313" s="17"/>
      <c r="F313" s="7"/>
      <c r="G313" s="7" t="str">
        <f aca="false">IF(AND($D313="E",E313&lt;&gt;"",F313&lt;&gt;""),E313*F313,"-")</f>
        <v>-</v>
      </c>
      <c r="H313" s="7" t="str">
        <f aca="false">IF($D313="S",IF(AND(B313&lt;&gt;"",E313&lt;&gt;""),E313*IFERROR(VLOOKUP(B313,'Saldo Atual'!$A:$K,11,0),0),"-"),"-")</f>
        <v>-</v>
      </c>
      <c r="I313" s="15"/>
      <c r="J313" s="5"/>
      <c r="K313" s="5"/>
    </row>
    <row r="314" customFormat="false" ht="18" hidden="false" customHeight="true" outlineLevel="0" collapsed="false">
      <c r="A314" s="18"/>
      <c r="B314" s="19"/>
      <c r="C314" s="20" t="str">
        <f aca="false">IFERROR(VLOOKUP(B314,Cadastro!$A$5:$B$54,2,0),"")</f>
        <v/>
      </c>
      <c r="D314" s="19"/>
      <c r="E314" s="21"/>
      <c r="F314" s="11"/>
      <c r="G314" s="11" t="str">
        <f aca="false">IF(AND($D314="E",E314&lt;&gt;"",F314&lt;&gt;""),E314*F314,"-")</f>
        <v>-</v>
      </c>
      <c r="H314" s="11" t="str">
        <f aca="false">IF($D314="S",IF(AND(B314&lt;&gt;"",E314&lt;&gt;""),E314*IFERROR(VLOOKUP(B314,'Saldo Atual'!$A:$K,11,0),0),"-"),"-")</f>
        <v>-</v>
      </c>
      <c r="I314" s="19"/>
      <c r="J314" s="9"/>
      <c r="K314" s="9"/>
    </row>
    <row r="315" customFormat="false" ht="18" hidden="false" customHeight="true" outlineLevel="0" collapsed="false">
      <c r="A315" s="14"/>
      <c r="B315" s="15"/>
      <c r="C315" s="16" t="str">
        <f aca="false">IFERROR(VLOOKUP(B315,Cadastro!$A$5:$B$54,2,0),"")</f>
        <v/>
      </c>
      <c r="D315" s="15"/>
      <c r="E315" s="17"/>
      <c r="F315" s="7"/>
      <c r="G315" s="7" t="str">
        <f aca="false">IF(AND($D315="E",E315&lt;&gt;"",F315&lt;&gt;""),E315*F315,"-")</f>
        <v>-</v>
      </c>
      <c r="H315" s="7" t="str">
        <f aca="false">IF($D315="S",IF(AND(B315&lt;&gt;"",E315&lt;&gt;""),E315*IFERROR(VLOOKUP(B315,'Saldo Atual'!$A:$K,11,0),0),"-"),"-")</f>
        <v>-</v>
      </c>
      <c r="I315" s="15"/>
      <c r="J315" s="5"/>
      <c r="K315" s="5"/>
    </row>
    <row r="316" customFormat="false" ht="18" hidden="false" customHeight="true" outlineLevel="0" collapsed="false">
      <c r="A316" s="18"/>
      <c r="B316" s="19"/>
      <c r="C316" s="20" t="str">
        <f aca="false">IFERROR(VLOOKUP(B316,Cadastro!$A$5:$B$54,2,0),"")</f>
        <v/>
      </c>
      <c r="D316" s="19"/>
      <c r="E316" s="21"/>
      <c r="F316" s="11"/>
      <c r="G316" s="11" t="str">
        <f aca="false">IF(AND($D316="E",E316&lt;&gt;"",F316&lt;&gt;""),E316*F316,"-")</f>
        <v>-</v>
      </c>
      <c r="H316" s="11" t="str">
        <f aca="false">IF($D316="S",IF(AND(B316&lt;&gt;"",E316&lt;&gt;""),E316*IFERROR(VLOOKUP(B316,'Saldo Atual'!$A:$K,11,0),0),"-"),"-")</f>
        <v>-</v>
      </c>
      <c r="I316" s="19"/>
      <c r="J316" s="9"/>
      <c r="K316" s="9"/>
    </row>
    <row r="317" customFormat="false" ht="18" hidden="false" customHeight="true" outlineLevel="0" collapsed="false">
      <c r="A317" s="14"/>
      <c r="B317" s="15"/>
      <c r="C317" s="16" t="str">
        <f aca="false">IFERROR(VLOOKUP(B317,Cadastro!$A$5:$B$54,2,0),"")</f>
        <v/>
      </c>
      <c r="D317" s="15"/>
      <c r="E317" s="17"/>
      <c r="F317" s="7"/>
      <c r="G317" s="7" t="str">
        <f aca="false">IF(AND($D317="E",E317&lt;&gt;"",F317&lt;&gt;""),E317*F317,"-")</f>
        <v>-</v>
      </c>
      <c r="H317" s="7" t="str">
        <f aca="false">IF($D317="S",IF(AND(B317&lt;&gt;"",E317&lt;&gt;""),E317*IFERROR(VLOOKUP(B317,'Saldo Atual'!$A:$K,11,0),0),"-"),"-")</f>
        <v>-</v>
      </c>
      <c r="I317" s="15"/>
      <c r="J317" s="5"/>
      <c r="K317" s="5"/>
    </row>
    <row r="318" customFormat="false" ht="18" hidden="false" customHeight="true" outlineLevel="0" collapsed="false">
      <c r="A318" s="18"/>
      <c r="B318" s="19"/>
      <c r="C318" s="20" t="str">
        <f aca="false">IFERROR(VLOOKUP(B318,Cadastro!$A$5:$B$54,2,0),"")</f>
        <v/>
      </c>
      <c r="D318" s="19"/>
      <c r="E318" s="21"/>
      <c r="F318" s="11"/>
      <c r="G318" s="11" t="str">
        <f aca="false">IF(AND($D318="E",E318&lt;&gt;"",F318&lt;&gt;""),E318*F318,"-")</f>
        <v>-</v>
      </c>
      <c r="H318" s="11" t="str">
        <f aca="false">IF($D318="S",IF(AND(B318&lt;&gt;"",E318&lt;&gt;""),E318*IFERROR(VLOOKUP(B318,'Saldo Atual'!$A:$K,11,0),0),"-"),"-")</f>
        <v>-</v>
      </c>
      <c r="I318" s="19"/>
      <c r="J318" s="9"/>
      <c r="K318" s="9"/>
    </row>
    <row r="319" customFormat="false" ht="18" hidden="false" customHeight="true" outlineLevel="0" collapsed="false">
      <c r="A319" s="14"/>
      <c r="B319" s="15"/>
      <c r="C319" s="16" t="str">
        <f aca="false">IFERROR(VLOOKUP(B319,Cadastro!$A$5:$B$54,2,0),"")</f>
        <v/>
      </c>
      <c r="D319" s="15"/>
      <c r="E319" s="17"/>
      <c r="F319" s="7"/>
      <c r="G319" s="7" t="str">
        <f aca="false">IF(AND($D319="E",E319&lt;&gt;"",F319&lt;&gt;""),E319*F319,"-")</f>
        <v>-</v>
      </c>
      <c r="H319" s="7" t="str">
        <f aca="false">IF($D319="S",IF(AND(B319&lt;&gt;"",E319&lt;&gt;""),E319*IFERROR(VLOOKUP(B319,'Saldo Atual'!$A:$K,11,0),0),"-"),"-")</f>
        <v>-</v>
      </c>
      <c r="I319" s="15"/>
      <c r="J319" s="5"/>
      <c r="K319" s="5"/>
    </row>
    <row r="320" customFormat="false" ht="18" hidden="false" customHeight="true" outlineLevel="0" collapsed="false">
      <c r="A320" s="18"/>
      <c r="B320" s="19"/>
      <c r="C320" s="20" t="str">
        <f aca="false">IFERROR(VLOOKUP(B320,Cadastro!$A$5:$B$54,2,0),"")</f>
        <v/>
      </c>
      <c r="D320" s="19"/>
      <c r="E320" s="21"/>
      <c r="F320" s="11"/>
      <c r="G320" s="11" t="str">
        <f aca="false">IF(AND($D320="E",E320&lt;&gt;"",F320&lt;&gt;""),E320*F320,"-")</f>
        <v>-</v>
      </c>
      <c r="H320" s="11" t="str">
        <f aca="false">IF($D320="S",IF(AND(B320&lt;&gt;"",E320&lt;&gt;""),E320*IFERROR(VLOOKUP(B320,'Saldo Atual'!$A:$K,11,0),0),"-"),"-")</f>
        <v>-</v>
      </c>
      <c r="I320" s="19"/>
      <c r="J320" s="9"/>
      <c r="K320" s="9"/>
    </row>
    <row r="321" customFormat="false" ht="18" hidden="false" customHeight="true" outlineLevel="0" collapsed="false">
      <c r="A321" s="14"/>
      <c r="B321" s="15"/>
      <c r="C321" s="16" t="str">
        <f aca="false">IFERROR(VLOOKUP(B321,Cadastro!$A$5:$B$54,2,0),"")</f>
        <v/>
      </c>
      <c r="D321" s="15"/>
      <c r="E321" s="17"/>
      <c r="F321" s="7"/>
      <c r="G321" s="7" t="str">
        <f aca="false">IF(AND($D321="E",E321&lt;&gt;"",F321&lt;&gt;""),E321*F321,"-")</f>
        <v>-</v>
      </c>
      <c r="H321" s="7" t="str">
        <f aca="false">IF($D321="S",IF(AND(B321&lt;&gt;"",E321&lt;&gt;""),E321*IFERROR(VLOOKUP(B321,'Saldo Atual'!$A:$K,11,0),0),"-"),"-")</f>
        <v>-</v>
      </c>
      <c r="I321" s="15"/>
      <c r="J321" s="5"/>
      <c r="K321" s="5"/>
    </row>
    <row r="322" customFormat="false" ht="18" hidden="false" customHeight="true" outlineLevel="0" collapsed="false">
      <c r="A322" s="18"/>
      <c r="B322" s="19"/>
      <c r="C322" s="20" t="str">
        <f aca="false">IFERROR(VLOOKUP(B322,Cadastro!$A$5:$B$54,2,0),"")</f>
        <v/>
      </c>
      <c r="D322" s="19"/>
      <c r="E322" s="21"/>
      <c r="F322" s="11"/>
      <c r="G322" s="11" t="str">
        <f aca="false">IF(AND($D322="E",E322&lt;&gt;"",F322&lt;&gt;""),E322*F322,"-")</f>
        <v>-</v>
      </c>
      <c r="H322" s="11" t="str">
        <f aca="false">IF($D322="S",IF(AND(B322&lt;&gt;"",E322&lt;&gt;""),E322*IFERROR(VLOOKUP(B322,'Saldo Atual'!$A:$K,11,0),0),"-"),"-")</f>
        <v>-</v>
      </c>
      <c r="I322" s="19"/>
      <c r="J322" s="9"/>
      <c r="K322" s="9"/>
    </row>
    <row r="323" customFormat="false" ht="18" hidden="false" customHeight="true" outlineLevel="0" collapsed="false">
      <c r="A323" s="14"/>
      <c r="B323" s="15"/>
      <c r="C323" s="16" t="str">
        <f aca="false">IFERROR(VLOOKUP(B323,Cadastro!$A$5:$B$54,2,0),"")</f>
        <v/>
      </c>
      <c r="D323" s="15"/>
      <c r="E323" s="17"/>
      <c r="F323" s="7"/>
      <c r="G323" s="7" t="str">
        <f aca="false">IF(AND($D323="E",E323&lt;&gt;"",F323&lt;&gt;""),E323*F323,"-")</f>
        <v>-</v>
      </c>
      <c r="H323" s="7" t="str">
        <f aca="false">IF($D323="S",IF(AND(B323&lt;&gt;"",E323&lt;&gt;""),E323*IFERROR(VLOOKUP(B323,'Saldo Atual'!$A:$K,11,0),0),"-"),"-")</f>
        <v>-</v>
      </c>
      <c r="I323" s="15"/>
      <c r="J323" s="5"/>
      <c r="K323" s="5"/>
    </row>
    <row r="324" customFormat="false" ht="18" hidden="false" customHeight="true" outlineLevel="0" collapsed="false">
      <c r="A324" s="18"/>
      <c r="B324" s="19"/>
      <c r="C324" s="20" t="str">
        <f aca="false">IFERROR(VLOOKUP(B324,Cadastro!$A$5:$B$54,2,0),"")</f>
        <v/>
      </c>
      <c r="D324" s="19"/>
      <c r="E324" s="21"/>
      <c r="F324" s="11"/>
      <c r="G324" s="11" t="str">
        <f aca="false">IF(AND($D324="E",E324&lt;&gt;"",F324&lt;&gt;""),E324*F324,"-")</f>
        <v>-</v>
      </c>
      <c r="H324" s="11" t="str">
        <f aca="false">IF($D324="S",IF(AND(B324&lt;&gt;"",E324&lt;&gt;""),E324*IFERROR(VLOOKUP(B324,'Saldo Atual'!$A:$K,11,0),0),"-"),"-")</f>
        <v>-</v>
      </c>
      <c r="I324" s="19"/>
      <c r="J324" s="9"/>
      <c r="K324" s="9"/>
    </row>
    <row r="325" customFormat="false" ht="18" hidden="false" customHeight="true" outlineLevel="0" collapsed="false">
      <c r="A325" s="14"/>
      <c r="B325" s="15"/>
      <c r="C325" s="16" t="str">
        <f aca="false">IFERROR(VLOOKUP(B325,Cadastro!$A$5:$B$54,2,0),"")</f>
        <v/>
      </c>
      <c r="D325" s="15"/>
      <c r="E325" s="17"/>
      <c r="F325" s="7"/>
      <c r="G325" s="7" t="str">
        <f aca="false">IF(AND($D325="E",E325&lt;&gt;"",F325&lt;&gt;""),E325*F325,"-")</f>
        <v>-</v>
      </c>
      <c r="H325" s="7" t="str">
        <f aca="false">IF($D325="S",IF(AND(B325&lt;&gt;"",E325&lt;&gt;""),E325*IFERROR(VLOOKUP(B325,'Saldo Atual'!$A:$K,11,0),0),"-"),"-")</f>
        <v>-</v>
      </c>
      <c r="I325" s="15"/>
      <c r="J325" s="5"/>
      <c r="K325" s="5"/>
    </row>
    <row r="326" customFormat="false" ht="18" hidden="false" customHeight="true" outlineLevel="0" collapsed="false">
      <c r="A326" s="18"/>
      <c r="B326" s="19"/>
      <c r="C326" s="20" t="str">
        <f aca="false">IFERROR(VLOOKUP(B326,Cadastro!$A$5:$B$54,2,0),"")</f>
        <v/>
      </c>
      <c r="D326" s="19"/>
      <c r="E326" s="21"/>
      <c r="F326" s="11"/>
      <c r="G326" s="11" t="str">
        <f aca="false">IF(AND($D326="E",E326&lt;&gt;"",F326&lt;&gt;""),E326*F326,"-")</f>
        <v>-</v>
      </c>
      <c r="H326" s="11" t="str">
        <f aca="false">IF($D326="S",IF(AND(B326&lt;&gt;"",E326&lt;&gt;""),E326*IFERROR(VLOOKUP(B326,'Saldo Atual'!$A:$K,11,0),0),"-"),"-")</f>
        <v>-</v>
      </c>
      <c r="I326" s="19"/>
      <c r="J326" s="9"/>
      <c r="K326" s="9"/>
    </row>
    <row r="327" customFormat="false" ht="18" hidden="false" customHeight="true" outlineLevel="0" collapsed="false">
      <c r="A327" s="14"/>
      <c r="B327" s="15"/>
      <c r="C327" s="16" t="str">
        <f aca="false">IFERROR(VLOOKUP(B327,Cadastro!$A$5:$B$54,2,0),"")</f>
        <v/>
      </c>
      <c r="D327" s="15"/>
      <c r="E327" s="17"/>
      <c r="F327" s="7"/>
      <c r="G327" s="7" t="str">
        <f aca="false">IF(AND($D327="E",E327&lt;&gt;"",F327&lt;&gt;""),E327*F327,"-")</f>
        <v>-</v>
      </c>
      <c r="H327" s="7" t="str">
        <f aca="false">IF($D327="S",IF(AND(B327&lt;&gt;"",E327&lt;&gt;""),E327*IFERROR(VLOOKUP(B327,'Saldo Atual'!$A:$K,11,0),0),"-"),"-")</f>
        <v>-</v>
      </c>
      <c r="I327" s="15"/>
      <c r="J327" s="5"/>
      <c r="K327" s="5"/>
    </row>
    <row r="328" customFormat="false" ht="18" hidden="false" customHeight="true" outlineLevel="0" collapsed="false">
      <c r="A328" s="18"/>
      <c r="B328" s="19"/>
      <c r="C328" s="20" t="str">
        <f aca="false">IFERROR(VLOOKUP(B328,Cadastro!$A$5:$B$54,2,0),"")</f>
        <v/>
      </c>
      <c r="D328" s="19"/>
      <c r="E328" s="21"/>
      <c r="F328" s="11"/>
      <c r="G328" s="11" t="str">
        <f aca="false">IF(AND($D328="E",E328&lt;&gt;"",F328&lt;&gt;""),E328*F328,"-")</f>
        <v>-</v>
      </c>
      <c r="H328" s="11" t="str">
        <f aca="false">IF($D328="S",IF(AND(B328&lt;&gt;"",E328&lt;&gt;""),E328*IFERROR(VLOOKUP(B328,'Saldo Atual'!$A:$K,11,0),0),"-"),"-")</f>
        <v>-</v>
      </c>
      <c r="I328" s="19"/>
      <c r="J328" s="9"/>
      <c r="K328" s="9"/>
    </row>
    <row r="329" customFormat="false" ht="18" hidden="false" customHeight="true" outlineLevel="0" collapsed="false">
      <c r="A329" s="14"/>
      <c r="B329" s="15"/>
      <c r="C329" s="16" t="str">
        <f aca="false">IFERROR(VLOOKUP(B329,Cadastro!$A$5:$B$54,2,0),"")</f>
        <v/>
      </c>
      <c r="D329" s="15"/>
      <c r="E329" s="17"/>
      <c r="F329" s="7"/>
      <c r="G329" s="7" t="str">
        <f aca="false">IF(AND($D329="E",E329&lt;&gt;"",F329&lt;&gt;""),E329*F329,"-")</f>
        <v>-</v>
      </c>
      <c r="H329" s="7" t="str">
        <f aca="false">IF($D329="S",IF(AND(B329&lt;&gt;"",E329&lt;&gt;""),E329*IFERROR(VLOOKUP(B329,'Saldo Atual'!$A:$K,11,0),0),"-"),"-")</f>
        <v>-</v>
      </c>
      <c r="I329" s="15"/>
      <c r="J329" s="5"/>
      <c r="K329" s="5"/>
    </row>
    <row r="330" customFormat="false" ht="18" hidden="false" customHeight="true" outlineLevel="0" collapsed="false">
      <c r="A330" s="18"/>
      <c r="B330" s="19"/>
      <c r="C330" s="20" t="str">
        <f aca="false">IFERROR(VLOOKUP(B330,Cadastro!$A$5:$B$54,2,0),"")</f>
        <v/>
      </c>
      <c r="D330" s="19"/>
      <c r="E330" s="21"/>
      <c r="F330" s="11"/>
      <c r="G330" s="11" t="str">
        <f aca="false">IF(AND($D330="E",E330&lt;&gt;"",F330&lt;&gt;""),E330*F330,"-")</f>
        <v>-</v>
      </c>
      <c r="H330" s="11" t="str">
        <f aca="false">IF($D330="S",IF(AND(B330&lt;&gt;"",E330&lt;&gt;""),E330*IFERROR(VLOOKUP(B330,'Saldo Atual'!$A:$K,11,0),0),"-"),"-")</f>
        <v>-</v>
      </c>
      <c r="I330" s="19"/>
      <c r="J330" s="9"/>
      <c r="K330" s="9"/>
    </row>
    <row r="331" customFormat="false" ht="18" hidden="false" customHeight="true" outlineLevel="0" collapsed="false">
      <c r="A331" s="14"/>
      <c r="B331" s="15"/>
      <c r="C331" s="16" t="str">
        <f aca="false">IFERROR(VLOOKUP(B331,Cadastro!$A$5:$B$54,2,0),"")</f>
        <v/>
      </c>
      <c r="D331" s="15"/>
      <c r="E331" s="17"/>
      <c r="F331" s="7"/>
      <c r="G331" s="7" t="str">
        <f aca="false">IF(AND($D331="E",E331&lt;&gt;"",F331&lt;&gt;""),E331*F331,"-")</f>
        <v>-</v>
      </c>
      <c r="H331" s="7" t="str">
        <f aca="false">IF($D331="S",IF(AND(B331&lt;&gt;"",E331&lt;&gt;""),E331*IFERROR(VLOOKUP(B331,'Saldo Atual'!$A:$K,11,0),0),"-"),"-")</f>
        <v>-</v>
      </c>
      <c r="I331" s="15"/>
      <c r="J331" s="5"/>
      <c r="K331" s="5"/>
    </row>
    <row r="332" customFormat="false" ht="18" hidden="false" customHeight="true" outlineLevel="0" collapsed="false">
      <c r="A332" s="18"/>
      <c r="B332" s="19"/>
      <c r="C332" s="20" t="str">
        <f aca="false">IFERROR(VLOOKUP(B332,Cadastro!$A$5:$B$54,2,0),"")</f>
        <v/>
      </c>
      <c r="D332" s="19"/>
      <c r="E332" s="21"/>
      <c r="F332" s="11"/>
      <c r="G332" s="11" t="str">
        <f aca="false">IF(AND($D332="E",E332&lt;&gt;"",F332&lt;&gt;""),E332*F332,"-")</f>
        <v>-</v>
      </c>
      <c r="H332" s="11" t="str">
        <f aca="false">IF($D332="S",IF(AND(B332&lt;&gt;"",E332&lt;&gt;""),E332*IFERROR(VLOOKUP(B332,'Saldo Atual'!$A:$K,11,0),0),"-"),"-")</f>
        <v>-</v>
      </c>
      <c r="I332" s="19"/>
      <c r="J332" s="9"/>
      <c r="K332" s="9"/>
    </row>
    <row r="333" customFormat="false" ht="18" hidden="false" customHeight="true" outlineLevel="0" collapsed="false">
      <c r="A333" s="14"/>
      <c r="B333" s="15"/>
      <c r="C333" s="16" t="str">
        <f aca="false">IFERROR(VLOOKUP(B333,Cadastro!$A$5:$B$54,2,0),"")</f>
        <v/>
      </c>
      <c r="D333" s="15"/>
      <c r="E333" s="17"/>
      <c r="F333" s="7"/>
      <c r="G333" s="7" t="str">
        <f aca="false">IF(AND($D333="E",E333&lt;&gt;"",F333&lt;&gt;""),E333*F333,"-")</f>
        <v>-</v>
      </c>
      <c r="H333" s="7" t="str">
        <f aca="false">IF($D333="S",IF(AND(B333&lt;&gt;"",E333&lt;&gt;""),E333*IFERROR(VLOOKUP(B333,'Saldo Atual'!$A:$K,11,0),0),"-"),"-")</f>
        <v>-</v>
      </c>
      <c r="I333" s="15"/>
      <c r="J333" s="5"/>
      <c r="K333" s="5"/>
    </row>
    <row r="334" customFormat="false" ht="18" hidden="false" customHeight="true" outlineLevel="0" collapsed="false">
      <c r="A334" s="18"/>
      <c r="B334" s="19"/>
      <c r="C334" s="20" t="str">
        <f aca="false">IFERROR(VLOOKUP(B334,Cadastro!$A$5:$B$54,2,0),"")</f>
        <v/>
      </c>
      <c r="D334" s="19"/>
      <c r="E334" s="21"/>
      <c r="F334" s="11"/>
      <c r="G334" s="11" t="str">
        <f aca="false">IF(AND($D334="E",E334&lt;&gt;"",F334&lt;&gt;""),E334*F334,"-")</f>
        <v>-</v>
      </c>
      <c r="H334" s="11" t="str">
        <f aca="false">IF($D334="S",IF(AND(B334&lt;&gt;"",E334&lt;&gt;""),E334*IFERROR(VLOOKUP(B334,'Saldo Atual'!$A:$K,11,0),0),"-"),"-")</f>
        <v>-</v>
      </c>
      <c r="I334" s="19"/>
      <c r="J334" s="9"/>
      <c r="K334" s="9"/>
    </row>
    <row r="335" customFormat="false" ht="18" hidden="false" customHeight="true" outlineLevel="0" collapsed="false">
      <c r="A335" s="14"/>
      <c r="B335" s="15"/>
      <c r="C335" s="16" t="str">
        <f aca="false">IFERROR(VLOOKUP(B335,Cadastro!$A$5:$B$54,2,0),"")</f>
        <v/>
      </c>
      <c r="D335" s="15"/>
      <c r="E335" s="17"/>
      <c r="F335" s="7"/>
      <c r="G335" s="7" t="str">
        <f aca="false">IF(AND($D335="E",E335&lt;&gt;"",F335&lt;&gt;""),E335*F335,"-")</f>
        <v>-</v>
      </c>
      <c r="H335" s="7" t="str">
        <f aca="false">IF($D335="S",IF(AND(B335&lt;&gt;"",E335&lt;&gt;""),E335*IFERROR(VLOOKUP(B335,'Saldo Atual'!$A:$K,11,0),0),"-"),"-")</f>
        <v>-</v>
      </c>
      <c r="I335" s="15"/>
      <c r="J335" s="5"/>
      <c r="K335" s="5"/>
    </row>
    <row r="336" customFormat="false" ht="18" hidden="false" customHeight="true" outlineLevel="0" collapsed="false">
      <c r="A336" s="18"/>
      <c r="B336" s="19"/>
      <c r="C336" s="20" t="str">
        <f aca="false">IFERROR(VLOOKUP(B336,Cadastro!$A$5:$B$54,2,0),"")</f>
        <v/>
      </c>
      <c r="D336" s="19"/>
      <c r="E336" s="21"/>
      <c r="F336" s="11"/>
      <c r="G336" s="11" t="str">
        <f aca="false">IF(AND($D336="E",E336&lt;&gt;"",F336&lt;&gt;""),E336*F336,"-")</f>
        <v>-</v>
      </c>
      <c r="H336" s="11" t="str">
        <f aca="false">IF($D336="S",IF(AND(B336&lt;&gt;"",E336&lt;&gt;""),E336*IFERROR(VLOOKUP(B336,'Saldo Atual'!$A:$K,11,0),0),"-"),"-")</f>
        <v>-</v>
      </c>
      <c r="I336" s="19"/>
      <c r="J336" s="9"/>
      <c r="K336" s="9"/>
    </row>
    <row r="337" customFormat="false" ht="18" hidden="false" customHeight="true" outlineLevel="0" collapsed="false">
      <c r="A337" s="14"/>
      <c r="B337" s="15"/>
      <c r="C337" s="16" t="str">
        <f aca="false">IFERROR(VLOOKUP(B337,Cadastro!$A$5:$B$54,2,0),"")</f>
        <v/>
      </c>
      <c r="D337" s="15"/>
      <c r="E337" s="17"/>
      <c r="F337" s="7"/>
      <c r="G337" s="7" t="str">
        <f aca="false">IF(AND($D337="E",E337&lt;&gt;"",F337&lt;&gt;""),E337*F337,"-")</f>
        <v>-</v>
      </c>
      <c r="H337" s="7" t="str">
        <f aca="false">IF($D337="S",IF(AND(B337&lt;&gt;"",E337&lt;&gt;""),E337*IFERROR(VLOOKUP(B337,'Saldo Atual'!$A:$K,11,0),0),"-"),"-")</f>
        <v>-</v>
      </c>
      <c r="I337" s="15"/>
      <c r="J337" s="5"/>
      <c r="K337" s="5"/>
    </row>
    <row r="338" customFormat="false" ht="18" hidden="false" customHeight="true" outlineLevel="0" collapsed="false">
      <c r="A338" s="18"/>
      <c r="B338" s="19"/>
      <c r="C338" s="20" t="str">
        <f aca="false">IFERROR(VLOOKUP(B338,Cadastro!$A$5:$B$54,2,0),"")</f>
        <v/>
      </c>
      <c r="D338" s="19"/>
      <c r="E338" s="21"/>
      <c r="F338" s="11"/>
      <c r="G338" s="11" t="str">
        <f aca="false">IF(AND($D338="E",E338&lt;&gt;"",F338&lt;&gt;""),E338*F338,"-")</f>
        <v>-</v>
      </c>
      <c r="H338" s="11" t="str">
        <f aca="false">IF($D338="S",IF(AND(B338&lt;&gt;"",E338&lt;&gt;""),E338*IFERROR(VLOOKUP(B338,'Saldo Atual'!$A:$K,11,0),0),"-"),"-")</f>
        <v>-</v>
      </c>
      <c r="I338" s="19"/>
      <c r="J338" s="9"/>
      <c r="K338" s="9"/>
    </row>
    <row r="339" customFormat="false" ht="18" hidden="false" customHeight="true" outlineLevel="0" collapsed="false">
      <c r="A339" s="14"/>
      <c r="B339" s="15"/>
      <c r="C339" s="16" t="str">
        <f aca="false">IFERROR(VLOOKUP(B339,Cadastro!$A$5:$B$54,2,0),"")</f>
        <v/>
      </c>
      <c r="D339" s="15"/>
      <c r="E339" s="17"/>
      <c r="F339" s="7"/>
      <c r="G339" s="7" t="str">
        <f aca="false">IF(AND($D339="E",E339&lt;&gt;"",F339&lt;&gt;""),E339*F339,"-")</f>
        <v>-</v>
      </c>
      <c r="H339" s="7" t="str">
        <f aca="false">IF($D339="S",IF(AND(B339&lt;&gt;"",E339&lt;&gt;""),E339*IFERROR(VLOOKUP(B339,'Saldo Atual'!$A:$K,11,0),0),"-"),"-")</f>
        <v>-</v>
      </c>
      <c r="I339" s="15"/>
      <c r="J339" s="5"/>
      <c r="K339" s="5"/>
    </row>
    <row r="340" customFormat="false" ht="18" hidden="false" customHeight="true" outlineLevel="0" collapsed="false">
      <c r="A340" s="18"/>
      <c r="B340" s="19"/>
      <c r="C340" s="20" t="str">
        <f aca="false">IFERROR(VLOOKUP(B340,Cadastro!$A$5:$B$54,2,0),"")</f>
        <v/>
      </c>
      <c r="D340" s="19"/>
      <c r="E340" s="21"/>
      <c r="F340" s="11"/>
      <c r="G340" s="11" t="str">
        <f aca="false">IF(AND($D340="E",E340&lt;&gt;"",F340&lt;&gt;""),E340*F340,"-")</f>
        <v>-</v>
      </c>
      <c r="H340" s="11" t="str">
        <f aca="false">IF($D340="S",IF(AND(B340&lt;&gt;"",E340&lt;&gt;""),E340*IFERROR(VLOOKUP(B340,'Saldo Atual'!$A:$K,11,0),0),"-"),"-")</f>
        <v>-</v>
      </c>
      <c r="I340" s="19"/>
      <c r="J340" s="9"/>
      <c r="K340" s="9"/>
    </row>
    <row r="341" customFormat="false" ht="18" hidden="false" customHeight="true" outlineLevel="0" collapsed="false">
      <c r="A341" s="14"/>
      <c r="B341" s="15"/>
      <c r="C341" s="16" t="str">
        <f aca="false">IFERROR(VLOOKUP(B341,Cadastro!$A$5:$B$54,2,0),"")</f>
        <v/>
      </c>
      <c r="D341" s="15"/>
      <c r="E341" s="17"/>
      <c r="F341" s="7"/>
      <c r="G341" s="7" t="str">
        <f aca="false">IF(AND($D341="E",E341&lt;&gt;"",F341&lt;&gt;""),E341*F341,"-")</f>
        <v>-</v>
      </c>
      <c r="H341" s="7" t="str">
        <f aca="false">IF($D341="S",IF(AND(B341&lt;&gt;"",E341&lt;&gt;""),E341*IFERROR(VLOOKUP(B341,'Saldo Atual'!$A:$K,11,0),0),"-"),"-")</f>
        <v>-</v>
      </c>
      <c r="I341" s="15"/>
      <c r="J341" s="5"/>
      <c r="K341" s="5"/>
    </row>
    <row r="342" customFormat="false" ht="18" hidden="false" customHeight="true" outlineLevel="0" collapsed="false">
      <c r="A342" s="18"/>
      <c r="B342" s="19"/>
      <c r="C342" s="20" t="str">
        <f aca="false">IFERROR(VLOOKUP(B342,Cadastro!$A$5:$B$54,2,0),"")</f>
        <v/>
      </c>
      <c r="D342" s="19"/>
      <c r="E342" s="21"/>
      <c r="F342" s="11"/>
      <c r="G342" s="11" t="str">
        <f aca="false">IF(AND($D342="E",E342&lt;&gt;"",F342&lt;&gt;""),E342*F342,"-")</f>
        <v>-</v>
      </c>
      <c r="H342" s="11" t="str">
        <f aca="false">IF($D342="S",IF(AND(B342&lt;&gt;"",E342&lt;&gt;""),E342*IFERROR(VLOOKUP(B342,'Saldo Atual'!$A:$K,11,0),0),"-"),"-")</f>
        <v>-</v>
      </c>
      <c r="I342" s="19"/>
      <c r="J342" s="9"/>
      <c r="K342" s="9"/>
    </row>
    <row r="343" customFormat="false" ht="18" hidden="false" customHeight="true" outlineLevel="0" collapsed="false">
      <c r="A343" s="14"/>
      <c r="B343" s="15"/>
      <c r="C343" s="16" t="str">
        <f aca="false">IFERROR(VLOOKUP(B343,Cadastro!$A$5:$B$54,2,0),"")</f>
        <v/>
      </c>
      <c r="D343" s="15"/>
      <c r="E343" s="17"/>
      <c r="F343" s="7"/>
      <c r="G343" s="7" t="str">
        <f aca="false">IF(AND($D343="E",E343&lt;&gt;"",F343&lt;&gt;""),E343*F343,"-")</f>
        <v>-</v>
      </c>
      <c r="H343" s="7" t="str">
        <f aca="false">IF($D343="S",IF(AND(B343&lt;&gt;"",E343&lt;&gt;""),E343*IFERROR(VLOOKUP(B343,'Saldo Atual'!$A:$K,11,0),0),"-"),"-")</f>
        <v>-</v>
      </c>
      <c r="I343" s="15"/>
      <c r="J343" s="5"/>
      <c r="K343" s="5"/>
    </row>
    <row r="344" customFormat="false" ht="18" hidden="false" customHeight="true" outlineLevel="0" collapsed="false">
      <c r="A344" s="18"/>
      <c r="B344" s="19"/>
      <c r="C344" s="20" t="str">
        <f aca="false">IFERROR(VLOOKUP(B344,Cadastro!$A$5:$B$54,2,0),"")</f>
        <v/>
      </c>
      <c r="D344" s="19"/>
      <c r="E344" s="21"/>
      <c r="F344" s="11"/>
      <c r="G344" s="11" t="str">
        <f aca="false">IF(AND($D344="E",E344&lt;&gt;"",F344&lt;&gt;""),E344*F344,"-")</f>
        <v>-</v>
      </c>
      <c r="H344" s="11" t="str">
        <f aca="false">IF($D344="S",IF(AND(B344&lt;&gt;"",E344&lt;&gt;""),E344*IFERROR(VLOOKUP(B344,'Saldo Atual'!$A:$K,11,0),0),"-"),"-")</f>
        <v>-</v>
      </c>
      <c r="I344" s="19"/>
      <c r="J344" s="9"/>
      <c r="K344" s="9"/>
    </row>
    <row r="345" customFormat="false" ht="18" hidden="false" customHeight="true" outlineLevel="0" collapsed="false">
      <c r="A345" s="14"/>
      <c r="B345" s="15"/>
      <c r="C345" s="16" t="str">
        <f aca="false">IFERROR(VLOOKUP(B345,Cadastro!$A$5:$B$54,2,0),"")</f>
        <v/>
      </c>
      <c r="D345" s="15"/>
      <c r="E345" s="17"/>
      <c r="F345" s="7"/>
      <c r="G345" s="7" t="str">
        <f aca="false">IF(AND($D345="E",E345&lt;&gt;"",F345&lt;&gt;""),E345*F345,"-")</f>
        <v>-</v>
      </c>
      <c r="H345" s="7" t="str">
        <f aca="false">IF($D345="S",IF(AND(B345&lt;&gt;"",E345&lt;&gt;""),E345*IFERROR(VLOOKUP(B345,'Saldo Atual'!$A:$K,11,0),0),"-"),"-")</f>
        <v>-</v>
      </c>
      <c r="I345" s="15"/>
      <c r="J345" s="5"/>
      <c r="K345" s="5"/>
    </row>
    <row r="346" customFormat="false" ht="18" hidden="false" customHeight="true" outlineLevel="0" collapsed="false">
      <c r="A346" s="18"/>
      <c r="B346" s="19"/>
      <c r="C346" s="20" t="str">
        <f aca="false">IFERROR(VLOOKUP(B346,Cadastro!$A$5:$B$54,2,0),"")</f>
        <v/>
      </c>
      <c r="D346" s="19"/>
      <c r="E346" s="21"/>
      <c r="F346" s="11"/>
      <c r="G346" s="11" t="str">
        <f aca="false">IF(AND($D346="E",E346&lt;&gt;"",F346&lt;&gt;""),E346*F346,"-")</f>
        <v>-</v>
      </c>
      <c r="H346" s="11" t="str">
        <f aca="false">IF($D346="S",IF(AND(B346&lt;&gt;"",E346&lt;&gt;""),E346*IFERROR(VLOOKUP(B346,'Saldo Atual'!$A:$K,11,0),0),"-"),"-")</f>
        <v>-</v>
      </c>
      <c r="I346" s="19"/>
      <c r="J346" s="9"/>
      <c r="K346" s="9"/>
    </row>
    <row r="347" customFormat="false" ht="18" hidden="false" customHeight="true" outlineLevel="0" collapsed="false">
      <c r="A347" s="14"/>
      <c r="B347" s="15"/>
      <c r="C347" s="16" t="str">
        <f aca="false">IFERROR(VLOOKUP(B347,Cadastro!$A$5:$B$54,2,0),"")</f>
        <v/>
      </c>
      <c r="D347" s="15"/>
      <c r="E347" s="17"/>
      <c r="F347" s="7"/>
      <c r="G347" s="7" t="str">
        <f aca="false">IF(AND($D347="E",E347&lt;&gt;"",F347&lt;&gt;""),E347*F347,"-")</f>
        <v>-</v>
      </c>
      <c r="H347" s="7" t="str">
        <f aca="false">IF($D347="S",IF(AND(B347&lt;&gt;"",E347&lt;&gt;""),E347*IFERROR(VLOOKUP(B347,'Saldo Atual'!$A:$K,11,0),0),"-"),"-")</f>
        <v>-</v>
      </c>
      <c r="I347" s="15"/>
      <c r="J347" s="5"/>
      <c r="K347" s="5"/>
    </row>
    <row r="348" customFormat="false" ht="18" hidden="false" customHeight="true" outlineLevel="0" collapsed="false">
      <c r="A348" s="18"/>
      <c r="B348" s="19"/>
      <c r="C348" s="20" t="str">
        <f aca="false">IFERROR(VLOOKUP(B348,Cadastro!$A$5:$B$54,2,0),"")</f>
        <v/>
      </c>
      <c r="D348" s="19"/>
      <c r="E348" s="21"/>
      <c r="F348" s="11"/>
      <c r="G348" s="11" t="str">
        <f aca="false">IF(AND($D348="E",E348&lt;&gt;"",F348&lt;&gt;""),E348*F348,"-")</f>
        <v>-</v>
      </c>
      <c r="H348" s="11" t="str">
        <f aca="false">IF($D348="S",IF(AND(B348&lt;&gt;"",E348&lt;&gt;""),E348*IFERROR(VLOOKUP(B348,'Saldo Atual'!$A:$K,11,0),0),"-"),"-")</f>
        <v>-</v>
      </c>
      <c r="I348" s="19"/>
      <c r="J348" s="9"/>
      <c r="K348" s="9"/>
    </row>
    <row r="349" customFormat="false" ht="18" hidden="false" customHeight="true" outlineLevel="0" collapsed="false">
      <c r="A349" s="14"/>
      <c r="B349" s="15"/>
      <c r="C349" s="16" t="str">
        <f aca="false">IFERROR(VLOOKUP(B349,Cadastro!$A$5:$B$54,2,0),"")</f>
        <v/>
      </c>
      <c r="D349" s="15"/>
      <c r="E349" s="17"/>
      <c r="F349" s="7"/>
      <c r="G349" s="7" t="str">
        <f aca="false">IF(AND($D349="E",E349&lt;&gt;"",F349&lt;&gt;""),E349*F349,"-")</f>
        <v>-</v>
      </c>
      <c r="H349" s="7" t="str">
        <f aca="false">IF($D349="S",IF(AND(B349&lt;&gt;"",E349&lt;&gt;""),E349*IFERROR(VLOOKUP(B349,'Saldo Atual'!$A:$K,11,0),0),"-"),"-")</f>
        <v>-</v>
      </c>
      <c r="I349" s="15"/>
      <c r="J349" s="5"/>
      <c r="K349" s="5"/>
    </row>
    <row r="350" customFormat="false" ht="18" hidden="false" customHeight="true" outlineLevel="0" collapsed="false">
      <c r="A350" s="18"/>
      <c r="B350" s="19"/>
      <c r="C350" s="20" t="str">
        <f aca="false">IFERROR(VLOOKUP(B350,Cadastro!$A$5:$B$54,2,0),"")</f>
        <v/>
      </c>
      <c r="D350" s="19"/>
      <c r="E350" s="21"/>
      <c r="F350" s="11"/>
      <c r="G350" s="11" t="str">
        <f aca="false">IF(AND($D350="E",E350&lt;&gt;"",F350&lt;&gt;""),E350*F350,"-")</f>
        <v>-</v>
      </c>
      <c r="H350" s="11" t="str">
        <f aca="false">IF($D350="S",IF(AND(B350&lt;&gt;"",E350&lt;&gt;""),E350*IFERROR(VLOOKUP(B350,'Saldo Atual'!$A:$K,11,0),0),"-"),"-")</f>
        <v>-</v>
      </c>
      <c r="I350" s="19"/>
      <c r="J350" s="9"/>
      <c r="K350" s="9"/>
    </row>
    <row r="351" customFormat="false" ht="18" hidden="false" customHeight="true" outlineLevel="0" collapsed="false">
      <c r="A351" s="14"/>
      <c r="B351" s="15"/>
      <c r="C351" s="16" t="str">
        <f aca="false">IFERROR(VLOOKUP(B351,Cadastro!$A$5:$B$54,2,0),"")</f>
        <v/>
      </c>
      <c r="D351" s="15"/>
      <c r="E351" s="17"/>
      <c r="F351" s="7"/>
      <c r="G351" s="7" t="str">
        <f aca="false">IF(AND($D351="E",E351&lt;&gt;"",F351&lt;&gt;""),E351*F351,"-")</f>
        <v>-</v>
      </c>
      <c r="H351" s="7" t="str">
        <f aca="false">IF($D351="S",IF(AND(B351&lt;&gt;"",E351&lt;&gt;""),E351*IFERROR(VLOOKUP(B351,'Saldo Atual'!$A:$K,11,0),0),"-"),"-")</f>
        <v>-</v>
      </c>
      <c r="I351" s="15"/>
      <c r="J351" s="5"/>
      <c r="K351" s="5"/>
    </row>
    <row r="352" customFormat="false" ht="18" hidden="false" customHeight="true" outlineLevel="0" collapsed="false">
      <c r="A352" s="18"/>
      <c r="B352" s="19"/>
      <c r="C352" s="20" t="str">
        <f aca="false">IFERROR(VLOOKUP(B352,Cadastro!$A$5:$B$54,2,0),"")</f>
        <v/>
      </c>
      <c r="D352" s="19"/>
      <c r="E352" s="21"/>
      <c r="F352" s="11"/>
      <c r="G352" s="11" t="str">
        <f aca="false">IF(AND($D352="E",E352&lt;&gt;"",F352&lt;&gt;""),E352*F352,"-")</f>
        <v>-</v>
      </c>
      <c r="H352" s="11" t="str">
        <f aca="false">IF($D352="S",IF(AND(B352&lt;&gt;"",E352&lt;&gt;""),E352*IFERROR(VLOOKUP(B352,'Saldo Atual'!$A:$K,11,0),0),"-"),"-")</f>
        <v>-</v>
      </c>
      <c r="I352" s="19"/>
      <c r="J352" s="9"/>
      <c r="K352" s="9"/>
    </row>
    <row r="353" customFormat="false" ht="18" hidden="false" customHeight="true" outlineLevel="0" collapsed="false">
      <c r="A353" s="14"/>
      <c r="B353" s="15"/>
      <c r="C353" s="16" t="str">
        <f aca="false">IFERROR(VLOOKUP(B353,Cadastro!$A$5:$B$54,2,0),"")</f>
        <v/>
      </c>
      <c r="D353" s="15"/>
      <c r="E353" s="17"/>
      <c r="F353" s="7"/>
      <c r="G353" s="7" t="str">
        <f aca="false">IF(AND($D353="E",E353&lt;&gt;"",F353&lt;&gt;""),E353*F353,"-")</f>
        <v>-</v>
      </c>
      <c r="H353" s="7" t="str">
        <f aca="false">IF($D353="S",IF(AND(B353&lt;&gt;"",E353&lt;&gt;""),E353*IFERROR(VLOOKUP(B353,'Saldo Atual'!$A:$K,11,0),0),"-"),"-")</f>
        <v>-</v>
      </c>
      <c r="I353" s="15"/>
      <c r="J353" s="5"/>
      <c r="K353" s="5"/>
    </row>
    <row r="354" customFormat="false" ht="18" hidden="false" customHeight="true" outlineLevel="0" collapsed="false">
      <c r="A354" s="18"/>
      <c r="B354" s="19"/>
      <c r="C354" s="20" t="str">
        <f aca="false">IFERROR(VLOOKUP(B354,Cadastro!$A$5:$B$54,2,0),"")</f>
        <v/>
      </c>
      <c r="D354" s="19"/>
      <c r="E354" s="21"/>
      <c r="F354" s="11"/>
      <c r="G354" s="11" t="str">
        <f aca="false">IF(AND($D354="E",E354&lt;&gt;"",F354&lt;&gt;""),E354*F354,"-")</f>
        <v>-</v>
      </c>
      <c r="H354" s="11" t="str">
        <f aca="false">IF($D354="S",IF(AND(B354&lt;&gt;"",E354&lt;&gt;""),E354*IFERROR(VLOOKUP(B354,'Saldo Atual'!$A:$K,11,0),0),"-"),"-")</f>
        <v>-</v>
      </c>
      <c r="I354" s="19"/>
      <c r="J354" s="9"/>
      <c r="K354" s="9"/>
    </row>
    <row r="355" customFormat="false" ht="18" hidden="false" customHeight="true" outlineLevel="0" collapsed="false">
      <c r="A355" s="14"/>
      <c r="B355" s="15"/>
      <c r="C355" s="16" t="str">
        <f aca="false">IFERROR(VLOOKUP(B355,Cadastro!$A$5:$B$54,2,0),"")</f>
        <v/>
      </c>
      <c r="D355" s="15"/>
      <c r="E355" s="17"/>
      <c r="F355" s="7"/>
      <c r="G355" s="7" t="str">
        <f aca="false">IF(AND($D355="E",E355&lt;&gt;"",F355&lt;&gt;""),E355*F355,"-")</f>
        <v>-</v>
      </c>
      <c r="H355" s="7" t="str">
        <f aca="false">IF($D355="S",IF(AND(B355&lt;&gt;"",E355&lt;&gt;""),E355*IFERROR(VLOOKUP(B355,'Saldo Atual'!$A:$K,11,0),0),"-"),"-")</f>
        <v>-</v>
      </c>
      <c r="I355" s="15"/>
      <c r="J355" s="5"/>
      <c r="K355" s="5"/>
    </row>
    <row r="356" customFormat="false" ht="18" hidden="false" customHeight="true" outlineLevel="0" collapsed="false">
      <c r="A356" s="18"/>
      <c r="B356" s="19"/>
      <c r="C356" s="20" t="str">
        <f aca="false">IFERROR(VLOOKUP(B356,Cadastro!$A$5:$B$54,2,0),"")</f>
        <v/>
      </c>
      <c r="D356" s="19"/>
      <c r="E356" s="21"/>
      <c r="F356" s="11"/>
      <c r="G356" s="11" t="str">
        <f aca="false">IF(AND($D356="E",E356&lt;&gt;"",F356&lt;&gt;""),E356*F356,"-")</f>
        <v>-</v>
      </c>
      <c r="H356" s="11" t="str">
        <f aca="false">IF($D356="S",IF(AND(B356&lt;&gt;"",E356&lt;&gt;""),E356*IFERROR(VLOOKUP(B356,'Saldo Atual'!$A:$K,11,0),0),"-"),"-")</f>
        <v>-</v>
      </c>
      <c r="I356" s="19"/>
      <c r="J356" s="9"/>
      <c r="K356" s="9"/>
    </row>
    <row r="357" customFormat="false" ht="18" hidden="false" customHeight="true" outlineLevel="0" collapsed="false">
      <c r="A357" s="14"/>
      <c r="B357" s="15"/>
      <c r="C357" s="16" t="str">
        <f aca="false">IFERROR(VLOOKUP(B357,Cadastro!$A$5:$B$54,2,0),"")</f>
        <v/>
      </c>
      <c r="D357" s="15"/>
      <c r="E357" s="17"/>
      <c r="F357" s="7"/>
      <c r="G357" s="7" t="str">
        <f aca="false">IF(AND($D357="E",E357&lt;&gt;"",F357&lt;&gt;""),E357*F357,"-")</f>
        <v>-</v>
      </c>
      <c r="H357" s="7" t="str">
        <f aca="false">IF($D357="S",IF(AND(B357&lt;&gt;"",E357&lt;&gt;""),E357*IFERROR(VLOOKUP(B357,'Saldo Atual'!$A:$K,11,0),0),"-"),"-")</f>
        <v>-</v>
      </c>
      <c r="I357" s="15"/>
      <c r="J357" s="5"/>
      <c r="K357" s="5"/>
    </row>
    <row r="358" customFormat="false" ht="18" hidden="false" customHeight="true" outlineLevel="0" collapsed="false">
      <c r="A358" s="18"/>
      <c r="B358" s="19"/>
      <c r="C358" s="20" t="str">
        <f aca="false">IFERROR(VLOOKUP(B358,Cadastro!$A$5:$B$54,2,0),"")</f>
        <v/>
      </c>
      <c r="D358" s="19"/>
      <c r="E358" s="21"/>
      <c r="F358" s="11"/>
      <c r="G358" s="11" t="str">
        <f aca="false">IF(AND($D358="E",E358&lt;&gt;"",F358&lt;&gt;""),E358*F358,"-")</f>
        <v>-</v>
      </c>
      <c r="H358" s="11" t="str">
        <f aca="false">IF($D358="S",IF(AND(B358&lt;&gt;"",E358&lt;&gt;""),E358*IFERROR(VLOOKUP(B358,'Saldo Atual'!$A:$K,11,0),0),"-"),"-")</f>
        <v>-</v>
      </c>
      <c r="I358" s="19"/>
      <c r="J358" s="9"/>
      <c r="K358" s="9"/>
    </row>
    <row r="359" customFormat="false" ht="18" hidden="false" customHeight="true" outlineLevel="0" collapsed="false">
      <c r="A359" s="14"/>
      <c r="B359" s="15"/>
      <c r="C359" s="16" t="str">
        <f aca="false">IFERROR(VLOOKUP(B359,Cadastro!$A$5:$B$54,2,0),"")</f>
        <v/>
      </c>
      <c r="D359" s="15"/>
      <c r="E359" s="17"/>
      <c r="F359" s="7"/>
      <c r="G359" s="7" t="str">
        <f aca="false">IF(AND($D359="E",E359&lt;&gt;"",F359&lt;&gt;""),E359*F359,"-")</f>
        <v>-</v>
      </c>
      <c r="H359" s="7" t="str">
        <f aca="false">IF($D359="S",IF(AND(B359&lt;&gt;"",E359&lt;&gt;""),E359*IFERROR(VLOOKUP(B359,'Saldo Atual'!$A:$K,11,0),0),"-"),"-")</f>
        <v>-</v>
      </c>
      <c r="I359" s="15"/>
      <c r="J359" s="5"/>
      <c r="K359" s="5"/>
    </row>
    <row r="360" customFormat="false" ht="18" hidden="false" customHeight="true" outlineLevel="0" collapsed="false">
      <c r="A360" s="18"/>
      <c r="B360" s="19"/>
      <c r="C360" s="20" t="str">
        <f aca="false">IFERROR(VLOOKUP(B360,Cadastro!$A$5:$B$54,2,0),"")</f>
        <v/>
      </c>
      <c r="D360" s="19"/>
      <c r="E360" s="21"/>
      <c r="F360" s="11"/>
      <c r="G360" s="11" t="str">
        <f aca="false">IF(AND($D360="E",E360&lt;&gt;"",F360&lt;&gt;""),E360*F360,"-")</f>
        <v>-</v>
      </c>
      <c r="H360" s="11" t="str">
        <f aca="false">IF($D360="S",IF(AND(B360&lt;&gt;"",E360&lt;&gt;""),E360*IFERROR(VLOOKUP(B360,'Saldo Atual'!$A:$K,11,0),0),"-"),"-")</f>
        <v>-</v>
      </c>
      <c r="I360" s="19"/>
      <c r="J360" s="9"/>
      <c r="K360" s="9"/>
    </row>
    <row r="361" customFormat="false" ht="18" hidden="false" customHeight="true" outlineLevel="0" collapsed="false">
      <c r="A361" s="14"/>
      <c r="B361" s="15"/>
      <c r="C361" s="16" t="str">
        <f aca="false">IFERROR(VLOOKUP(B361,Cadastro!$A$5:$B$54,2,0),"")</f>
        <v/>
      </c>
      <c r="D361" s="15"/>
      <c r="E361" s="17"/>
      <c r="F361" s="7"/>
      <c r="G361" s="7" t="str">
        <f aca="false">IF(AND($D361="E",E361&lt;&gt;"",F361&lt;&gt;""),E361*F361,"-")</f>
        <v>-</v>
      </c>
      <c r="H361" s="7" t="str">
        <f aca="false">IF($D361="S",IF(AND(B361&lt;&gt;"",E361&lt;&gt;""),E361*IFERROR(VLOOKUP(B361,'Saldo Atual'!$A:$K,11,0),0),"-"),"-")</f>
        <v>-</v>
      </c>
      <c r="I361" s="15"/>
      <c r="J361" s="5"/>
      <c r="K361" s="5"/>
    </row>
    <row r="362" customFormat="false" ht="18" hidden="false" customHeight="true" outlineLevel="0" collapsed="false">
      <c r="A362" s="18"/>
      <c r="B362" s="19"/>
      <c r="C362" s="20" t="str">
        <f aca="false">IFERROR(VLOOKUP(B362,Cadastro!$A$5:$B$54,2,0),"")</f>
        <v/>
      </c>
      <c r="D362" s="19"/>
      <c r="E362" s="21"/>
      <c r="F362" s="11"/>
      <c r="G362" s="11" t="str">
        <f aca="false">IF(AND($D362="E",E362&lt;&gt;"",F362&lt;&gt;""),E362*F362,"-")</f>
        <v>-</v>
      </c>
      <c r="H362" s="11" t="str">
        <f aca="false">IF($D362="S",IF(AND(B362&lt;&gt;"",E362&lt;&gt;""),E362*IFERROR(VLOOKUP(B362,'Saldo Atual'!$A:$K,11,0),0),"-"),"-")</f>
        <v>-</v>
      </c>
      <c r="I362" s="19"/>
      <c r="J362" s="9"/>
      <c r="K362" s="9"/>
    </row>
    <row r="363" customFormat="false" ht="18" hidden="false" customHeight="true" outlineLevel="0" collapsed="false">
      <c r="A363" s="14"/>
      <c r="B363" s="15"/>
      <c r="C363" s="16" t="str">
        <f aca="false">IFERROR(VLOOKUP(B363,Cadastro!$A$5:$B$54,2,0),"")</f>
        <v/>
      </c>
      <c r="D363" s="15"/>
      <c r="E363" s="17"/>
      <c r="F363" s="7"/>
      <c r="G363" s="7" t="str">
        <f aca="false">IF(AND($D363="E",E363&lt;&gt;"",F363&lt;&gt;""),E363*F363,"-")</f>
        <v>-</v>
      </c>
      <c r="H363" s="7" t="str">
        <f aca="false">IF($D363="S",IF(AND(B363&lt;&gt;"",E363&lt;&gt;""),E363*IFERROR(VLOOKUP(B363,'Saldo Atual'!$A:$K,11,0),0),"-"),"-")</f>
        <v>-</v>
      </c>
      <c r="I363" s="15"/>
      <c r="J363" s="5"/>
      <c r="K363" s="5"/>
    </row>
    <row r="364" customFormat="false" ht="18" hidden="false" customHeight="true" outlineLevel="0" collapsed="false">
      <c r="A364" s="18"/>
      <c r="B364" s="19"/>
      <c r="C364" s="20" t="str">
        <f aca="false">IFERROR(VLOOKUP(B364,Cadastro!$A$5:$B$54,2,0),"")</f>
        <v/>
      </c>
      <c r="D364" s="19"/>
      <c r="E364" s="21"/>
      <c r="F364" s="11"/>
      <c r="G364" s="11" t="str">
        <f aca="false">IF(AND($D364="E",E364&lt;&gt;"",F364&lt;&gt;""),E364*F364,"-")</f>
        <v>-</v>
      </c>
      <c r="H364" s="11" t="str">
        <f aca="false">IF($D364="S",IF(AND(B364&lt;&gt;"",E364&lt;&gt;""),E364*IFERROR(VLOOKUP(B364,'Saldo Atual'!$A:$K,11,0),0),"-"),"-")</f>
        <v>-</v>
      </c>
      <c r="I364" s="19"/>
      <c r="J364" s="9"/>
      <c r="K364" s="9"/>
    </row>
    <row r="365" customFormat="false" ht="18" hidden="false" customHeight="true" outlineLevel="0" collapsed="false">
      <c r="A365" s="14"/>
      <c r="B365" s="15"/>
      <c r="C365" s="16" t="str">
        <f aca="false">IFERROR(VLOOKUP(B365,Cadastro!$A$5:$B$54,2,0),"")</f>
        <v/>
      </c>
      <c r="D365" s="15"/>
      <c r="E365" s="17"/>
      <c r="F365" s="7"/>
      <c r="G365" s="7" t="str">
        <f aca="false">IF(AND($D365="E",E365&lt;&gt;"",F365&lt;&gt;""),E365*F365,"-")</f>
        <v>-</v>
      </c>
      <c r="H365" s="7" t="str">
        <f aca="false">IF($D365="S",IF(AND(B365&lt;&gt;"",E365&lt;&gt;""),E365*IFERROR(VLOOKUP(B365,'Saldo Atual'!$A:$K,11,0),0),"-"),"-")</f>
        <v>-</v>
      </c>
      <c r="I365" s="15"/>
      <c r="J365" s="5"/>
      <c r="K365" s="5"/>
    </row>
    <row r="366" customFormat="false" ht="18" hidden="false" customHeight="true" outlineLevel="0" collapsed="false">
      <c r="A366" s="18"/>
      <c r="B366" s="19"/>
      <c r="C366" s="20" t="str">
        <f aca="false">IFERROR(VLOOKUP(B366,Cadastro!$A$5:$B$54,2,0),"")</f>
        <v/>
      </c>
      <c r="D366" s="19"/>
      <c r="E366" s="21"/>
      <c r="F366" s="11"/>
      <c r="G366" s="11" t="str">
        <f aca="false">IF(AND($D366="E",E366&lt;&gt;"",F366&lt;&gt;""),E366*F366,"-")</f>
        <v>-</v>
      </c>
      <c r="H366" s="11" t="str">
        <f aca="false">IF($D366="S",IF(AND(B366&lt;&gt;"",E366&lt;&gt;""),E366*IFERROR(VLOOKUP(B366,'Saldo Atual'!$A:$K,11,0),0),"-"),"-")</f>
        <v>-</v>
      </c>
      <c r="I366" s="19"/>
      <c r="J366" s="9"/>
      <c r="K366" s="9"/>
    </row>
    <row r="367" customFormat="false" ht="18" hidden="false" customHeight="true" outlineLevel="0" collapsed="false">
      <c r="A367" s="14"/>
      <c r="B367" s="15"/>
      <c r="C367" s="16" t="str">
        <f aca="false">IFERROR(VLOOKUP(B367,Cadastro!$A$5:$B$54,2,0),"")</f>
        <v/>
      </c>
      <c r="D367" s="15"/>
      <c r="E367" s="17"/>
      <c r="F367" s="7"/>
      <c r="G367" s="7" t="str">
        <f aca="false">IF(AND($D367="E",E367&lt;&gt;"",F367&lt;&gt;""),E367*F367,"-")</f>
        <v>-</v>
      </c>
      <c r="H367" s="7" t="str">
        <f aca="false">IF($D367="S",IF(AND(B367&lt;&gt;"",E367&lt;&gt;""),E367*IFERROR(VLOOKUP(B367,'Saldo Atual'!$A:$K,11,0),0),"-"),"-")</f>
        <v>-</v>
      </c>
      <c r="I367" s="15"/>
      <c r="J367" s="5"/>
      <c r="K367" s="5"/>
    </row>
    <row r="368" customFormat="false" ht="18" hidden="false" customHeight="true" outlineLevel="0" collapsed="false">
      <c r="A368" s="18"/>
      <c r="B368" s="19"/>
      <c r="C368" s="20" t="str">
        <f aca="false">IFERROR(VLOOKUP(B368,Cadastro!$A$5:$B$54,2,0),"")</f>
        <v/>
      </c>
      <c r="D368" s="19"/>
      <c r="E368" s="21"/>
      <c r="F368" s="11"/>
      <c r="G368" s="11" t="str">
        <f aca="false">IF(AND($D368="E",E368&lt;&gt;"",F368&lt;&gt;""),E368*F368,"-")</f>
        <v>-</v>
      </c>
      <c r="H368" s="11" t="str">
        <f aca="false">IF($D368="S",IF(AND(B368&lt;&gt;"",E368&lt;&gt;""),E368*IFERROR(VLOOKUP(B368,'Saldo Atual'!$A:$K,11,0),0),"-"),"-")</f>
        <v>-</v>
      </c>
      <c r="I368" s="19"/>
      <c r="J368" s="9"/>
      <c r="K368" s="9"/>
    </row>
    <row r="369" customFormat="false" ht="18" hidden="false" customHeight="true" outlineLevel="0" collapsed="false">
      <c r="A369" s="14"/>
      <c r="B369" s="15"/>
      <c r="C369" s="16" t="str">
        <f aca="false">IFERROR(VLOOKUP(B369,Cadastro!$A$5:$B$54,2,0),"")</f>
        <v/>
      </c>
      <c r="D369" s="15"/>
      <c r="E369" s="17"/>
      <c r="F369" s="7"/>
      <c r="G369" s="7" t="str">
        <f aca="false">IF(AND($D369="E",E369&lt;&gt;"",F369&lt;&gt;""),E369*F369,"-")</f>
        <v>-</v>
      </c>
      <c r="H369" s="7" t="str">
        <f aca="false">IF($D369="S",IF(AND(B369&lt;&gt;"",E369&lt;&gt;""),E369*IFERROR(VLOOKUP(B369,'Saldo Atual'!$A:$K,11,0),0),"-"),"-")</f>
        <v>-</v>
      </c>
      <c r="I369" s="15"/>
      <c r="J369" s="5"/>
      <c r="K369" s="5"/>
    </row>
    <row r="370" customFormat="false" ht="18" hidden="false" customHeight="true" outlineLevel="0" collapsed="false">
      <c r="A370" s="18"/>
      <c r="B370" s="19"/>
      <c r="C370" s="20" t="str">
        <f aca="false">IFERROR(VLOOKUP(B370,Cadastro!$A$5:$B$54,2,0),"")</f>
        <v/>
      </c>
      <c r="D370" s="19"/>
      <c r="E370" s="21"/>
      <c r="F370" s="11"/>
      <c r="G370" s="11" t="str">
        <f aca="false">IF(AND($D370="E",E370&lt;&gt;"",F370&lt;&gt;""),E370*F370,"-")</f>
        <v>-</v>
      </c>
      <c r="H370" s="11" t="str">
        <f aca="false">IF($D370="S",IF(AND(B370&lt;&gt;"",E370&lt;&gt;""),E370*IFERROR(VLOOKUP(B370,'Saldo Atual'!$A:$K,11,0),0),"-"),"-")</f>
        <v>-</v>
      </c>
      <c r="I370" s="19"/>
      <c r="J370" s="9"/>
      <c r="K370" s="9"/>
    </row>
    <row r="371" customFormat="false" ht="18" hidden="false" customHeight="true" outlineLevel="0" collapsed="false">
      <c r="A371" s="14"/>
      <c r="B371" s="15"/>
      <c r="C371" s="16" t="str">
        <f aca="false">IFERROR(VLOOKUP(B371,Cadastro!$A$5:$B$54,2,0),"")</f>
        <v/>
      </c>
      <c r="D371" s="15"/>
      <c r="E371" s="17"/>
      <c r="F371" s="7"/>
      <c r="G371" s="7" t="str">
        <f aca="false">IF(AND($D371="E",E371&lt;&gt;"",F371&lt;&gt;""),E371*F371,"-")</f>
        <v>-</v>
      </c>
      <c r="H371" s="7" t="str">
        <f aca="false">IF($D371="S",IF(AND(B371&lt;&gt;"",E371&lt;&gt;""),E371*IFERROR(VLOOKUP(B371,'Saldo Atual'!$A:$K,11,0),0),"-"),"-")</f>
        <v>-</v>
      </c>
      <c r="I371" s="15"/>
      <c r="J371" s="5"/>
      <c r="K371" s="5"/>
    </row>
    <row r="372" customFormat="false" ht="18" hidden="false" customHeight="true" outlineLevel="0" collapsed="false">
      <c r="A372" s="18"/>
      <c r="B372" s="19"/>
      <c r="C372" s="20" t="str">
        <f aca="false">IFERROR(VLOOKUP(B372,Cadastro!$A$5:$B$54,2,0),"")</f>
        <v/>
      </c>
      <c r="D372" s="19"/>
      <c r="E372" s="21"/>
      <c r="F372" s="11"/>
      <c r="G372" s="11" t="str">
        <f aca="false">IF(AND($D372="E",E372&lt;&gt;"",F372&lt;&gt;""),E372*F372,"-")</f>
        <v>-</v>
      </c>
      <c r="H372" s="11" t="str">
        <f aca="false">IF($D372="S",IF(AND(B372&lt;&gt;"",E372&lt;&gt;""),E372*IFERROR(VLOOKUP(B372,'Saldo Atual'!$A:$K,11,0),0),"-"),"-")</f>
        <v>-</v>
      </c>
      <c r="I372" s="19"/>
      <c r="J372" s="9"/>
      <c r="K372" s="9"/>
    </row>
    <row r="373" customFormat="false" ht="18" hidden="false" customHeight="true" outlineLevel="0" collapsed="false">
      <c r="A373" s="14"/>
      <c r="B373" s="15"/>
      <c r="C373" s="16" t="str">
        <f aca="false">IFERROR(VLOOKUP(B373,Cadastro!$A$5:$B$54,2,0),"")</f>
        <v/>
      </c>
      <c r="D373" s="15"/>
      <c r="E373" s="17"/>
      <c r="F373" s="7"/>
      <c r="G373" s="7" t="str">
        <f aca="false">IF(AND($D373="E",E373&lt;&gt;"",F373&lt;&gt;""),E373*F373,"-")</f>
        <v>-</v>
      </c>
      <c r="H373" s="7" t="str">
        <f aca="false">IF($D373="S",IF(AND(B373&lt;&gt;"",E373&lt;&gt;""),E373*IFERROR(VLOOKUP(B373,'Saldo Atual'!$A:$K,11,0),0),"-"),"-")</f>
        <v>-</v>
      </c>
      <c r="I373" s="15"/>
      <c r="J373" s="5"/>
      <c r="K373" s="5"/>
    </row>
    <row r="374" customFormat="false" ht="18" hidden="false" customHeight="true" outlineLevel="0" collapsed="false">
      <c r="A374" s="18"/>
      <c r="B374" s="19"/>
      <c r="C374" s="20" t="str">
        <f aca="false">IFERROR(VLOOKUP(B374,Cadastro!$A$5:$B$54,2,0),"")</f>
        <v/>
      </c>
      <c r="D374" s="19"/>
      <c r="E374" s="21"/>
      <c r="F374" s="11"/>
      <c r="G374" s="11" t="str">
        <f aca="false">IF(AND($D374="E",E374&lt;&gt;"",F374&lt;&gt;""),E374*F374,"-")</f>
        <v>-</v>
      </c>
      <c r="H374" s="11" t="str">
        <f aca="false">IF($D374="S",IF(AND(B374&lt;&gt;"",E374&lt;&gt;""),E374*IFERROR(VLOOKUP(B374,'Saldo Atual'!$A:$K,11,0),0),"-"),"-")</f>
        <v>-</v>
      </c>
      <c r="I374" s="19"/>
      <c r="J374" s="9"/>
      <c r="K374" s="9"/>
    </row>
    <row r="375" customFormat="false" ht="18" hidden="false" customHeight="true" outlineLevel="0" collapsed="false">
      <c r="A375" s="14"/>
      <c r="B375" s="15"/>
      <c r="C375" s="16" t="str">
        <f aca="false">IFERROR(VLOOKUP(B375,Cadastro!$A$5:$B$54,2,0),"")</f>
        <v/>
      </c>
      <c r="D375" s="15"/>
      <c r="E375" s="17"/>
      <c r="F375" s="7"/>
      <c r="G375" s="7" t="str">
        <f aca="false">IF(AND($D375="E",E375&lt;&gt;"",F375&lt;&gt;""),E375*F375,"-")</f>
        <v>-</v>
      </c>
      <c r="H375" s="7" t="str">
        <f aca="false">IF($D375="S",IF(AND(B375&lt;&gt;"",E375&lt;&gt;""),E375*IFERROR(VLOOKUP(B375,'Saldo Atual'!$A:$K,11,0),0),"-"),"-")</f>
        <v>-</v>
      </c>
      <c r="I375" s="15"/>
      <c r="J375" s="5"/>
      <c r="K375" s="5"/>
    </row>
    <row r="376" customFormat="false" ht="18" hidden="false" customHeight="true" outlineLevel="0" collapsed="false">
      <c r="A376" s="18"/>
      <c r="B376" s="19"/>
      <c r="C376" s="20" t="str">
        <f aca="false">IFERROR(VLOOKUP(B376,Cadastro!$A$5:$B$54,2,0),"")</f>
        <v/>
      </c>
      <c r="D376" s="19"/>
      <c r="E376" s="21"/>
      <c r="F376" s="11"/>
      <c r="G376" s="11" t="str">
        <f aca="false">IF(AND($D376="E",E376&lt;&gt;"",F376&lt;&gt;""),E376*F376,"-")</f>
        <v>-</v>
      </c>
      <c r="H376" s="11" t="str">
        <f aca="false">IF($D376="S",IF(AND(B376&lt;&gt;"",E376&lt;&gt;""),E376*IFERROR(VLOOKUP(B376,'Saldo Atual'!$A:$K,11,0),0),"-"),"-")</f>
        <v>-</v>
      </c>
      <c r="I376" s="19"/>
      <c r="J376" s="9"/>
      <c r="K376" s="9"/>
    </row>
    <row r="377" customFormat="false" ht="18" hidden="false" customHeight="true" outlineLevel="0" collapsed="false">
      <c r="A377" s="14"/>
      <c r="B377" s="15"/>
      <c r="C377" s="16" t="str">
        <f aca="false">IFERROR(VLOOKUP(B377,Cadastro!$A$5:$B$54,2,0),"")</f>
        <v/>
      </c>
      <c r="D377" s="15"/>
      <c r="E377" s="17"/>
      <c r="F377" s="7"/>
      <c r="G377" s="7" t="str">
        <f aca="false">IF(AND($D377="E",E377&lt;&gt;"",F377&lt;&gt;""),E377*F377,"-")</f>
        <v>-</v>
      </c>
      <c r="H377" s="7" t="str">
        <f aca="false">IF($D377="S",IF(AND(B377&lt;&gt;"",E377&lt;&gt;""),E377*IFERROR(VLOOKUP(B377,'Saldo Atual'!$A:$K,11,0),0),"-"),"-")</f>
        <v>-</v>
      </c>
      <c r="I377" s="15"/>
      <c r="J377" s="5"/>
      <c r="K377" s="5"/>
    </row>
    <row r="378" customFormat="false" ht="18" hidden="false" customHeight="true" outlineLevel="0" collapsed="false">
      <c r="A378" s="18"/>
      <c r="B378" s="19"/>
      <c r="C378" s="20" t="str">
        <f aca="false">IFERROR(VLOOKUP(B378,Cadastro!$A$5:$B$54,2,0),"")</f>
        <v/>
      </c>
      <c r="D378" s="19"/>
      <c r="E378" s="21"/>
      <c r="F378" s="11"/>
      <c r="G378" s="11" t="str">
        <f aca="false">IF(AND($D378="E",E378&lt;&gt;"",F378&lt;&gt;""),E378*F378,"-")</f>
        <v>-</v>
      </c>
      <c r="H378" s="11" t="str">
        <f aca="false">IF($D378="S",IF(AND(B378&lt;&gt;"",E378&lt;&gt;""),E378*IFERROR(VLOOKUP(B378,'Saldo Atual'!$A:$K,11,0),0),"-"),"-")</f>
        <v>-</v>
      </c>
      <c r="I378" s="19"/>
      <c r="J378" s="9"/>
      <c r="K378" s="9"/>
    </row>
    <row r="379" customFormat="false" ht="18" hidden="false" customHeight="true" outlineLevel="0" collapsed="false">
      <c r="A379" s="14"/>
      <c r="B379" s="15"/>
      <c r="C379" s="16" t="str">
        <f aca="false">IFERROR(VLOOKUP(B379,Cadastro!$A$5:$B$54,2,0),"")</f>
        <v/>
      </c>
      <c r="D379" s="15"/>
      <c r="E379" s="17"/>
      <c r="F379" s="7"/>
      <c r="G379" s="7" t="str">
        <f aca="false">IF(AND($D379="E",E379&lt;&gt;"",F379&lt;&gt;""),E379*F379,"-")</f>
        <v>-</v>
      </c>
      <c r="H379" s="7" t="str">
        <f aca="false">IF($D379="S",IF(AND(B379&lt;&gt;"",E379&lt;&gt;""),E379*IFERROR(VLOOKUP(B379,'Saldo Atual'!$A:$K,11,0),0),"-"),"-")</f>
        <v>-</v>
      </c>
      <c r="I379" s="15"/>
      <c r="J379" s="5"/>
      <c r="K379" s="5"/>
    </row>
    <row r="380" customFormat="false" ht="18" hidden="false" customHeight="true" outlineLevel="0" collapsed="false">
      <c r="A380" s="18"/>
      <c r="B380" s="19"/>
      <c r="C380" s="20" t="str">
        <f aca="false">IFERROR(VLOOKUP(B380,Cadastro!$A$5:$B$54,2,0),"")</f>
        <v/>
      </c>
      <c r="D380" s="19"/>
      <c r="E380" s="21"/>
      <c r="F380" s="11"/>
      <c r="G380" s="11" t="str">
        <f aca="false">IF(AND($D380="E",E380&lt;&gt;"",F380&lt;&gt;""),E380*F380,"-")</f>
        <v>-</v>
      </c>
      <c r="H380" s="11" t="str">
        <f aca="false">IF($D380="S",IF(AND(B380&lt;&gt;"",E380&lt;&gt;""),E380*IFERROR(VLOOKUP(B380,'Saldo Atual'!$A:$K,11,0),0),"-"),"-")</f>
        <v>-</v>
      </c>
      <c r="I380" s="19"/>
      <c r="J380" s="9"/>
      <c r="K380" s="9"/>
    </row>
    <row r="381" customFormat="false" ht="18" hidden="false" customHeight="true" outlineLevel="0" collapsed="false">
      <c r="A381" s="14"/>
      <c r="B381" s="15"/>
      <c r="C381" s="16" t="str">
        <f aca="false">IFERROR(VLOOKUP(B381,Cadastro!$A$5:$B$54,2,0),"")</f>
        <v/>
      </c>
      <c r="D381" s="15"/>
      <c r="E381" s="17"/>
      <c r="F381" s="7"/>
      <c r="G381" s="7" t="str">
        <f aca="false">IF(AND($D381="E",E381&lt;&gt;"",F381&lt;&gt;""),E381*F381,"-")</f>
        <v>-</v>
      </c>
      <c r="H381" s="7" t="str">
        <f aca="false">IF($D381="S",IF(AND(B381&lt;&gt;"",E381&lt;&gt;""),E381*IFERROR(VLOOKUP(B381,'Saldo Atual'!$A:$K,11,0),0),"-"),"-")</f>
        <v>-</v>
      </c>
      <c r="I381" s="15"/>
      <c r="J381" s="5"/>
      <c r="K381" s="5"/>
    </row>
    <row r="382" customFormat="false" ht="18" hidden="false" customHeight="true" outlineLevel="0" collapsed="false">
      <c r="A382" s="18"/>
      <c r="B382" s="19"/>
      <c r="C382" s="20" t="str">
        <f aca="false">IFERROR(VLOOKUP(B382,Cadastro!$A$5:$B$54,2,0),"")</f>
        <v/>
      </c>
      <c r="D382" s="19"/>
      <c r="E382" s="21"/>
      <c r="F382" s="11"/>
      <c r="G382" s="11" t="str">
        <f aca="false">IF(AND($D382="E",E382&lt;&gt;"",F382&lt;&gt;""),E382*F382,"-")</f>
        <v>-</v>
      </c>
      <c r="H382" s="11" t="str">
        <f aca="false">IF($D382="S",IF(AND(B382&lt;&gt;"",E382&lt;&gt;""),E382*IFERROR(VLOOKUP(B382,'Saldo Atual'!$A:$K,11,0),0),"-"),"-")</f>
        <v>-</v>
      </c>
      <c r="I382" s="19"/>
      <c r="J382" s="9"/>
      <c r="K382" s="9"/>
    </row>
    <row r="383" customFormat="false" ht="18" hidden="false" customHeight="true" outlineLevel="0" collapsed="false">
      <c r="A383" s="14"/>
      <c r="B383" s="15"/>
      <c r="C383" s="16" t="str">
        <f aca="false">IFERROR(VLOOKUP(B383,Cadastro!$A$5:$B$54,2,0),"")</f>
        <v/>
      </c>
      <c r="D383" s="15"/>
      <c r="E383" s="17"/>
      <c r="F383" s="7"/>
      <c r="G383" s="7" t="str">
        <f aca="false">IF(AND($D383="E",E383&lt;&gt;"",F383&lt;&gt;""),E383*F383,"-")</f>
        <v>-</v>
      </c>
      <c r="H383" s="7" t="str">
        <f aca="false">IF($D383="S",IF(AND(B383&lt;&gt;"",E383&lt;&gt;""),E383*IFERROR(VLOOKUP(B383,'Saldo Atual'!$A:$K,11,0),0),"-"),"-")</f>
        <v>-</v>
      </c>
      <c r="I383" s="15"/>
      <c r="J383" s="5"/>
      <c r="K383" s="5"/>
    </row>
    <row r="384" customFormat="false" ht="18" hidden="false" customHeight="true" outlineLevel="0" collapsed="false">
      <c r="A384" s="18"/>
      <c r="B384" s="19"/>
      <c r="C384" s="20" t="str">
        <f aca="false">IFERROR(VLOOKUP(B384,Cadastro!$A$5:$B$54,2,0),"")</f>
        <v/>
      </c>
      <c r="D384" s="19"/>
      <c r="E384" s="21"/>
      <c r="F384" s="11"/>
      <c r="G384" s="11" t="str">
        <f aca="false">IF(AND($D384="E",E384&lt;&gt;"",F384&lt;&gt;""),E384*F384,"-")</f>
        <v>-</v>
      </c>
      <c r="H384" s="11" t="str">
        <f aca="false">IF($D384="S",IF(AND(B384&lt;&gt;"",E384&lt;&gt;""),E384*IFERROR(VLOOKUP(B384,'Saldo Atual'!$A:$K,11,0),0),"-"),"-")</f>
        <v>-</v>
      </c>
      <c r="I384" s="19"/>
      <c r="J384" s="9"/>
      <c r="K384" s="9"/>
    </row>
    <row r="385" customFormat="false" ht="18" hidden="false" customHeight="true" outlineLevel="0" collapsed="false">
      <c r="A385" s="14"/>
      <c r="B385" s="15"/>
      <c r="C385" s="16" t="str">
        <f aca="false">IFERROR(VLOOKUP(B385,Cadastro!$A$5:$B$54,2,0),"")</f>
        <v/>
      </c>
      <c r="D385" s="15"/>
      <c r="E385" s="17"/>
      <c r="F385" s="7"/>
      <c r="G385" s="7" t="str">
        <f aca="false">IF(AND($D385="E",E385&lt;&gt;"",F385&lt;&gt;""),E385*F385,"-")</f>
        <v>-</v>
      </c>
      <c r="H385" s="7" t="str">
        <f aca="false">IF($D385="S",IF(AND(B385&lt;&gt;"",E385&lt;&gt;""),E385*IFERROR(VLOOKUP(B385,'Saldo Atual'!$A:$K,11,0),0),"-"),"-")</f>
        <v>-</v>
      </c>
      <c r="I385" s="15"/>
      <c r="J385" s="5"/>
      <c r="K385" s="5"/>
    </row>
    <row r="386" customFormat="false" ht="18" hidden="false" customHeight="true" outlineLevel="0" collapsed="false">
      <c r="A386" s="18"/>
      <c r="B386" s="19"/>
      <c r="C386" s="20" t="str">
        <f aca="false">IFERROR(VLOOKUP(B386,Cadastro!$A$5:$B$54,2,0),"")</f>
        <v/>
      </c>
      <c r="D386" s="19"/>
      <c r="E386" s="21"/>
      <c r="F386" s="11"/>
      <c r="G386" s="11" t="str">
        <f aca="false">IF(AND($D386="E",E386&lt;&gt;"",F386&lt;&gt;""),E386*F386,"-")</f>
        <v>-</v>
      </c>
      <c r="H386" s="11" t="str">
        <f aca="false">IF($D386="S",IF(AND(B386&lt;&gt;"",E386&lt;&gt;""),E386*IFERROR(VLOOKUP(B386,'Saldo Atual'!$A:$K,11,0),0),"-"),"-")</f>
        <v>-</v>
      </c>
      <c r="I386" s="19"/>
      <c r="J386" s="9"/>
      <c r="K386" s="9"/>
    </row>
    <row r="387" customFormat="false" ht="18" hidden="false" customHeight="true" outlineLevel="0" collapsed="false">
      <c r="A387" s="14"/>
      <c r="B387" s="15"/>
      <c r="C387" s="16" t="str">
        <f aca="false">IFERROR(VLOOKUP(B387,Cadastro!$A$5:$B$54,2,0),"")</f>
        <v/>
      </c>
      <c r="D387" s="15"/>
      <c r="E387" s="17"/>
      <c r="F387" s="7"/>
      <c r="G387" s="7" t="str">
        <f aca="false">IF(AND($D387="E",E387&lt;&gt;"",F387&lt;&gt;""),E387*F387,"-")</f>
        <v>-</v>
      </c>
      <c r="H387" s="7" t="str">
        <f aca="false">IF($D387="S",IF(AND(B387&lt;&gt;"",E387&lt;&gt;""),E387*IFERROR(VLOOKUP(B387,'Saldo Atual'!$A:$K,11,0),0),"-"),"-")</f>
        <v>-</v>
      </c>
      <c r="I387" s="15"/>
      <c r="J387" s="5"/>
      <c r="K387" s="5"/>
    </row>
    <row r="388" customFormat="false" ht="18" hidden="false" customHeight="true" outlineLevel="0" collapsed="false">
      <c r="A388" s="18"/>
      <c r="B388" s="19"/>
      <c r="C388" s="20" t="str">
        <f aca="false">IFERROR(VLOOKUP(B388,Cadastro!$A$5:$B$54,2,0),"")</f>
        <v/>
      </c>
      <c r="D388" s="19"/>
      <c r="E388" s="21"/>
      <c r="F388" s="11"/>
      <c r="G388" s="11" t="str">
        <f aca="false">IF(AND($D388="E",E388&lt;&gt;"",F388&lt;&gt;""),E388*F388,"-")</f>
        <v>-</v>
      </c>
      <c r="H388" s="11" t="str">
        <f aca="false">IF($D388="S",IF(AND(B388&lt;&gt;"",E388&lt;&gt;""),E388*IFERROR(VLOOKUP(B388,'Saldo Atual'!$A:$K,11,0),0),"-"),"-")</f>
        <v>-</v>
      </c>
      <c r="I388" s="19"/>
      <c r="J388" s="9"/>
      <c r="K388" s="9"/>
    </row>
    <row r="389" customFormat="false" ht="18" hidden="false" customHeight="true" outlineLevel="0" collapsed="false">
      <c r="A389" s="14"/>
      <c r="B389" s="15"/>
      <c r="C389" s="16" t="str">
        <f aca="false">IFERROR(VLOOKUP(B389,Cadastro!$A$5:$B$54,2,0),"")</f>
        <v/>
      </c>
      <c r="D389" s="15"/>
      <c r="E389" s="17"/>
      <c r="F389" s="7"/>
      <c r="G389" s="7" t="str">
        <f aca="false">IF(AND($D389="E",E389&lt;&gt;"",F389&lt;&gt;""),E389*F389,"-")</f>
        <v>-</v>
      </c>
      <c r="H389" s="7" t="str">
        <f aca="false">IF($D389="S",IF(AND(B389&lt;&gt;"",E389&lt;&gt;""),E389*IFERROR(VLOOKUP(B389,'Saldo Atual'!$A:$K,11,0),0),"-"),"-")</f>
        <v>-</v>
      </c>
      <c r="I389" s="15"/>
      <c r="J389" s="5"/>
      <c r="K389" s="5"/>
    </row>
    <row r="390" customFormat="false" ht="18" hidden="false" customHeight="true" outlineLevel="0" collapsed="false">
      <c r="A390" s="18"/>
      <c r="B390" s="19"/>
      <c r="C390" s="20" t="str">
        <f aca="false">IFERROR(VLOOKUP(B390,Cadastro!$A$5:$B$54,2,0),"")</f>
        <v/>
      </c>
      <c r="D390" s="19"/>
      <c r="E390" s="21"/>
      <c r="F390" s="11"/>
      <c r="G390" s="11" t="str">
        <f aca="false">IF(AND($D390="E",E390&lt;&gt;"",F390&lt;&gt;""),E390*F390,"-")</f>
        <v>-</v>
      </c>
      <c r="H390" s="11" t="str">
        <f aca="false">IF($D390="S",IF(AND(B390&lt;&gt;"",E390&lt;&gt;""),E390*IFERROR(VLOOKUP(B390,'Saldo Atual'!$A:$K,11,0),0),"-"),"-")</f>
        <v>-</v>
      </c>
      <c r="I390" s="19"/>
      <c r="J390" s="9"/>
      <c r="K390" s="9"/>
    </row>
    <row r="391" customFormat="false" ht="18" hidden="false" customHeight="true" outlineLevel="0" collapsed="false">
      <c r="A391" s="14"/>
      <c r="B391" s="15"/>
      <c r="C391" s="16" t="str">
        <f aca="false">IFERROR(VLOOKUP(B391,Cadastro!$A$5:$B$54,2,0),"")</f>
        <v/>
      </c>
      <c r="D391" s="15"/>
      <c r="E391" s="17"/>
      <c r="F391" s="7"/>
      <c r="G391" s="7" t="str">
        <f aca="false">IF(AND($D391="E",E391&lt;&gt;"",F391&lt;&gt;""),E391*F391,"-")</f>
        <v>-</v>
      </c>
      <c r="H391" s="7" t="str">
        <f aca="false">IF($D391="S",IF(AND(B391&lt;&gt;"",E391&lt;&gt;""),E391*IFERROR(VLOOKUP(B391,'Saldo Atual'!$A:$K,11,0),0),"-"),"-")</f>
        <v>-</v>
      </c>
      <c r="I391" s="15"/>
      <c r="J391" s="5"/>
      <c r="K391" s="5"/>
    </row>
    <row r="392" customFormat="false" ht="18" hidden="false" customHeight="true" outlineLevel="0" collapsed="false">
      <c r="A392" s="18"/>
      <c r="B392" s="19"/>
      <c r="C392" s="20" t="str">
        <f aca="false">IFERROR(VLOOKUP(B392,Cadastro!$A$5:$B$54,2,0),"")</f>
        <v/>
      </c>
      <c r="D392" s="19"/>
      <c r="E392" s="21"/>
      <c r="F392" s="11"/>
      <c r="G392" s="11" t="str">
        <f aca="false">IF(AND($D392="E",E392&lt;&gt;"",F392&lt;&gt;""),E392*F392,"-")</f>
        <v>-</v>
      </c>
      <c r="H392" s="11" t="str">
        <f aca="false">IF($D392="S",IF(AND(B392&lt;&gt;"",E392&lt;&gt;""),E392*IFERROR(VLOOKUP(B392,'Saldo Atual'!$A:$K,11,0),0),"-"),"-")</f>
        <v>-</v>
      </c>
      <c r="I392" s="19"/>
      <c r="J392" s="9"/>
      <c r="K392" s="9"/>
    </row>
    <row r="393" customFormat="false" ht="18" hidden="false" customHeight="true" outlineLevel="0" collapsed="false">
      <c r="A393" s="14"/>
      <c r="B393" s="15"/>
      <c r="C393" s="16" t="str">
        <f aca="false">IFERROR(VLOOKUP(B393,Cadastro!$A$5:$B$54,2,0),"")</f>
        <v/>
      </c>
      <c r="D393" s="15"/>
      <c r="E393" s="17"/>
      <c r="F393" s="7"/>
      <c r="G393" s="7" t="str">
        <f aca="false">IF(AND($D393="E",E393&lt;&gt;"",F393&lt;&gt;""),E393*F393,"-")</f>
        <v>-</v>
      </c>
      <c r="H393" s="7" t="str">
        <f aca="false">IF($D393="S",IF(AND(B393&lt;&gt;"",E393&lt;&gt;""),E393*IFERROR(VLOOKUP(B393,'Saldo Atual'!$A:$K,11,0),0),"-"),"-")</f>
        <v>-</v>
      </c>
      <c r="I393" s="15"/>
      <c r="J393" s="5"/>
      <c r="K393" s="5"/>
    </row>
    <row r="394" customFormat="false" ht="18" hidden="false" customHeight="true" outlineLevel="0" collapsed="false">
      <c r="A394" s="18"/>
      <c r="B394" s="19"/>
      <c r="C394" s="20" t="str">
        <f aca="false">IFERROR(VLOOKUP(B394,Cadastro!$A$5:$B$54,2,0),"")</f>
        <v/>
      </c>
      <c r="D394" s="19"/>
      <c r="E394" s="21"/>
      <c r="F394" s="11"/>
      <c r="G394" s="11" t="str">
        <f aca="false">IF(AND($D394="E",E394&lt;&gt;"",F394&lt;&gt;""),E394*F394,"-")</f>
        <v>-</v>
      </c>
      <c r="H394" s="11" t="str">
        <f aca="false">IF($D394="S",IF(AND(B394&lt;&gt;"",E394&lt;&gt;""),E394*IFERROR(VLOOKUP(B394,'Saldo Atual'!$A:$K,11,0),0),"-"),"-")</f>
        <v>-</v>
      </c>
      <c r="I394" s="19"/>
      <c r="J394" s="9"/>
      <c r="K394" s="9"/>
    </row>
    <row r="395" customFormat="false" ht="18" hidden="false" customHeight="true" outlineLevel="0" collapsed="false">
      <c r="A395" s="14"/>
      <c r="B395" s="15"/>
      <c r="C395" s="16" t="str">
        <f aca="false">IFERROR(VLOOKUP(B395,Cadastro!$A$5:$B$54,2,0),"")</f>
        <v/>
      </c>
      <c r="D395" s="15"/>
      <c r="E395" s="17"/>
      <c r="F395" s="7"/>
      <c r="G395" s="7" t="str">
        <f aca="false">IF(AND($D395="E",E395&lt;&gt;"",F395&lt;&gt;""),E395*F395,"-")</f>
        <v>-</v>
      </c>
      <c r="H395" s="7" t="str">
        <f aca="false">IF($D395="S",IF(AND(B395&lt;&gt;"",E395&lt;&gt;""),E395*IFERROR(VLOOKUP(B395,'Saldo Atual'!$A:$K,11,0),0),"-"),"-")</f>
        <v>-</v>
      </c>
      <c r="I395" s="15"/>
      <c r="J395" s="5"/>
      <c r="K395" s="5"/>
    </row>
    <row r="396" customFormat="false" ht="18" hidden="false" customHeight="true" outlineLevel="0" collapsed="false">
      <c r="A396" s="18"/>
      <c r="B396" s="19"/>
      <c r="C396" s="20" t="str">
        <f aca="false">IFERROR(VLOOKUP(B396,Cadastro!$A$5:$B$54,2,0),"")</f>
        <v/>
      </c>
      <c r="D396" s="19"/>
      <c r="E396" s="21"/>
      <c r="F396" s="11"/>
      <c r="G396" s="11" t="str">
        <f aca="false">IF(AND($D396="E",E396&lt;&gt;"",F396&lt;&gt;""),E396*F396,"-")</f>
        <v>-</v>
      </c>
      <c r="H396" s="11" t="str">
        <f aca="false">IF($D396="S",IF(AND(B396&lt;&gt;"",E396&lt;&gt;""),E396*IFERROR(VLOOKUP(B396,'Saldo Atual'!$A:$K,11,0),0),"-"),"-")</f>
        <v>-</v>
      </c>
      <c r="I396" s="19"/>
      <c r="J396" s="9"/>
      <c r="K396" s="9"/>
    </row>
    <row r="397" customFormat="false" ht="18" hidden="false" customHeight="true" outlineLevel="0" collapsed="false">
      <c r="A397" s="14"/>
      <c r="B397" s="15"/>
      <c r="C397" s="16" t="str">
        <f aca="false">IFERROR(VLOOKUP(B397,Cadastro!$A$5:$B$54,2,0),"")</f>
        <v/>
      </c>
      <c r="D397" s="15"/>
      <c r="E397" s="17"/>
      <c r="F397" s="7"/>
      <c r="G397" s="7" t="str">
        <f aca="false">IF(AND($D397="E",E397&lt;&gt;"",F397&lt;&gt;""),E397*F397,"-")</f>
        <v>-</v>
      </c>
      <c r="H397" s="7" t="str">
        <f aca="false">IF($D397="S",IF(AND(B397&lt;&gt;"",E397&lt;&gt;""),E397*IFERROR(VLOOKUP(B397,'Saldo Atual'!$A:$K,11,0),0),"-"),"-")</f>
        <v>-</v>
      </c>
      <c r="I397" s="15"/>
      <c r="J397" s="5"/>
      <c r="K397" s="5"/>
    </row>
    <row r="398" customFormat="false" ht="18" hidden="false" customHeight="true" outlineLevel="0" collapsed="false">
      <c r="A398" s="18"/>
      <c r="B398" s="19"/>
      <c r="C398" s="20" t="str">
        <f aca="false">IFERROR(VLOOKUP(B398,Cadastro!$A$5:$B$54,2,0),"")</f>
        <v/>
      </c>
      <c r="D398" s="19"/>
      <c r="E398" s="21"/>
      <c r="F398" s="11"/>
      <c r="G398" s="11" t="str">
        <f aca="false">IF(AND($D398="E",E398&lt;&gt;"",F398&lt;&gt;""),E398*F398,"-")</f>
        <v>-</v>
      </c>
      <c r="H398" s="11" t="str">
        <f aca="false">IF($D398="S",IF(AND(B398&lt;&gt;"",E398&lt;&gt;""),E398*IFERROR(VLOOKUP(B398,'Saldo Atual'!$A:$K,11,0),0),"-"),"-")</f>
        <v>-</v>
      </c>
      <c r="I398" s="19"/>
      <c r="J398" s="9"/>
      <c r="K398" s="9"/>
    </row>
    <row r="399" customFormat="false" ht="18" hidden="false" customHeight="true" outlineLevel="0" collapsed="false">
      <c r="A399" s="14"/>
      <c r="B399" s="15"/>
      <c r="C399" s="16" t="str">
        <f aca="false">IFERROR(VLOOKUP(B399,Cadastro!$A$5:$B$54,2,0),"")</f>
        <v/>
      </c>
      <c r="D399" s="15"/>
      <c r="E399" s="17"/>
      <c r="F399" s="7"/>
      <c r="G399" s="7" t="str">
        <f aca="false">IF(AND($D399="E",E399&lt;&gt;"",F399&lt;&gt;""),E399*F399,"-")</f>
        <v>-</v>
      </c>
      <c r="H399" s="7" t="str">
        <f aca="false">IF($D399="S",IF(AND(B399&lt;&gt;"",E399&lt;&gt;""),E399*IFERROR(VLOOKUP(B399,'Saldo Atual'!$A:$K,11,0),0),"-"),"-")</f>
        <v>-</v>
      </c>
      <c r="I399" s="15"/>
      <c r="J399" s="5"/>
      <c r="K399" s="5"/>
    </row>
    <row r="400" customFormat="false" ht="18" hidden="false" customHeight="true" outlineLevel="0" collapsed="false">
      <c r="A400" s="18"/>
      <c r="B400" s="19"/>
      <c r="C400" s="20" t="str">
        <f aca="false">IFERROR(VLOOKUP(B400,Cadastro!$A$5:$B$54,2,0),"")</f>
        <v/>
      </c>
      <c r="D400" s="19"/>
      <c r="E400" s="21"/>
      <c r="F400" s="11"/>
      <c r="G400" s="11" t="str">
        <f aca="false">IF(AND($D400="E",E400&lt;&gt;"",F400&lt;&gt;""),E400*F400,"-")</f>
        <v>-</v>
      </c>
      <c r="H400" s="11" t="str">
        <f aca="false">IF($D400="S",IF(AND(B400&lt;&gt;"",E400&lt;&gt;""),E400*IFERROR(VLOOKUP(B400,'Saldo Atual'!$A:$K,11,0),0),"-"),"-")</f>
        <v>-</v>
      </c>
      <c r="I400" s="19"/>
      <c r="J400" s="9"/>
      <c r="K400" s="9"/>
    </row>
    <row r="401" customFormat="false" ht="18" hidden="false" customHeight="true" outlineLevel="0" collapsed="false">
      <c r="A401" s="14"/>
      <c r="B401" s="15"/>
      <c r="C401" s="16" t="str">
        <f aca="false">IFERROR(VLOOKUP(B401,Cadastro!$A$5:$B$54,2,0),"")</f>
        <v/>
      </c>
      <c r="D401" s="15"/>
      <c r="E401" s="17"/>
      <c r="F401" s="7"/>
      <c r="G401" s="7" t="str">
        <f aca="false">IF(AND($D401="E",E401&lt;&gt;"",F401&lt;&gt;""),E401*F401,"-")</f>
        <v>-</v>
      </c>
      <c r="H401" s="7" t="str">
        <f aca="false">IF($D401="S",IF(AND(B401&lt;&gt;"",E401&lt;&gt;""),E401*IFERROR(VLOOKUP(B401,'Saldo Atual'!$A:$K,11,0),0),"-"),"-")</f>
        <v>-</v>
      </c>
      <c r="I401" s="15"/>
      <c r="J401" s="5"/>
      <c r="K401" s="5"/>
    </row>
    <row r="402" customFormat="false" ht="18" hidden="false" customHeight="true" outlineLevel="0" collapsed="false">
      <c r="A402" s="18"/>
      <c r="B402" s="19"/>
      <c r="C402" s="20" t="str">
        <f aca="false">IFERROR(VLOOKUP(B402,Cadastro!$A$5:$B$54,2,0),"")</f>
        <v/>
      </c>
      <c r="D402" s="19"/>
      <c r="E402" s="21"/>
      <c r="F402" s="11"/>
      <c r="G402" s="11" t="str">
        <f aca="false">IF(AND($D402="E",E402&lt;&gt;"",F402&lt;&gt;""),E402*F402,"-")</f>
        <v>-</v>
      </c>
      <c r="H402" s="11" t="str">
        <f aca="false">IF($D402="S",IF(AND(B402&lt;&gt;"",E402&lt;&gt;""),E402*IFERROR(VLOOKUP(B402,'Saldo Atual'!$A:$K,11,0),0),"-"),"-")</f>
        <v>-</v>
      </c>
      <c r="I402" s="19"/>
      <c r="J402" s="9"/>
      <c r="K402" s="9"/>
    </row>
    <row r="403" customFormat="false" ht="18" hidden="false" customHeight="true" outlineLevel="0" collapsed="false">
      <c r="A403" s="14"/>
      <c r="B403" s="15"/>
      <c r="C403" s="16" t="str">
        <f aca="false">IFERROR(VLOOKUP(B403,Cadastro!$A$5:$B$54,2,0),"")</f>
        <v/>
      </c>
      <c r="D403" s="15"/>
      <c r="E403" s="17"/>
      <c r="F403" s="7"/>
      <c r="G403" s="7" t="str">
        <f aca="false">IF(AND($D403="E",E403&lt;&gt;"",F403&lt;&gt;""),E403*F403,"-")</f>
        <v>-</v>
      </c>
      <c r="H403" s="7" t="str">
        <f aca="false">IF($D403="S",IF(AND(B403&lt;&gt;"",E403&lt;&gt;""),E403*IFERROR(VLOOKUP(B403,'Saldo Atual'!$A:$K,11,0),0),"-"),"-")</f>
        <v>-</v>
      </c>
      <c r="I403" s="15"/>
      <c r="J403" s="5"/>
      <c r="K403" s="5"/>
    </row>
    <row r="404" customFormat="false" ht="18" hidden="false" customHeight="true" outlineLevel="0" collapsed="false">
      <c r="A404" s="18"/>
      <c r="B404" s="19"/>
      <c r="C404" s="20" t="str">
        <f aca="false">IFERROR(VLOOKUP(B404,Cadastro!$A$5:$B$54,2,0),"")</f>
        <v/>
      </c>
      <c r="D404" s="19"/>
      <c r="E404" s="21"/>
      <c r="F404" s="11"/>
      <c r="G404" s="11" t="str">
        <f aca="false">IF(AND($D404="E",E404&lt;&gt;"",F404&lt;&gt;""),E404*F404,"-")</f>
        <v>-</v>
      </c>
      <c r="H404" s="11" t="str">
        <f aca="false">IF($D404="S",IF(AND(B404&lt;&gt;"",E404&lt;&gt;""),E404*IFERROR(VLOOKUP(B404,'Saldo Atual'!$A:$K,11,0),0),"-"),"-")</f>
        <v>-</v>
      </c>
      <c r="I404" s="19"/>
      <c r="J404" s="9"/>
      <c r="K404" s="9"/>
    </row>
    <row r="405" customFormat="false" ht="18" hidden="false" customHeight="true" outlineLevel="0" collapsed="false">
      <c r="A405" s="14"/>
      <c r="B405" s="15"/>
      <c r="C405" s="16" t="str">
        <f aca="false">IFERROR(VLOOKUP(B405,Cadastro!$A$5:$B$54,2,0),"")</f>
        <v/>
      </c>
      <c r="D405" s="15"/>
      <c r="E405" s="17"/>
      <c r="F405" s="7"/>
      <c r="G405" s="7" t="str">
        <f aca="false">IF(AND($D405="E",E405&lt;&gt;"",F405&lt;&gt;""),E405*F405,"-")</f>
        <v>-</v>
      </c>
      <c r="H405" s="7" t="str">
        <f aca="false">IF($D405="S",IF(AND(B405&lt;&gt;"",E405&lt;&gt;""),E405*IFERROR(VLOOKUP(B405,'Saldo Atual'!$A:$K,11,0),0),"-"),"-")</f>
        <v>-</v>
      </c>
      <c r="I405" s="15"/>
      <c r="J405" s="5"/>
      <c r="K405" s="5"/>
    </row>
    <row r="406" customFormat="false" ht="18" hidden="false" customHeight="true" outlineLevel="0" collapsed="false">
      <c r="A406" s="18"/>
      <c r="B406" s="19"/>
      <c r="C406" s="20" t="str">
        <f aca="false">IFERROR(VLOOKUP(B406,Cadastro!$A$5:$B$54,2,0),"")</f>
        <v/>
      </c>
      <c r="D406" s="19"/>
      <c r="E406" s="21"/>
      <c r="F406" s="11"/>
      <c r="G406" s="11" t="str">
        <f aca="false">IF(AND($D406="E",E406&lt;&gt;"",F406&lt;&gt;""),E406*F406,"-")</f>
        <v>-</v>
      </c>
      <c r="H406" s="11" t="str">
        <f aca="false">IF($D406="S",IF(AND(B406&lt;&gt;"",E406&lt;&gt;""),E406*IFERROR(VLOOKUP(B406,'Saldo Atual'!$A:$K,11,0),0),"-"),"-")</f>
        <v>-</v>
      </c>
      <c r="I406" s="19"/>
      <c r="J406" s="9"/>
      <c r="K406" s="9"/>
    </row>
    <row r="407" customFormat="false" ht="18" hidden="false" customHeight="true" outlineLevel="0" collapsed="false">
      <c r="A407" s="14"/>
      <c r="B407" s="15"/>
      <c r="C407" s="16" t="str">
        <f aca="false">IFERROR(VLOOKUP(B407,Cadastro!$A$5:$B$54,2,0),"")</f>
        <v/>
      </c>
      <c r="D407" s="15"/>
      <c r="E407" s="17"/>
      <c r="F407" s="7"/>
      <c r="G407" s="7" t="str">
        <f aca="false">IF(AND($D407="E",E407&lt;&gt;"",F407&lt;&gt;""),E407*F407,"-")</f>
        <v>-</v>
      </c>
      <c r="H407" s="7" t="str">
        <f aca="false">IF($D407="S",IF(AND(B407&lt;&gt;"",E407&lt;&gt;""),E407*IFERROR(VLOOKUP(B407,'Saldo Atual'!$A:$K,11,0),0),"-"),"-")</f>
        <v>-</v>
      </c>
      <c r="I407" s="15"/>
      <c r="J407" s="5"/>
      <c r="K407" s="5"/>
    </row>
    <row r="408" customFormat="false" ht="18" hidden="false" customHeight="true" outlineLevel="0" collapsed="false">
      <c r="A408" s="18"/>
      <c r="B408" s="19"/>
      <c r="C408" s="20" t="str">
        <f aca="false">IFERROR(VLOOKUP(B408,Cadastro!$A$5:$B$54,2,0),"")</f>
        <v/>
      </c>
      <c r="D408" s="19"/>
      <c r="E408" s="21"/>
      <c r="F408" s="11"/>
      <c r="G408" s="11" t="str">
        <f aca="false">IF(AND($D408="E",E408&lt;&gt;"",F408&lt;&gt;""),E408*F408,"-")</f>
        <v>-</v>
      </c>
      <c r="H408" s="11" t="str">
        <f aca="false">IF($D408="S",IF(AND(B408&lt;&gt;"",E408&lt;&gt;""),E408*IFERROR(VLOOKUP(B408,'Saldo Atual'!$A:$K,11,0),0),"-"),"-")</f>
        <v>-</v>
      </c>
      <c r="I408" s="19"/>
      <c r="J408" s="9"/>
      <c r="K408" s="9"/>
    </row>
    <row r="409" customFormat="false" ht="18" hidden="false" customHeight="true" outlineLevel="0" collapsed="false">
      <c r="A409" s="14"/>
      <c r="B409" s="15"/>
      <c r="C409" s="16" t="str">
        <f aca="false">IFERROR(VLOOKUP(B409,Cadastro!$A$5:$B$54,2,0),"")</f>
        <v/>
      </c>
      <c r="D409" s="15"/>
      <c r="E409" s="17"/>
      <c r="F409" s="7"/>
      <c r="G409" s="7" t="str">
        <f aca="false">IF(AND($D409="E",E409&lt;&gt;"",F409&lt;&gt;""),E409*F409,"-")</f>
        <v>-</v>
      </c>
      <c r="H409" s="7" t="str">
        <f aca="false">IF($D409="S",IF(AND(B409&lt;&gt;"",E409&lt;&gt;""),E409*IFERROR(VLOOKUP(B409,'Saldo Atual'!$A:$K,11,0),0),"-"),"-")</f>
        <v>-</v>
      </c>
      <c r="I409" s="15"/>
      <c r="J409" s="5"/>
      <c r="K409" s="5"/>
    </row>
    <row r="410" customFormat="false" ht="18" hidden="false" customHeight="true" outlineLevel="0" collapsed="false">
      <c r="A410" s="18"/>
      <c r="B410" s="19"/>
      <c r="C410" s="20" t="str">
        <f aca="false">IFERROR(VLOOKUP(B410,Cadastro!$A$5:$B$54,2,0),"")</f>
        <v/>
      </c>
      <c r="D410" s="19"/>
      <c r="E410" s="21"/>
      <c r="F410" s="11"/>
      <c r="G410" s="11" t="str">
        <f aca="false">IF(AND($D410="E",E410&lt;&gt;"",F410&lt;&gt;""),E410*F410,"-")</f>
        <v>-</v>
      </c>
      <c r="H410" s="11" t="str">
        <f aca="false">IF($D410="S",IF(AND(B410&lt;&gt;"",E410&lt;&gt;""),E410*IFERROR(VLOOKUP(B410,'Saldo Atual'!$A:$K,11,0),0),"-"),"-")</f>
        <v>-</v>
      </c>
      <c r="I410" s="19"/>
      <c r="J410" s="9"/>
      <c r="K410" s="9"/>
    </row>
    <row r="411" customFormat="false" ht="18" hidden="false" customHeight="true" outlineLevel="0" collapsed="false">
      <c r="A411" s="14"/>
      <c r="B411" s="15"/>
      <c r="C411" s="16" t="str">
        <f aca="false">IFERROR(VLOOKUP(B411,Cadastro!$A$5:$B$54,2,0),"")</f>
        <v/>
      </c>
      <c r="D411" s="15"/>
      <c r="E411" s="17"/>
      <c r="F411" s="7"/>
      <c r="G411" s="7" t="str">
        <f aca="false">IF(AND($D411="E",E411&lt;&gt;"",F411&lt;&gt;""),E411*F411,"-")</f>
        <v>-</v>
      </c>
      <c r="H411" s="7" t="str">
        <f aca="false">IF($D411="S",IF(AND(B411&lt;&gt;"",E411&lt;&gt;""),E411*IFERROR(VLOOKUP(B411,'Saldo Atual'!$A:$K,11,0),0),"-"),"-")</f>
        <v>-</v>
      </c>
      <c r="I411" s="15"/>
      <c r="J411" s="5"/>
      <c r="K411" s="5"/>
    </row>
    <row r="412" customFormat="false" ht="18" hidden="false" customHeight="true" outlineLevel="0" collapsed="false">
      <c r="A412" s="18"/>
      <c r="B412" s="19"/>
      <c r="C412" s="20" t="str">
        <f aca="false">IFERROR(VLOOKUP(B412,Cadastro!$A$5:$B$54,2,0),"")</f>
        <v/>
      </c>
      <c r="D412" s="19"/>
      <c r="E412" s="21"/>
      <c r="F412" s="11"/>
      <c r="G412" s="11" t="str">
        <f aca="false">IF(AND($D412="E",E412&lt;&gt;"",F412&lt;&gt;""),E412*F412,"-")</f>
        <v>-</v>
      </c>
      <c r="H412" s="11" t="str">
        <f aca="false">IF($D412="S",IF(AND(B412&lt;&gt;"",E412&lt;&gt;""),E412*IFERROR(VLOOKUP(B412,'Saldo Atual'!$A:$K,11,0),0),"-"),"-")</f>
        <v>-</v>
      </c>
      <c r="I412" s="19"/>
      <c r="J412" s="9"/>
      <c r="K412" s="9"/>
    </row>
    <row r="413" customFormat="false" ht="18" hidden="false" customHeight="true" outlineLevel="0" collapsed="false">
      <c r="A413" s="14"/>
      <c r="B413" s="15"/>
      <c r="C413" s="16" t="str">
        <f aca="false">IFERROR(VLOOKUP(B413,Cadastro!$A$5:$B$54,2,0),"")</f>
        <v/>
      </c>
      <c r="D413" s="15"/>
      <c r="E413" s="17"/>
      <c r="F413" s="7"/>
      <c r="G413" s="7" t="str">
        <f aca="false">IF(AND($D413="E",E413&lt;&gt;"",F413&lt;&gt;""),E413*F413,"-")</f>
        <v>-</v>
      </c>
      <c r="H413" s="7" t="str">
        <f aca="false">IF($D413="S",IF(AND(B413&lt;&gt;"",E413&lt;&gt;""),E413*IFERROR(VLOOKUP(B413,'Saldo Atual'!$A:$K,11,0),0),"-"),"-")</f>
        <v>-</v>
      </c>
      <c r="I413" s="15"/>
      <c r="J413" s="5"/>
      <c r="K413" s="5"/>
    </row>
    <row r="414" customFormat="false" ht="18" hidden="false" customHeight="true" outlineLevel="0" collapsed="false">
      <c r="A414" s="18"/>
      <c r="B414" s="19"/>
      <c r="C414" s="20" t="str">
        <f aca="false">IFERROR(VLOOKUP(B414,Cadastro!$A$5:$B$54,2,0),"")</f>
        <v/>
      </c>
      <c r="D414" s="19"/>
      <c r="E414" s="21"/>
      <c r="F414" s="11"/>
      <c r="G414" s="11" t="str">
        <f aca="false">IF(AND($D414="E",E414&lt;&gt;"",F414&lt;&gt;""),E414*F414,"-")</f>
        <v>-</v>
      </c>
      <c r="H414" s="11" t="str">
        <f aca="false">IF($D414="S",IF(AND(B414&lt;&gt;"",E414&lt;&gt;""),E414*IFERROR(VLOOKUP(B414,'Saldo Atual'!$A:$K,11,0),0),"-"),"-")</f>
        <v>-</v>
      </c>
      <c r="I414" s="19"/>
      <c r="J414" s="9"/>
      <c r="K414" s="9"/>
    </row>
    <row r="415" customFormat="false" ht="18" hidden="false" customHeight="true" outlineLevel="0" collapsed="false">
      <c r="A415" s="14"/>
      <c r="B415" s="15"/>
      <c r="C415" s="16" t="str">
        <f aca="false">IFERROR(VLOOKUP(B415,Cadastro!$A$5:$B$54,2,0),"")</f>
        <v/>
      </c>
      <c r="D415" s="15"/>
      <c r="E415" s="17"/>
      <c r="F415" s="7"/>
      <c r="G415" s="7" t="str">
        <f aca="false">IF(AND($D415="E",E415&lt;&gt;"",F415&lt;&gt;""),E415*F415,"-")</f>
        <v>-</v>
      </c>
      <c r="H415" s="7" t="str">
        <f aca="false">IF($D415="S",IF(AND(B415&lt;&gt;"",E415&lt;&gt;""),E415*IFERROR(VLOOKUP(B415,'Saldo Atual'!$A:$K,11,0),0),"-"),"-")</f>
        <v>-</v>
      </c>
      <c r="I415" s="15"/>
      <c r="J415" s="5"/>
      <c r="K415" s="5"/>
    </row>
    <row r="416" customFormat="false" ht="18" hidden="false" customHeight="true" outlineLevel="0" collapsed="false">
      <c r="A416" s="18"/>
      <c r="B416" s="19"/>
      <c r="C416" s="20" t="str">
        <f aca="false">IFERROR(VLOOKUP(B416,Cadastro!$A$5:$B$54,2,0),"")</f>
        <v/>
      </c>
      <c r="D416" s="19"/>
      <c r="E416" s="21"/>
      <c r="F416" s="11"/>
      <c r="G416" s="11" t="str">
        <f aca="false">IF(AND($D416="E",E416&lt;&gt;"",F416&lt;&gt;""),E416*F416,"-")</f>
        <v>-</v>
      </c>
      <c r="H416" s="11" t="str">
        <f aca="false">IF($D416="S",IF(AND(B416&lt;&gt;"",E416&lt;&gt;""),E416*IFERROR(VLOOKUP(B416,'Saldo Atual'!$A:$K,11,0),0),"-"),"-")</f>
        <v>-</v>
      </c>
      <c r="I416" s="19"/>
      <c r="J416" s="9"/>
      <c r="K416" s="9"/>
    </row>
    <row r="417" customFormat="false" ht="18" hidden="false" customHeight="true" outlineLevel="0" collapsed="false">
      <c r="A417" s="14"/>
      <c r="B417" s="15"/>
      <c r="C417" s="16" t="str">
        <f aca="false">IFERROR(VLOOKUP(B417,Cadastro!$A$5:$B$54,2,0),"")</f>
        <v/>
      </c>
      <c r="D417" s="15"/>
      <c r="E417" s="17"/>
      <c r="F417" s="7"/>
      <c r="G417" s="7" t="str">
        <f aca="false">IF(AND($D417="E",E417&lt;&gt;"",F417&lt;&gt;""),E417*F417,"-")</f>
        <v>-</v>
      </c>
      <c r="H417" s="7" t="str">
        <f aca="false">IF($D417="S",IF(AND(B417&lt;&gt;"",E417&lt;&gt;""),E417*IFERROR(VLOOKUP(B417,'Saldo Atual'!$A:$K,11,0),0),"-"),"-")</f>
        <v>-</v>
      </c>
      <c r="I417" s="15"/>
      <c r="J417" s="5"/>
      <c r="K417" s="5"/>
    </row>
    <row r="418" customFormat="false" ht="18" hidden="false" customHeight="true" outlineLevel="0" collapsed="false">
      <c r="A418" s="18"/>
      <c r="B418" s="19"/>
      <c r="C418" s="20" t="str">
        <f aca="false">IFERROR(VLOOKUP(B418,Cadastro!$A$5:$B$54,2,0),"")</f>
        <v/>
      </c>
      <c r="D418" s="19"/>
      <c r="E418" s="21"/>
      <c r="F418" s="11"/>
      <c r="G418" s="11" t="str">
        <f aca="false">IF(AND($D418="E",E418&lt;&gt;"",F418&lt;&gt;""),E418*F418,"-")</f>
        <v>-</v>
      </c>
      <c r="H418" s="11" t="str">
        <f aca="false">IF($D418="S",IF(AND(B418&lt;&gt;"",E418&lt;&gt;""),E418*IFERROR(VLOOKUP(B418,'Saldo Atual'!$A:$K,11,0),0),"-"),"-")</f>
        <v>-</v>
      </c>
      <c r="I418" s="19"/>
      <c r="J418" s="9"/>
      <c r="K418" s="9"/>
    </row>
    <row r="419" customFormat="false" ht="18" hidden="false" customHeight="true" outlineLevel="0" collapsed="false">
      <c r="A419" s="14"/>
      <c r="B419" s="15"/>
      <c r="C419" s="16" t="str">
        <f aca="false">IFERROR(VLOOKUP(B419,Cadastro!$A$5:$B$54,2,0),"")</f>
        <v/>
      </c>
      <c r="D419" s="15"/>
      <c r="E419" s="17"/>
      <c r="F419" s="7"/>
      <c r="G419" s="7" t="str">
        <f aca="false">IF(AND($D419="E",E419&lt;&gt;"",F419&lt;&gt;""),E419*F419,"-")</f>
        <v>-</v>
      </c>
      <c r="H419" s="7" t="str">
        <f aca="false">IF($D419="S",IF(AND(B419&lt;&gt;"",E419&lt;&gt;""),E419*IFERROR(VLOOKUP(B419,'Saldo Atual'!$A:$K,11,0),0),"-"),"-")</f>
        <v>-</v>
      </c>
      <c r="I419" s="15"/>
      <c r="J419" s="5"/>
      <c r="K419" s="5"/>
    </row>
    <row r="420" customFormat="false" ht="18" hidden="false" customHeight="true" outlineLevel="0" collapsed="false">
      <c r="A420" s="18"/>
      <c r="B420" s="19"/>
      <c r="C420" s="20" t="str">
        <f aca="false">IFERROR(VLOOKUP(B420,Cadastro!$A$5:$B$54,2,0),"")</f>
        <v/>
      </c>
      <c r="D420" s="19"/>
      <c r="E420" s="21"/>
      <c r="F420" s="11"/>
      <c r="G420" s="11" t="str">
        <f aca="false">IF(AND($D420="E",E420&lt;&gt;"",F420&lt;&gt;""),E420*F420,"-")</f>
        <v>-</v>
      </c>
      <c r="H420" s="11" t="str">
        <f aca="false">IF($D420="S",IF(AND(B420&lt;&gt;"",E420&lt;&gt;""),E420*IFERROR(VLOOKUP(B420,'Saldo Atual'!$A:$K,11,0),0),"-"),"-")</f>
        <v>-</v>
      </c>
      <c r="I420" s="19"/>
      <c r="J420" s="9"/>
      <c r="K420" s="9"/>
    </row>
    <row r="421" customFormat="false" ht="18" hidden="false" customHeight="true" outlineLevel="0" collapsed="false">
      <c r="A421" s="14"/>
      <c r="B421" s="15"/>
      <c r="C421" s="16" t="str">
        <f aca="false">IFERROR(VLOOKUP(B421,Cadastro!$A$5:$B$54,2,0),"")</f>
        <v/>
      </c>
      <c r="D421" s="15"/>
      <c r="E421" s="17"/>
      <c r="F421" s="7"/>
      <c r="G421" s="7" t="str">
        <f aca="false">IF(AND($D421="E",E421&lt;&gt;"",F421&lt;&gt;""),E421*F421,"-")</f>
        <v>-</v>
      </c>
      <c r="H421" s="7" t="str">
        <f aca="false">IF($D421="S",IF(AND(B421&lt;&gt;"",E421&lt;&gt;""),E421*IFERROR(VLOOKUP(B421,'Saldo Atual'!$A:$K,11,0),0),"-"),"-")</f>
        <v>-</v>
      </c>
      <c r="I421" s="15"/>
      <c r="J421" s="5"/>
      <c r="K421" s="5"/>
    </row>
    <row r="422" customFormat="false" ht="18" hidden="false" customHeight="true" outlineLevel="0" collapsed="false">
      <c r="A422" s="18"/>
      <c r="B422" s="19"/>
      <c r="C422" s="20" t="str">
        <f aca="false">IFERROR(VLOOKUP(B422,Cadastro!$A$5:$B$54,2,0),"")</f>
        <v/>
      </c>
      <c r="D422" s="19"/>
      <c r="E422" s="21"/>
      <c r="F422" s="11"/>
      <c r="G422" s="11" t="str">
        <f aca="false">IF(AND($D422="E",E422&lt;&gt;"",F422&lt;&gt;""),E422*F422,"-")</f>
        <v>-</v>
      </c>
      <c r="H422" s="11" t="str">
        <f aca="false">IF($D422="S",IF(AND(B422&lt;&gt;"",E422&lt;&gt;""),E422*IFERROR(VLOOKUP(B422,'Saldo Atual'!$A:$K,11,0),0),"-"),"-")</f>
        <v>-</v>
      </c>
      <c r="I422" s="19"/>
      <c r="J422" s="9"/>
      <c r="K422" s="9"/>
    </row>
    <row r="423" customFormat="false" ht="18" hidden="false" customHeight="true" outlineLevel="0" collapsed="false">
      <c r="A423" s="14"/>
      <c r="B423" s="15"/>
      <c r="C423" s="16" t="str">
        <f aca="false">IFERROR(VLOOKUP(B423,Cadastro!$A$5:$B$54,2,0),"")</f>
        <v/>
      </c>
      <c r="D423" s="15"/>
      <c r="E423" s="17"/>
      <c r="F423" s="7"/>
      <c r="G423" s="7" t="str">
        <f aca="false">IF(AND($D423="E",E423&lt;&gt;"",F423&lt;&gt;""),E423*F423,"-")</f>
        <v>-</v>
      </c>
      <c r="H423" s="7" t="str">
        <f aca="false">IF($D423="S",IF(AND(B423&lt;&gt;"",E423&lt;&gt;""),E423*IFERROR(VLOOKUP(B423,'Saldo Atual'!$A:$K,11,0),0),"-"),"-")</f>
        <v>-</v>
      </c>
      <c r="I423" s="15"/>
      <c r="J423" s="5"/>
      <c r="K423" s="5"/>
    </row>
    <row r="424" customFormat="false" ht="18" hidden="false" customHeight="true" outlineLevel="0" collapsed="false">
      <c r="A424" s="18"/>
      <c r="B424" s="19"/>
      <c r="C424" s="20" t="str">
        <f aca="false">IFERROR(VLOOKUP(B424,Cadastro!$A$5:$B$54,2,0),"")</f>
        <v/>
      </c>
      <c r="D424" s="19"/>
      <c r="E424" s="21"/>
      <c r="F424" s="11"/>
      <c r="G424" s="11" t="str">
        <f aca="false">IF(AND($D424="E",E424&lt;&gt;"",F424&lt;&gt;""),E424*F424,"-")</f>
        <v>-</v>
      </c>
      <c r="H424" s="11" t="str">
        <f aca="false">IF($D424="S",IF(AND(B424&lt;&gt;"",E424&lt;&gt;""),E424*IFERROR(VLOOKUP(B424,'Saldo Atual'!$A:$K,11,0),0),"-"),"-")</f>
        <v>-</v>
      </c>
      <c r="I424" s="19"/>
      <c r="J424" s="9"/>
      <c r="K424" s="9"/>
    </row>
    <row r="425" customFormat="false" ht="18" hidden="false" customHeight="true" outlineLevel="0" collapsed="false">
      <c r="A425" s="14"/>
      <c r="B425" s="15"/>
      <c r="C425" s="16" t="str">
        <f aca="false">IFERROR(VLOOKUP(B425,Cadastro!$A$5:$B$54,2,0),"")</f>
        <v/>
      </c>
      <c r="D425" s="15"/>
      <c r="E425" s="17"/>
      <c r="F425" s="7"/>
      <c r="G425" s="7" t="str">
        <f aca="false">IF(AND($D425="E",E425&lt;&gt;"",F425&lt;&gt;""),E425*F425,"-")</f>
        <v>-</v>
      </c>
      <c r="H425" s="7" t="str">
        <f aca="false">IF($D425="S",IF(AND(B425&lt;&gt;"",E425&lt;&gt;""),E425*IFERROR(VLOOKUP(B425,'Saldo Atual'!$A:$K,11,0),0),"-"),"-")</f>
        <v>-</v>
      </c>
      <c r="I425" s="15"/>
      <c r="J425" s="5"/>
      <c r="K425" s="5"/>
    </row>
    <row r="426" customFormat="false" ht="18" hidden="false" customHeight="true" outlineLevel="0" collapsed="false">
      <c r="A426" s="18"/>
      <c r="B426" s="19"/>
      <c r="C426" s="20" t="str">
        <f aca="false">IFERROR(VLOOKUP(B426,Cadastro!$A$5:$B$54,2,0),"")</f>
        <v/>
      </c>
      <c r="D426" s="19"/>
      <c r="E426" s="21"/>
      <c r="F426" s="11"/>
      <c r="G426" s="11" t="str">
        <f aca="false">IF(AND($D426="E",E426&lt;&gt;"",F426&lt;&gt;""),E426*F426,"-")</f>
        <v>-</v>
      </c>
      <c r="H426" s="11" t="str">
        <f aca="false">IF($D426="S",IF(AND(B426&lt;&gt;"",E426&lt;&gt;""),E426*IFERROR(VLOOKUP(B426,'Saldo Atual'!$A:$K,11,0),0),"-"),"-")</f>
        <v>-</v>
      </c>
      <c r="I426" s="19"/>
      <c r="J426" s="9"/>
      <c r="K426" s="9"/>
    </row>
    <row r="427" customFormat="false" ht="18" hidden="false" customHeight="true" outlineLevel="0" collapsed="false">
      <c r="A427" s="14"/>
      <c r="B427" s="15"/>
      <c r="C427" s="16" t="str">
        <f aca="false">IFERROR(VLOOKUP(B427,Cadastro!$A$5:$B$54,2,0),"")</f>
        <v/>
      </c>
      <c r="D427" s="15"/>
      <c r="E427" s="17"/>
      <c r="F427" s="7"/>
      <c r="G427" s="7" t="str">
        <f aca="false">IF(AND($D427="E",E427&lt;&gt;"",F427&lt;&gt;""),E427*F427,"-")</f>
        <v>-</v>
      </c>
      <c r="H427" s="7" t="str">
        <f aca="false">IF($D427="S",IF(AND(B427&lt;&gt;"",E427&lt;&gt;""),E427*IFERROR(VLOOKUP(B427,'Saldo Atual'!$A:$K,11,0),0),"-"),"-")</f>
        <v>-</v>
      </c>
      <c r="I427" s="15"/>
      <c r="J427" s="5"/>
      <c r="K427" s="5"/>
    </row>
    <row r="428" customFormat="false" ht="18" hidden="false" customHeight="true" outlineLevel="0" collapsed="false">
      <c r="A428" s="18"/>
      <c r="B428" s="19"/>
      <c r="C428" s="20" t="str">
        <f aca="false">IFERROR(VLOOKUP(B428,Cadastro!$A$5:$B$54,2,0),"")</f>
        <v/>
      </c>
      <c r="D428" s="19"/>
      <c r="E428" s="21"/>
      <c r="F428" s="11"/>
      <c r="G428" s="11" t="str">
        <f aca="false">IF(AND($D428="E",E428&lt;&gt;"",F428&lt;&gt;""),E428*F428,"-")</f>
        <v>-</v>
      </c>
      <c r="H428" s="11" t="str">
        <f aca="false">IF($D428="S",IF(AND(B428&lt;&gt;"",E428&lt;&gt;""),E428*IFERROR(VLOOKUP(B428,'Saldo Atual'!$A:$K,11,0),0),"-"),"-")</f>
        <v>-</v>
      </c>
      <c r="I428" s="19"/>
      <c r="J428" s="9"/>
      <c r="K428" s="9"/>
    </row>
    <row r="429" customFormat="false" ht="18" hidden="false" customHeight="true" outlineLevel="0" collapsed="false">
      <c r="A429" s="14"/>
      <c r="B429" s="15"/>
      <c r="C429" s="16" t="str">
        <f aca="false">IFERROR(VLOOKUP(B429,Cadastro!$A$5:$B$54,2,0),"")</f>
        <v/>
      </c>
      <c r="D429" s="15"/>
      <c r="E429" s="17"/>
      <c r="F429" s="7"/>
      <c r="G429" s="7" t="str">
        <f aca="false">IF(AND($D429="E",E429&lt;&gt;"",F429&lt;&gt;""),E429*F429,"-")</f>
        <v>-</v>
      </c>
      <c r="H429" s="7" t="str">
        <f aca="false">IF($D429="S",IF(AND(B429&lt;&gt;"",E429&lt;&gt;""),E429*IFERROR(VLOOKUP(B429,'Saldo Atual'!$A:$K,11,0),0),"-"),"-")</f>
        <v>-</v>
      </c>
      <c r="I429" s="15"/>
      <c r="J429" s="5"/>
      <c r="K429" s="5"/>
    </row>
    <row r="430" customFormat="false" ht="18" hidden="false" customHeight="true" outlineLevel="0" collapsed="false">
      <c r="A430" s="18"/>
      <c r="B430" s="19"/>
      <c r="C430" s="20" t="str">
        <f aca="false">IFERROR(VLOOKUP(B430,Cadastro!$A$5:$B$54,2,0),"")</f>
        <v/>
      </c>
      <c r="D430" s="19"/>
      <c r="E430" s="21"/>
      <c r="F430" s="11"/>
      <c r="G430" s="11" t="str">
        <f aca="false">IF(AND($D430="E",E430&lt;&gt;"",F430&lt;&gt;""),E430*F430,"-")</f>
        <v>-</v>
      </c>
      <c r="H430" s="11" t="str">
        <f aca="false">IF($D430="S",IF(AND(B430&lt;&gt;"",E430&lt;&gt;""),E430*IFERROR(VLOOKUP(B430,'Saldo Atual'!$A:$K,11,0),0),"-"),"-")</f>
        <v>-</v>
      </c>
      <c r="I430" s="19"/>
      <c r="J430" s="9"/>
      <c r="K430" s="9"/>
    </row>
    <row r="431" customFormat="false" ht="18" hidden="false" customHeight="true" outlineLevel="0" collapsed="false">
      <c r="A431" s="14"/>
      <c r="B431" s="15"/>
      <c r="C431" s="16" t="str">
        <f aca="false">IFERROR(VLOOKUP(B431,Cadastro!$A$5:$B$54,2,0),"")</f>
        <v/>
      </c>
      <c r="D431" s="15"/>
      <c r="E431" s="17"/>
      <c r="F431" s="7"/>
      <c r="G431" s="7" t="str">
        <f aca="false">IF(AND($D431="E",E431&lt;&gt;"",F431&lt;&gt;""),E431*F431,"-")</f>
        <v>-</v>
      </c>
      <c r="H431" s="7" t="str">
        <f aca="false">IF($D431="S",IF(AND(B431&lt;&gt;"",E431&lt;&gt;""),E431*IFERROR(VLOOKUP(B431,'Saldo Atual'!$A:$K,11,0),0),"-"),"-")</f>
        <v>-</v>
      </c>
      <c r="I431" s="15"/>
      <c r="J431" s="5"/>
      <c r="K431" s="5"/>
    </row>
    <row r="432" customFormat="false" ht="18" hidden="false" customHeight="true" outlineLevel="0" collapsed="false">
      <c r="A432" s="18"/>
      <c r="B432" s="19"/>
      <c r="C432" s="20" t="str">
        <f aca="false">IFERROR(VLOOKUP(B432,Cadastro!$A$5:$B$54,2,0),"")</f>
        <v/>
      </c>
      <c r="D432" s="19"/>
      <c r="E432" s="21"/>
      <c r="F432" s="11"/>
      <c r="G432" s="11" t="str">
        <f aca="false">IF(AND($D432="E",E432&lt;&gt;"",F432&lt;&gt;""),E432*F432,"-")</f>
        <v>-</v>
      </c>
      <c r="H432" s="11" t="str">
        <f aca="false">IF($D432="S",IF(AND(B432&lt;&gt;"",E432&lt;&gt;""),E432*IFERROR(VLOOKUP(B432,'Saldo Atual'!$A:$K,11,0),0),"-"),"-")</f>
        <v>-</v>
      </c>
      <c r="I432" s="19"/>
      <c r="J432" s="9"/>
      <c r="K432" s="9"/>
    </row>
    <row r="433" customFormat="false" ht="18" hidden="false" customHeight="true" outlineLevel="0" collapsed="false">
      <c r="A433" s="14"/>
      <c r="B433" s="15"/>
      <c r="C433" s="16" t="str">
        <f aca="false">IFERROR(VLOOKUP(B433,Cadastro!$A$5:$B$54,2,0),"")</f>
        <v/>
      </c>
      <c r="D433" s="15"/>
      <c r="E433" s="17"/>
      <c r="F433" s="7"/>
      <c r="G433" s="7" t="str">
        <f aca="false">IF(AND($D433="E",E433&lt;&gt;"",F433&lt;&gt;""),E433*F433,"-")</f>
        <v>-</v>
      </c>
      <c r="H433" s="7" t="str">
        <f aca="false">IF($D433="S",IF(AND(B433&lt;&gt;"",E433&lt;&gt;""),E433*IFERROR(VLOOKUP(B433,'Saldo Atual'!$A:$K,11,0),0),"-"),"-")</f>
        <v>-</v>
      </c>
      <c r="I433" s="15"/>
      <c r="J433" s="5"/>
      <c r="K433" s="5"/>
    </row>
    <row r="434" customFormat="false" ht="18" hidden="false" customHeight="true" outlineLevel="0" collapsed="false">
      <c r="A434" s="18"/>
      <c r="B434" s="19"/>
      <c r="C434" s="20" t="str">
        <f aca="false">IFERROR(VLOOKUP(B434,Cadastro!$A$5:$B$54,2,0),"")</f>
        <v/>
      </c>
      <c r="D434" s="19"/>
      <c r="E434" s="21"/>
      <c r="F434" s="11"/>
      <c r="G434" s="11" t="str">
        <f aca="false">IF(AND($D434="E",E434&lt;&gt;"",F434&lt;&gt;""),E434*F434,"-")</f>
        <v>-</v>
      </c>
      <c r="H434" s="11" t="str">
        <f aca="false">IF($D434="S",IF(AND(B434&lt;&gt;"",E434&lt;&gt;""),E434*IFERROR(VLOOKUP(B434,'Saldo Atual'!$A:$K,11,0),0),"-"),"-")</f>
        <v>-</v>
      </c>
      <c r="I434" s="19"/>
      <c r="J434" s="9"/>
      <c r="K434" s="9"/>
    </row>
    <row r="435" customFormat="false" ht="18" hidden="false" customHeight="true" outlineLevel="0" collapsed="false">
      <c r="A435" s="14"/>
      <c r="B435" s="15"/>
      <c r="C435" s="16" t="str">
        <f aca="false">IFERROR(VLOOKUP(B435,Cadastro!$A$5:$B$54,2,0),"")</f>
        <v/>
      </c>
      <c r="D435" s="15"/>
      <c r="E435" s="17"/>
      <c r="F435" s="7"/>
      <c r="G435" s="7" t="str">
        <f aca="false">IF(AND($D435="E",E435&lt;&gt;"",F435&lt;&gt;""),E435*F435,"-")</f>
        <v>-</v>
      </c>
      <c r="H435" s="7" t="str">
        <f aca="false">IF($D435="S",IF(AND(B435&lt;&gt;"",E435&lt;&gt;""),E435*IFERROR(VLOOKUP(B435,'Saldo Atual'!$A:$K,11,0),0),"-"),"-")</f>
        <v>-</v>
      </c>
      <c r="I435" s="15"/>
      <c r="J435" s="5"/>
      <c r="K435" s="5"/>
    </row>
    <row r="436" customFormat="false" ht="18" hidden="false" customHeight="true" outlineLevel="0" collapsed="false">
      <c r="A436" s="18"/>
      <c r="B436" s="19"/>
      <c r="C436" s="20" t="str">
        <f aca="false">IFERROR(VLOOKUP(B436,Cadastro!$A$5:$B$54,2,0),"")</f>
        <v/>
      </c>
      <c r="D436" s="19"/>
      <c r="E436" s="21"/>
      <c r="F436" s="11"/>
      <c r="G436" s="11" t="str">
        <f aca="false">IF(AND($D436="E",E436&lt;&gt;"",F436&lt;&gt;""),E436*F436,"-")</f>
        <v>-</v>
      </c>
      <c r="H436" s="11" t="str">
        <f aca="false">IF($D436="S",IF(AND(B436&lt;&gt;"",E436&lt;&gt;""),E436*IFERROR(VLOOKUP(B436,'Saldo Atual'!$A:$K,11,0),0),"-"),"-")</f>
        <v>-</v>
      </c>
      <c r="I436" s="19"/>
      <c r="J436" s="9"/>
      <c r="K436" s="9"/>
    </row>
    <row r="437" customFormat="false" ht="18" hidden="false" customHeight="true" outlineLevel="0" collapsed="false">
      <c r="A437" s="14"/>
      <c r="B437" s="15"/>
      <c r="C437" s="16" t="str">
        <f aca="false">IFERROR(VLOOKUP(B437,Cadastro!$A$5:$B$54,2,0),"")</f>
        <v/>
      </c>
      <c r="D437" s="15"/>
      <c r="E437" s="17"/>
      <c r="F437" s="7"/>
      <c r="G437" s="7" t="str">
        <f aca="false">IF(AND($D437="E",E437&lt;&gt;"",F437&lt;&gt;""),E437*F437,"-")</f>
        <v>-</v>
      </c>
      <c r="H437" s="7" t="str">
        <f aca="false">IF($D437="S",IF(AND(B437&lt;&gt;"",E437&lt;&gt;""),E437*IFERROR(VLOOKUP(B437,'Saldo Atual'!$A:$K,11,0),0),"-"),"-")</f>
        <v>-</v>
      </c>
      <c r="I437" s="15"/>
      <c r="J437" s="5"/>
      <c r="K437" s="5"/>
    </row>
    <row r="438" customFormat="false" ht="18" hidden="false" customHeight="true" outlineLevel="0" collapsed="false">
      <c r="A438" s="18"/>
      <c r="B438" s="19"/>
      <c r="C438" s="20" t="str">
        <f aca="false">IFERROR(VLOOKUP(B438,Cadastro!$A$5:$B$54,2,0),"")</f>
        <v/>
      </c>
      <c r="D438" s="19"/>
      <c r="E438" s="21"/>
      <c r="F438" s="11"/>
      <c r="G438" s="11" t="str">
        <f aca="false">IF(AND($D438="E",E438&lt;&gt;"",F438&lt;&gt;""),E438*F438,"-")</f>
        <v>-</v>
      </c>
      <c r="H438" s="11" t="str">
        <f aca="false">IF($D438="S",IF(AND(B438&lt;&gt;"",E438&lt;&gt;""),E438*IFERROR(VLOOKUP(B438,'Saldo Atual'!$A:$K,11,0),0),"-"),"-")</f>
        <v>-</v>
      </c>
      <c r="I438" s="19"/>
      <c r="J438" s="9"/>
      <c r="K438" s="9"/>
    </row>
    <row r="439" customFormat="false" ht="18" hidden="false" customHeight="true" outlineLevel="0" collapsed="false">
      <c r="A439" s="14"/>
      <c r="B439" s="15"/>
      <c r="C439" s="16" t="str">
        <f aca="false">IFERROR(VLOOKUP(B439,Cadastro!$A$5:$B$54,2,0),"")</f>
        <v/>
      </c>
      <c r="D439" s="15"/>
      <c r="E439" s="17"/>
      <c r="F439" s="7"/>
      <c r="G439" s="7" t="str">
        <f aca="false">IF(AND($D439="E",E439&lt;&gt;"",F439&lt;&gt;""),E439*F439,"-")</f>
        <v>-</v>
      </c>
      <c r="H439" s="7" t="str">
        <f aca="false">IF($D439="S",IF(AND(B439&lt;&gt;"",E439&lt;&gt;""),E439*IFERROR(VLOOKUP(B439,'Saldo Atual'!$A:$K,11,0),0),"-"),"-")</f>
        <v>-</v>
      </c>
      <c r="I439" s="15"/>
      <c r="J439" s="5"/>
      <c r="K439" s="5"/>
    </row>
    <row r="440" customFormat="false" ht="18" hidden="false" customHeight="true" outlineLevel="0" collapsed="false">
      <c r="A440" s="18"/>
      <c r="B440" s="19"/>
      <c r="C440" s="20" t="str">
        <f aca="false">IFERROR(VLOOKUP(B440,Cadastro!$A$5:$B$54,2,0),"")</f>
        <v/>
      </c>
      <c r="D440" s="19"/>
      <c r="E440" s="21"/>
      <c r="F440" s="11"/>
      <c r="G440" s="11" t="str">
        <f aca="false">IF(AND($D440="E",E440&lt;&gt;"",F440&lt;&gt;""),E440*F440,"-")</f>
        <v>-</v>
      </c>
      <c r="H440" s="11" t="str">
        <f aca="false">IF($D440="S",IF(AND(B440&lt;&gt;"",E440&lt;&gt;""),E440*IFERROR(VLOOKUP(B440,'Saldo Atual'!$A:$K,11,0),0),"-"),"-")</f>
        <v>-</v>
      </c>
      <c r="I440" s="19"/>
      <c r="J440" s="9"/>
      <c r="K440" s="9"/>
    </row>
    <row r="441" customFormat="false" ht="18" hidden="false" customHeight="true" outlineLevel="0" collapsed="false">
      <c r="A441" s="14"/>
      <c r="B441" s="15"/>
      <c r="C441" s="16" t="str">
        <f aca="false">IFERROR(VLOOKUP(B441,Cadastro!$A$5:$B$54,2,0),"")</f>
        <v/>
      </c>
      <c r="D441" s="15"/>
      <c r="E441" s="17"/>
      <c r="F441" s="7"/>
      <c r="G441" s="7" t="str">
        <f aca="false">IF(AND($D441="E",E441&lt;&gt;"",F441&lt;&gt;""),E441*F441,"-")</f>
        <v>-</v>
      </c>
      <c r="H441" s="7" t="str">
        <f aca="false">IF($D441="S",IF(AND(B441&lt;&gt;"",E441&lt;&gt;""),E441*IFERROR(VLOOKUP(B441,'Saldo Atual'!$A:$K,11,0),0),"-"),"-")</f>
        <v>-</v>
      </c>
      <c r="I441" s="15"/>
      <c r="J441" s="5"/>
      <c r="K441" s="5"/>
    </row>
    <row r="442" customFormat="false" ht="18" hidden="false" customHeight="true" outlineLevel="0" collapsed="false">
      <c r="A442" s="18"/>
      <c r="B442" s="19"/>
      <c r="C442" s="20" t="str">
        <f aca="false">IFERROR(VLOOKUP(B442,Cadastro!$A$5:$B$54,2,0),"")</f>
        <v/>
      </c>
      <c r="D442" s="19"/>
      <c r="E442" s="21"/>
      <c r="F442" s="11"/>
      <c r="G442" s="11" t="str">
        <f aca="false">IF(AND($D442="E",E442&lt;&gt;"",F442&lt;&gt;""),E442*F442,"-")</f>
        <v>-</v>
      </c>
      <c r="H442" s="11" t="str">
        <f aca="false">IF($D442="S",IF(AND(B442&lt;&gt;"",E442&lt;&gt;""),E442*IFERROR(VLOOKUP(B442,'Saldo Atual'!$A:$K,11,0),0),"-"),"-")</f>
        <v>-</v>
      </c>
      <c r="I442" s="19"/>
      <c r="J442" s="9"/>
      <c r="K442" s="9"/>
    </row>
    <row r="443" customFormat="false" ht="18" hidden="false" customHeight="true" outlineLevel="0" collapsed="false">
      <c r="A443" s="14"/>
      <c r="B443" s="15"/>
      <c r="C443" s="16" t="str">
        <f aca="false">IFERROR(VLOOKUP(B443,Cadastro!$A$5:$B$54,2,0),"")</f>
        <v/>
      </c>
      <c r="D443" s="15"/>
      <c r="E443" s="17"/>
      <c r="F443" s="7"/>
      <c r="G443" s="7" t="str">
        <f aca="false">IF(AND($D443="E",E443&lt;&gt;"",F443&lt;&gt;""),E443*F443,"-")</f>
        <v>-</v>
      </c>
      <c r="H443" s="7" t="str">
        <f aca="false">IF($D443="S",IF(AND(B443&lt;&gt;"",E443&lt;&gt;""),E443*IFERROR(VLOOKUP(B443,'Saldo Atual'!$A:$K,11,0),0),"-"),"-")</f>
        <v>-</v>
      </c>
      <c r="I443" s="15"/>
      <c r="J443" s="5"/>
      <c r="K443" s="5"/>
    </row>
    <row r="444" customFormat="false" ht="18" hidden="false" customHeight="true" outlineLevel="0" collapsed="false">
      <c r="A444" s="18"/>
      <c r="B444" s="19"/>
      <c r="C444" s="20" t="str">
        <f aca="false">IFERROR(VLOOKUP(B444,Cadastro!$A$5:$B$54,2,0),"")</f>
        <v/>
      </c>
      <c r="D444" s="19"/>
      <c r="E444" s="21"/>
      <c r="F444" s="11"/>
      <c r="G444" s="11" t="str">
        <f aca="false">IF(AND($D444="E",E444&lt;&gt;"",F444&lt;&gt;""),E444*F444,"-")</f>
        <v>-</v>
      </c>
      <c r="H444" s="11" t="str">
        <f aca="false">IF($D444="S",IF(AND(B444&lt;&gt;"",E444&lt;&gt;""),E444*IFERROR(VLOOKUP(B444,'Saldo Atual'!$A:$K,11,0),0),"-"),"-")</f>
        <v>-</v>
      </c>
      <c r="I444" s="19"/>
      <c r="J444" s="9"/>
      <c r="K444" s="9"/>
    </row>
    <row r="445" customFormat="false" ht="18" hidden="false" customHeight="true" outlineLevel="0" collapsed="false">
      <c r="A445" s="14"/>
      <c r="B445" s="15"/>
      <c r="C445" s="16" t="str">
        <f aca="false">IFERROR(VLOOKUP(B445,Cadastro!$A$5:$B$54,2,0),"")</f>
        <v/>
      </c>
      <c r="D445" s="15"/>
      <c r="E445" s="17"/>
      <c r="F445" s="7"/>
      <c r="G445" s="7" t="str">
        <f aca="false">IF(AND($D445="E",E445&lt;&gt;"",F445&lt;&gt;""),E445*F445,"-")</f>
        <v>-</v>
      </c>
      <c r="H445" s="7" t="str">
        <f aca="false">IF($D445="S",IF(AND(B445&lt;&gt;"",E445&lt;&gt;""),E445*IFERROR(VLOOKUP(B445,'Saldo Atual'!$A:$K,11,0),0),"-"),"-")</f>
        <v>-</v>
      </c>
      <c r="I445" s="15"/>
      <c r="J445" s="5"/>
      <c r="K445" s="5"/>
    </row>
    <row r="446" customFormat="false" ht="18" hidden="false" customHeight="true" outlineLevel="0" collapsed="false">
      <c r="A446" s="18"/>
      <c r="B446" s="19"/>
      <c r="C446" s="20" t="str">
        <f aca="false">IFERROR(VLOOKUP(B446,Cadastro!$A$5:$B$54,2,0),"")</f>
        <v/>
      </c>
      <c r="D446" s="19"/>
      <c r="E446" s="21"/>
      <c r="F446" s="11"/>
      <c r="G446" s="11" t="str">
        <f aca="false">IF(AND($D446="E",E446&lt;&gt;"",F446&lt;&gt;""),E446*F446,"-")</f>
        <v>-</v>
      </c>
      <c r="H446" s="11" t="str">
        <f aca="false">IF($D446="S",IF(AND(B446&lt;&gt;"",E446&lt;&gt;""),E446*IFERROR(VLOOKUP(B446,'Saldo Atual'!$A:$K,11,0),0),"-"),"-")</f>
        <v>-</v>
      </c>
      <c r="I446" s="19"/>
      <c r="J446" s="9"/>
      <c r="K446" s="9"/>
    </row>
    <row r="447" customFormat="false" ht="18" hidden="false" customHeight="true" outlineLevel="0" collapsed="false">
      <c r="A447" s="14"/>
      <c r="B447" s="15"/>
      <c r="C447" s="16" t="str">
        <f aca="false">IFERROR(VLOOKUP(B447,Cadastro!$A$5:$B$54,2,0),"")</f>
        <v/>
      </c>
      <c r="D447" s="15"/>
      <c r="E447" s="17"/>
      <c r="F447" s="7"/>
      <c r="G447" s="7" t="str">
        <f aca="false">IF(AND($D447="E",E447&lt;&gt;"",F447&lt;&gt;""),E447*F447,"-")</f>
        <v>-</v>
      </c>
      <c r="H447" s="7" t="str">
        <f aca="false">IF($D447="S",IF(AND(B447&lt;&gt;"",E447&lt;&gt;""),E447*IFERROR(VLOOKUP(B447,'Saldo Atual'!$A:$K,11,0),0),"-"),"-")</f>
        <v>-</v>
      </c>
      <c r="I447" s="15"/>
      <c r="J447" s="5"/>
      <c r="K447" s="5"/>
    </row>
    <row r="448" customFormat="false" ht="18" hidden="false" customHeight="true" outlineLevel="0" collapsed="false">
      <c r="A448" s="18"/>
      <c r="B448" s="19"/>
      <c r="C448" s="20" t="str">
        <f aca="false">IFERROR(VLOOKUP(B448,Cadastro!$A$5:$B$54,2,0),"")</f>
        <v/>
      </c>
      <c r="D448" s="19"/>
      <c r="E448" s="21"/>
      <c r="F448" s="11"/>
      <c r="G448" s="11" t="str">
        <f aca="false">IF(AND($D448="E",E448&lt;&gt;"",F448&lt;&gt;""),E448*F448,"-")</f>
        <v>-</v>
      </c>
      <c r="H448" s="11" t="str">
        <f aca="false">IF($D448="S",IF(AND(B448&lt;&gt;"",E448&lt;&gt;""),E448*IFERROR(VLOOKUP(B448,'Saldo Atual'!$A:$K,11,0),0),"-"),"-")</f>
        <v>-</v>
      </c>
      <c r="I448" s="19"/>
      <c r="J448" s="9"/>
      <c r="K448" s="9"/>
    </row>
    <row r="449" customFormat="false" ht="18" hidden="false" customHeight="true" outlineLevel="0" collapsed="false">
      <c r="A449" s="14"/>
      <c r="B449" s="15"/>
      <c r="C449" s="16" t="str">
        <f aca="false">IFERROR(VLOOKUP(B449,Cadastro!$A$5:$B$54,2,0),"")</f>
        <v/>
      </c>
      <c r="D449" s="15"/>
      <c r="E449" s="17"/>
      <c r="F449" s="7"/>
      <c r="G449" s="7" t="str">
        <f aca="false">IF(AND($D449="E",E449&lt;&gt;"",F449&lt;&gt;""),E449*F449,"-")</f>
        <v>-</v>
      </c>
      <c r="H449" s="7" t="str">
        <f aca="false">IF($D449="S",IF(AND(B449&lt;&gt;"",E449&lt;&gt;""),E449*IFERROR(VLOOKUP(B449,'Saldo Atual'!$A:$K,11,0),0),"-"),"-")</f>
        <v>-</v>
      </c>
      <c r="I449" s="15"/>
      <c r="J449" s="5"/>
      <c r="K449" s="5"/>
    </row>
    <row r="450" customFormat="false" ht="18" hidden="false" customHeight="true" outlineLevel="0" collapsed="false">
      <c r="A450" s="18"/>
      <c r="B450" s="19"/>
      <c r="C450" s="20" t="str">
        <f aca="false">IFERROR(VLOOKUP(B450,Cadastro!$A$5:$B$54,2,0),"")</f>
        <v/>
      </c>
      <c r="D450" s="19"/>
      <c r="E450" s="21"/>
      <c r="F450" s="11"/>
      <c r="G450" s="11" t="str">
        <f aca="false">IF(AND($D450="E",E450&lt;&gt;"",F450&lt;&gt;""),E450*F450,"-")</f>
        <v>-</v>
      </c>
      <c r="H450" s="11" t="str">
        <f aca="false">IF($D450="S",IF(AND(B450&lt;&gt;"",E450&lt;&gt;""),E450*IFERROR(VLOOKUP(B450,'Saldo Atual'!$A:$K,11,0),0),"-"),"-")</f>
        <v>-</v>
      </c>
      <c r="I450" s="19"/>
      <c r="J450" s="9"/>
      <c r="K450" s="9"/>
    </row>
    <row r="451" customFormat="false" ht="18" hidden="false" customHeight="true" outlineLevel="0" collapsed="false">
      <c r="A451" s="14"/>
      <c r="B451" s="15"/>
      <c r="C451" s="16" t="str">
        <f aca="false">IFERROR(VLOOKUP(B451,Cadastro!$A$5:$B$54,2,0),"")</f>
        <v/>
      </c>
      <c r="D451" s="15"/>
      <c r="E451" s="17"/>
      <c r="F451" s="7"/>
      <c r="G451" s="7" t="str">
        <f aca="false">IF(AND($D451="E",E451&lt;&gt;"",F451&lt;&gt;""),E451*F451,"-")</f>
        <v>-</v>
      </c>
      <c r="H451" s="7" t="str">
        <f aca="false">IF($D451="S",IF(AND(B451&lt;&gt;"",E451&lt;&gt;""),E451*IFERROR(VLOOKUP(B451,'Saldo Atual'!$A:$K,11,0),0),"-"),"-")</f>
        <v>-</v>
      </c>
      <c r="I451" s="15"/>
      <c r="J451" s="5"/>
      <c r="K451" s="5"/>
    </row>
    <row r="452" customFormat="false" ht="18" hidden="false" customHeight="true" outlineLevel="0" collapsed="false">
      <c r="A452" s="18"/>
      <c r="B452" s="19"/>
      <c r="C452" s="20" t="str">
        <f aca="false">IFERROR(VLOOKUP(B452,Cadastro!$A$5:$B$54,2,0),"")</f>
        <v/>
      </c>
      <c r="D452" s="19"/>
      <c r="E452" s="21"/>
      <c r="F452" s="11"/>
      <c r="G452" s="11" t="str">
        <f aca="false">IF(AND($D452="E",E452&lt;&gt;"",F452&lt;&gt;""),E452*F452,"-")</f>
        <v>-</v>
      </c>
      <c r="H452" s="11" t="str">
        <f aca="false">IF($D452="S",IF(AND(B452&lt;&gt;"",E452&lt;&gt;""),E452*IFERROR(VLOOKUP(B452,'Saldo Atual'!$A:$K,11,0),0),"-"),"-")</f>
        <v>-</v>
      </c>
      <c r="I452" s="19"/>
      <c r="J452" s="9"/>
      <c r="K452" s="9"/>
    </row>
    <row r="453" customFormat="false" ht="18" hidden="false" customHeight="true" outlineLevel="0" collapsed="false">
      <c r="A453" s="14"/>
      <c r="B453" s="15"/>
      <c r="C453" s="16" t="str">
        <f aca="false">IFERROR(VLOOKUP(B453,Cadastro!$A$5:$B$54,2,0),"")</f>
        <v/>
      </c>
      <c r="D453" s="15"/>
      <c r="E453" s="17"/>
      <c r="F453" s="7"/>
      <c r="G453" s="7" t="str">
        <f aca="false">IF(AND($D453="E",E453&lt;&gt;"",F453&lt;&gt;""),E453*F453,"-")</f>
        <v>-</v>
      </c>
      <c r="H453" s="7" t="str">
        <f aca="false">IF($D453="S",IF(AND(B453&lt;&gt;"",E453&lt;&gt;""),E453*IFERROR(VLOOKUP(B453,'Saldo Atual'!$A:$K,11,0),0),"-"),"-")</f>
        <v>-</v>
      </c>
      <c r="I453" s="15"/>
      <c r="J453" s="5"/>
      <c r="K453" s="5"/>
    </row>
    <row r="454" customFormat="false" ht="18" hidden="false" customHeight="true" outlineLevel="0" collapsed="false">
      <c r="A454" s="18"/>
      <c r="B454" s="19"/>
      <c r="C454" s="20" t="str">
        <f aca="false">IFERROR(VLOOKUP(B454,Cadastro!$A$5:$B$54,2,0),"")</f>
        <v/>
      </c>
      <c r="D454" s="19"/>
      <c r="E454" s="21"/>
      <c r="F454" s="11"/>
      <c r="G454" s="11" t="str">
        <f aca="false">IF(AND($D454="E",E454&lt;&gt;"",F454&lt;&gt;""),E454*F454,"-")</f>
        <v>-</v>
      </c>
      <c r="H454" s="11" t="str">
        <f aca="false">IF($D454="S",IF(AND(B454&lt;&gt;"",E454&lt;&gt;""),E454*IFERROR(VLOOKUP(B454,'Saldo Atual'!$A:$K,11,0),0),"-"),"-")</f>
        <v>-</v>
      </c>
      <c r="I454" s="19"/>
      <c r="J454" s="9"/>
      <c r="K454" s="9"/>
    </row>
    <row r="455" customFormat="false" ht="18" hidden="false" customHeight="true" outlineLevel="0" collapsed="false">
      <c r="A455" s="14"/>
      <c r="B455" s="15"/>
      <c r="C455" s="16" t="str">
        <f aca="false">IFERROR(VLOOKUP(B455,Cadastro!$A$5:$B$54,2,0),"")</f>
        <v/>
      </c>
      <c r="D455" s="15"/>
      <c r="E455" s="17"/>
      <c r="F455" s="7"/>
      <c r="G455" s="7" t="str">
        <f aca="false">IF(AND($D455="E",E455&lt;&gt;"",F455&lt;&gt;""),E455*F455,"-")</f>
        <v>-</v>
      </c>
      <c r="H455" s="7" t="str">
        <f aca="false">IF($D455="S",IF(AND(B455&lt;&gt;"",E455&lt;&gt;""),E455*IFERROR(VLOOKUP(B455,'Saldo Atual'!$A:$K,11,0),0),"-"),"-")</f>
        <v>-</v>
      </c>
      <c r="I455" s="15"/>
      <c r="J455" s="5"/>
      <c r="K455" s="5"/>
    </row>
    <row r="456" customFormat="false" ht="18" hidden="false" customHeight="true" outlineLevel="0" collapsed="false">
      <c r="A456" s="18"/>
      <c r="B456" s="19"/>
      <c r="C456" s="20" t="str">
        <f aca="false">IFERROR(VLOOKUP(B456,Cadastro!$A$5:$B$54,2,0),"")</f>
        <v/>
      </c>
      <c r="D456" s="19"/>
      <c r="E456" s="21"/>
      <c r="F456" s="11"/>
      <c r="G456" s="11" t="str">
        <f aca="false">IF(AND($D456="E",E456&lt;&gt;"",F456&lt;&gt;""),E456*F456,"-")</f>
        <v>-</v>
      </c>
      <c r="H456" s="11" t="str">
        <f aca="false">IF($D456="S",IF(AND(B456&lt;&gt;"",E456&lt;&gt;""),E456*IFERROR(VLOOKUP(B456,'Saldo Atual'!$A:$K,11,0),0),"-"),"-")</f>
        <v>-</v>
      </c>
      <c r="I456" s="19"/>
      <c r="J456" s="9"/>
      <c r="K456" s="9"/>
    </row>
    <row r="457" customFormat="false" ht="18" hidden="false" customHeight="true" outlineLevel="0" collapsed="false">
      <c r="A457" s="14"/>
      <c r="B457" s="15"/>
      <c r="C457" s="16" t="str">
        <f aca="false">IFERROR(VLOOKUP(B457,Cadastro!$A$5:$B$54,2,0),"")</f>
        <v/>
      </c>
      <c r="D457" s="15"/>
      <c r="E457" s="17"/>
      <c r="F457" s="7"/>
      <c r="G457" s="7" t="str">
        <f aca="false">IF(AND($D457="E",E457&lt;&gt;"",F457&lt;&gt;""),E457*F457,"-")</f>
        <v>-</v>
      </c>
      <c r="H457" s="7" t="str">
        <f aca="false">IF($D457="S",IF(AND(B457&lt;&gt;"",E457&lt;&gt;""),E457*IFERROR(VLOOKUP(B457,'Saldo Atual'!$A:$K,11,0),0),"-"),"-")</f>
        <v>-</v>
      </c>
      <c r="I457" s="15"/>
      <c r="J457" s="5"/>
      <c r="K457" s="5"/>
    </row>
    <row r="458" customFormat="false" ht="18" hidden="false" customHeight="true" outlineLevel="0" collapsed="false">
      <c r="A458" s="18"/>
      <c r="B458" s="19"/>
      <c r="C458" s="20" t="str">
        <f aca="false">IFERROR(VLOOKUP(B458,Cadastro!$A$5:$B$54,2,0),"")</f>
        <v/>
      </c>
      <c r="D458" s="19"/>
      <c r="E458" s="21"/>
      <c r="F458" s="11"/>
      <c r="G458" s="11" t="str">
        <f aca="false">IF(AND($D458="E",E458&lt;&gt;"",F458&lt;&gt;""),E458*F458,"-")</f>
        <v>-</v>
      </c>
      <c r="H458" s="11" t="str">
        <f aca="false">IF($D458="S",IF(AND(B458&lt;&gt;"",E458&lt;&gt;""),E458*IFERROR(VLOOKUP(B458,'Saldo Atual'!$A:$K,11,0),0),"-"),"-")</f>
        <v>-</v>
      </c>
      <c r="I458" s="19"/>
      <c r="J458" s="9"/>
      <c r="K458" s="9"/>
    </row>
    <row r="459" customFormat="false" ht="18" hidden="false" customHeight="true" outlineLevel="0" collapsed="false">
      <c r="A459" s="14"/>
      <c r="B459" s="15"/>
      <c r="C459" s="16" t="str">
        <f aca="false">IFERROR(VLOOKUP(B459,Cadastro!$A$5:$B$54,2,0),"")</f>
        <v/>
      </c>
      <c r="D459" s="15"/>
      <c r="E459" s="17"/>
      <c r="F459" s="7"/>
      <c r="G459" s="7" t="str">
        <f aca="false">IF(AND($D459="E",E459&lt;&gt;"",F459&lt;&gt;""),E459*F459,"-")</f>
        <v>-</v>
      </c>
      <c r="H459" s="7" t="str">
        <f aca="false">IF($D459="S",IF(AND(B459&lt;&gt;"",E459&lt;&gt;""),E459*IFERROR(VLOOKUP(B459,'Saldo Atual'!$A:$K,11,0),0),"-"),"-")</f>
        <v>-</v>
      </c>
      <c r="I459" s="15"/>
      <c r="J459" s="5"/>
      <c r="K459" s="5"/>
    </row>
    <row r="460" customFormat="false" ht="18" hidden="false" customHeight="true" outlineLevel="0" collapsed="false">
      <c r="A460" s="18"/>
      <c r="B460" s="19"/>
      <c r="C460" s="20" t="str">
        <f aca="false">IFERROR(VLOOKUP(B460,Cadastro!$A$5:$B$54,2,0),"")</f>
        <v/>
      </c>
      <c r="D460" s="19"/>
      <c r="E460" s="21"/>
      <c r="F460" s="11"/>
      <c r="G460" s="11" t="str">
        <f aca="false">IF(AND($D460="E",E460&lt;&gt;"",F460&lt;&gt;""),E460*F460,"-")</f>
        <v>-</v>
      </c>
      <c r="H460" s="11" t="str">
        <f aca="false">IF($D460="S",IF(AND(B460&lt;&gt;"",E460&lt;&gt;""),E460*IFERROR(VLOOKUP(B460,'Saldo Atual'!$A:$K,11,0),0),"-"),"-")</f>
        <v>-</v>
      </c>
      <c r="I460" s="19"/>
      <c r="J460" s="9"/>
      <c r="K460" s="9"/>
    </row>
    <row r="461" customFormat="false" ht="18" hidden="false" customHeight="true" outlineLevel="0" collapsed="false">
      <c r="A461" s="14"/>
      <c r="B461" s="15"/>
      <c r="C461" s="16" t="str">
        <f aca="false">IFERROR(VLOOKUP(B461,Cadastro!$A$5:$B$54,2,0),"")</f>
        <v/>
      </c>
      <c r="D461" s="15"/>
      <c r="E461" s="17"/>
      <c r="F461" s="7"/>
      <c r="G461" s="7" t="str">
        <f aca="false">IF(AND($D461="E",E461&lt;&gt;"",F461&lt;&gt;""),E461*F461,"-")</f>
        <v>-</v>
      </c>
      <c r="H461" s="7" t="str">
        <f aca="false">IF($D461="S",IF(AND(B461&lt;&gt;"",E461&lt;&gt;""),E461*IFERROR(VLOOKUP(B461,'Saldo Atual'!$A:$K,11,0),0),"-"),"-")</f>
        <v>-</v>
      </c>
      <c r="I461" s="15"/>
      <c r="J461" s="5"/>
      <c r="K461" s="5"/>
    </row>
    <row r="462" customFormat="false" ht="18" hidden="false" customHeight="true" outlineLevel="0" collapsed="false">
      <c r="A462" s="18"/>
      <c r="B462" s="19"/>
      <c r="C462" s="20" t="str">
        <f aca="false">IFERROR(VLOOKUP(B462,Cadastro!$A$5:$B$54,2,0),"")</f>
        <v/>
      </c>
      <c r="D462" s="19"/>
      <c r="E462" s="21"/>
      <c r="F462" s="11"/>
      <c r="G462" s="11" t="str">
        <f aca="false">IF(AND($D462="E",E462&lt;&gt;"",F462&lt;&gt;""),E462*F462,"-")</f>
        <v>-</v>
      </c>
      <c r="H462" s="11" t="str">
        <f aca="false">IF($D462="S",IF(AND(B462&lt;&gt;"",E462&lt;&gt;""),E462*IFERROR(VLOOKUP(B462,'Saldo Atual'!$A:$K,11,0),0),"-"),"-")</f>
        <v>-</v>
      </c>
      <c r="I462" s="19"/>
      <c r="J462" s="9"/>
      <c r="K462" s="9"/>
    </row>
    <row r="463" customFormat="false" ht="18" hidden="false" customHeight="true" outlineLevel="0" collapsed="false">
      <c r="A463" s="14"/>
      <c r="B463" s="15"/>
      <c r="C463" s="16" t="str">
        <f aca="false">IFERROR(VLOOKUP(B463,Cadastro!$A$5:$B$54,2,0),"")</f>
        <v/>
      </c>
      <c r="D463" s="15"/>
      <c r="E463" s="17"/>
      <c r="F463" s="7"/>
      <c r="G463" s="7" t="str">
        <f aca="false">IF(AND($D463="E",E463&lt;&gt;"",F463&lt;&gt;""),E463*F463,"-")</f>
        <v>-</v>
      </c>
      <c r="H463" s="7" t="str">
        <f aca="false">IF($D463="S",IF(AND(B463&lt;&gt;"",E463&lt;&gt;""),E463*IFERROR(VLOOKUP(B463,'Saldo Atual'!$A:$K,11,0),0),"-"),"-")</f>
        <v>-</v>
      </c>
      <c r="I463" s="15"/>
      <c r="J463" s="5"/>
      <c r="K463" s="5"/>
    </row>
    <row r="464" customFormat="false" ht="18" hidden="false" customHeight="true" outlineLevel="0" collapsed="false">
      <c r="A464" s="18"/>
      <c r="B464" s="19"/>
      <c r="C464" s="20" t="str">
        <f aca="false">IFERROR(VLOOKUP(B464,Cadastro!$A$5:$B$54,2,0),"")</f>
        <v/>
      </c>
      <c r="D464" s="19"/>
      <c r="E464" s="21"/>
      <c r="F464" s="11"/>
      <c r="G464" s="11" t="str">
        <f aca="false">IF(AND($D464="E",E464&lt;&gt;"",F464&lt;&gt;""),E464*F464,"-")</f>
        <v>-</v>
      </c>
      <c r="H464" s="11" t="str">
        <f aca="false">IF($D464="S",IF(AND(B464&lt;&gt;"",E464&lt;&gt;""),E464*IFERROR(VLOOKUP(B464,'Saldo Atual'!$A:$K,11,0),0),"-"),"-")</f>
        <v>-</v>
      </c>
      <c r="I464" s="19"/>
      <c r="J464" s="9"/>
      <c r="K464" s="9"/>
    </row>
    <row r="465" customFormat="false" ht="18" hidden="false" customHeight="true" outlineLevel="0" collapsed="false">
      <c r="A465" s="14"/>
      <c r="B465" s="15"/>
      <c r="C465" s="16" t="str">
        <f aca="false">IFERROR(VLOOKUP(B465,Cadastro!$A$5:$B$54,2,0),"")</f>
        <v/>
      </c>
      <c r="D465" s="15"/>
      <c r="E465" s="17"/>
      <c r="F465" s="7"/>
      <c r="G465" s="7" t="str">
        <f aca="false">IF(AND($D465="E",E465&lt;&gt;"",F465&lt;&gt;""),E465*F465,"-")</f>
        <v>-</v>
      </c>
      <c r="H465" s="7" t="str">
        <f aca="false">IF($D465="S",IF(AND(B465&lt;&gt;"",E465&lt;&gt;""),E465*IFERROR(VLOOKUP(B465,'Saldo Atual'!$A:$K,11,0),0),"-"),"-")</f>
        <v>-</v>
      </c>
      <c r="I465" s="15"/>
      <c r="J465" s="5"/>
      <c r="K465" s="5"/>
    </row>
    <row r="466" customFormat="false" ht="18" hidden="false" customHeight="true" outlineLevel="0" collapsed="false">
      <c r="A466" s="18"/>
      <c r="B466" s="19"/>
      <c r="C466" s="20" t="str">
        <f aca="false">IFERROR(VLOOKUP(B466,Cadastro!$A$5:$B$54,2,0),"")</f>
        <v/>
      </c>
      <c r="D466" s="19"/>
      <c r="E466" s="21"/>
      <c r="F466" s="11"/>
      <c r="G466" s="11" t="str">
        <f aca="false">IF(AND($D466="E",E466&lt;&gt;"",F466&lt;&gt;""),E466*F466,"-")</f>
        <v>-</v>
      </c>
      <c r="H466" s="11" t="str">
        <f aca="false">IF($D466="S",IF(AND(B466&lt;&gt;"",E466&lt;&gt;""),E466*IFERROR(VLOOKUP(B466,'Saldo Atual'!$A:$K,11,0),0),"-"),"-")</f>
        <v>-</v>
      </c>
      <c r="I466" s="19"/>
      <c r="J466" s="9"/>
      <c r="K466" s="9"/>
    </row>
    <row r="467" customFormat="false" ht="18" hidden="false" customHeight="true" outlineLevel="0" collapsed="false">
      <c r="A467" s="14"/>
      <c r="B467" s="15"/>
      <c r="C467" s="16" t="str">
        <f aca="false">IFERROR(VLOOKUP(B467,Cadastro!$A$5:$B$54,2,0),"")</f>
        <v/>
      </c>
      <c r="D467" s="15"/>
      <c r="E467" s="17"/>
      <c r="F467" s="7"/>
      <c r="G467" s="7" t="str">
        <f aca="false">IF(AND($D467="E",E467&lt;&gt;"",F467&lt;&gt;""),E467*F467,"-")</f>
        <v>-</v>
      </c>
      <c r="H467" s="7" t="str">
        <f aca="false">IF($D467="S",IF(AND(B467&lt;&gt;"",E467&lt;&gt;""),E467*IFERROR(VLOOKUP(B467,'Saldo Atual'!$A:$K,11,0),0),"-"),"-")</f>
        <v>-</v>
      </c>
      <c r="I467" s="15"/>
      <c r="J467" s="5"/>
      <c r="K467" s="5"/>
    </row>
    <row r="468" customFormat="false" ht="18" hidden="false" customHeight="true" outlineLevel="0" collapsed="false">
      <c r="A468" s="18"/>
      <c r="B468" s="19"/>
      <c r="C468" s="20" t="str">
        <f aca="false">IFERROR(VLOOKUP(B468,Cadastro!$A$5:$B$54,2,0),"")</f>
        <v/>
      </c>
      <c r="D468" s="19"/>
      <c r="E468" s="21"/>
      <c r="F468" s="11"/>
      <c r="G468" s="11" t="str">
        <f aca="false">IF(AND($D468="E",E468&lt;&gt;"",F468&lt;&gt;""),E468*F468,"-")</f>
        <v>-</v>
      </c>
      <c r="H468" s="11" t="str">
        <f aca="false">IF($D468="S",IF(AND(B468&lt;&gt;"",E468&lt;&gt;""),E468*IFERROR(VLOOKUP(B468,'Saldo Atual'!$A:$K,11,0),0),"-"),"-")</f>
        <v>-</v>
      </c>
      <c r="I468" s="19"/>
      <c r="J468" s="9"/>
      <c r="K468" s="9"/>
    </row>
    <row r="469" customFormat="false" ht="18" hidden="false" customHeight="true" outlineLevel="0" collapsed="false">
      <c r="A469" s="14"/>
      <c r="B469" s="15"/>
      <c r="C469" s="16" t="str">
        <f aca="false">IFERROR(VLOOKUP(B469,Cadastro!$A$5:$B$54,2,0),"")</f>
        <v/>
      </c>
      <c r="D469" s="15"/>
      <c r="E469" s="17"/>
      <c r="F469" s="7"/>
      <c r="G469" s="7" t="str">
        <f aca="false">IF(AND($D469="E",E469&lt;&gt;"",F469&lt;&gt;""),E469*F469,"-")</f>
        <v>-</v>
      </c>
      <c r="H469" s="7" t="str">
        <f aca="false">IF($D469="S",IF(AND(B469&lt;&gt;"",E469&lt;&gt;""),E469*IFERROR(VLOOKUP(B469,'Saldo Atual'!$A:$K,11,0),0),"-"),"-")</f>
        <v>-</v>
      </c>
      <c r="I469" s="15"/>
      <c r="J469" s="5"/>
      <c r="K469" s="5"/>
    </row>
    <row r="470" customFormat="false" ht="18" hidden="false" customHeight="true" outlineLevel="0" collapsed="false">
      <c r="A470" s="18"/>
      <c r="B470" s="19"/>
      <c r="C470" s="20" t="str">
        <f aca="false">IFERROR(VLOOKUP(B470,Cadastro!$A$5:$B$54,2,0),"")</f>
        <v/>
      </c>
      <c r="D470" s="19"/>
      <c r="E470" s="21"/>
      <c r="F470" s="11"/>
      <c r="G470" s="11" t="str">
        <f aca="false">IF(AND($D470="E",E470&lt;&gt;"",F470&lt;&gt;""),E470*F470,"-")</f>
        <v>-</v>
      </c>
      <c r="H470" s="11" t="str">
        <f aca="false">IF($D470="S",IF(AND(B470&lt;&gt;"",E470&lt;&gt;""),E470*IFERROR(VLOOKUP(B470,'Saldo Atual'!$A:$K,11,0),0),"-"),"-")</f>
        <v>-</v>
      </c>
      <c r="I470" s="19"/>
      <c r="J470" s="9"/>
      <c r="K470" s="9"/>
    </row>
    <row r="471" customFormat="false" ht="18" hidden="false" customHeight="true" outlineLevel="0" collapsed="false">
      <c r="A471" s="14"/>
      <c r="B471" s="15"/>
      <c r="C471" s="16" t="str">
        <f aca="false">IFERROR(VLOOKUP(B471,Cadastro!$A$5:$B$54,2,0),"")</f>
        <v/>
      </c>
      <c r="D471" s="15"/>
      <c r="E471" s="17"/>
      <c r="F471" s="7"/>
      <c r="G471" s="7" t="str">
        <f aca="false">IF(AND($D471="E",E471&lt;&gt;"",F471&lt;&gt;""),E471*F471,"-")</f>
        <v>-</v>
      </c>
      <c r="H471" s="7" t="str">
        <f aca="false">IF($D471="S",IF(AND(B471&lt;&gt;"",E471&lt;&gt;""),E471*IFERROR(VLOOKUP(B471,'Saldo Atual'!$A:$K,11,0),0),"-"),"-")</f>
        <v>-</v>
      </c>
      <c r="I471" s="15"/>
      <c r="J471" s="5"/>
      <c r="K471" s="5"/>
    </row>
    <row r="472" customFormat="false" ht="18" hidden="false" customHeight="true" outlineLevel="0" collapsed="false">
      <c r="A472" s="18"/>
      <c r="B472" s="19"/>
      <c r="C472" s="20" t="str">
        <f aca="false">IFERROR(VLOOKUP(B472,Cadastro!$A$5:$B$54,2,0),"")</f>
        <v/>
      </c>
      <c r="D472" s="19"/>
      <c r="E472" s="21"/>
      <c r="F472" s="11"/>
      <c r="G472" s="11" t="str">
        <f aca="false">IF(AND($D472="E",E472&lt;&gt;"",F472&lt;&gt;""),E472*F472,"-")</f>
        <v>-</v>
      </c>
      <c r="H472" s="11" t="str">
        <f aca="false">IF($D472="S",IF(AND(B472&lt;&gt;"",E472&lt;&gt;""),E472*IFERROR(VLOOKUP(B472,'Saldo Atual'!$A:$K,11,0),0),"-"),"-")</f>
        <v>-</v>
      </c>
      <c r="I472" s="19"/>
      <c r="J472" s="9"/>
      <c r="K472" s="9"/>
    </row>
    <row r="473" customFormat="false" ht="18" hidden="false" customHeight="true" outlineLevel="0" collapsed="false">
      <c r="A473" s="14"/>
      <c r="B473" s="15"/>
      <c r="C473" s="16" t="str">
        <f aca="false">IFERROR(VLOOKUP(B473,Cadastro!$A$5:$B$54,2,0),"")</f>
        <v/>
      </c>
      <c r="D473" s="15"/>
      <c r="E473" s="17"/>
      <c r="F473" s="7"/>
      <c r="G473" s="7" t="str">
        <f aca="false">IF(AND($D473="E",E473&lt;&gt;"",F473&lt;&gt;""),E473*F473,"-")</f>
        <v>-</v>
      </c>
      <c r="H473" s="7" t="str">
        <f aca="false">IF($D473="S",IF(AND(B473&lt;&gt;"",E473&lt;&gt;""),E473*IFERROR(VLOOKUP(B473,'Saldo Atual'!$A:$K,11,0),0),"-"),"-")</f>
        <v>-</v>
      </c>
      <c r="I473" s="15"/>
      <c r="J473" s="5"/>
      <c r="K473" s="5"/>
    </row>
    <row r="474" customFormat="false" ht="18" hidden="false" customHeight="true" outlineLevel="0" collapsed="false">
      <c r="A474" s="18"/>
      <c r="B474" s="19"/>
      <c r="C474" s="20" t="str">
        <f aca="false">IFERROR(VLOOKUP(B474,Cadastro!$A$5:$B$54,2,0),"")</f>
        <v/>
      </c>
      <c r="D474" s="19"/>
      <c r="E474" s="21"/>
      <c r="F474" s="11"/>
      <c r="G474" s="11" t="str">
        <f aca="false">IF(AND($D474="E",E474&lt;&gt;"",F474&lt;&gt;""),E474*F474,"-")</f>
        <v>-</v>
      </c>
      <c r="H474" s="11" t="str">
        <f aca="false">IF($D474="S",IF(AND(B474&lt;&gt;"",E474&lt;&gt;""),E474*IFERROR(VLOOKUP(B474,'Saldo Atual'!$A:$K,11,0),0),"-"),"-")</f>
        <v>-</v>
      </c>
      <c r="I474" s="19"/>
      <c r="J474" s="9"/>
      <c r="K474" s="9"/>
    </row>
    <row r="475" customFormat="false" ht="18" hidden="false" customHeight="true" outlineLevel="0" collapsed="false">
      <c r="A475" s="14"/>
      <c r="B475" s="15"/>
      <c r="C475" s="16" t="str">
        <f aca="false">IFERROR(VLOOKUP(B475,Cadastro!$A$5:$B$54,2,0),"")</f>
        <v/>
      </c>
      <c r="D475" s="15"/>
      <c r="E475" s="17"/>
      <c r="F475" s="7"/>
      <c r="G475" s="7" t="str">
        <f aca="false">IF(AND($D475="E",E475&lt;&gt;"",F475&lt;&gt;""),E475*F475,"-")</f>
        <v>-</v>
      </c>
      <c r="H475" s="7" t="str">
        <f aca="false">IF($D475="S",IF(AND(B475&lt;&gt;"",E475&lt;&gt;""),E475*IFERROR(VLOOKUP(B475,'Saldo Atual'!$A:$K,11,0),0),"-"),"-")</f>
        <v>-</v>
      </c>
      <c r="I475" s="15"/>
      <c r="J475" s="5"/>
      <c r="K475" s="5"/>
    </row>
    <row r="476" customFormat="false" ht="18" hidden="false" customHeight="true" outlineLevel="0" collapsed="false">
      <c r="A476" s="18"/>
      <c r="B476" s="19"/>
      <c r="C476" s="20" t="str">
        <f aca="false">IFERROR(VLOOKUP(B476,Cadastro!$A$5:$B$54,2,0),"")</f>
        <v/>
      </c>
      <c r="D476" s="19"/>
      <c r="E476" s="21"/>
      <c r="F476" s="11"/>
      <c r="G476" s="11" t="str">
        <f aca="false">IF(AND($D476="E",E476&lt;&gt;"",F476&lt;&gt;""),E476*F476,"-")</f>
        <v>-</v>
      </c>
      <c r="H476" s="11" t="str">
        <f aca="false">IF($D476="S",IF(AND(B476&lt;&gt;"",E476&lt;&gt;""),E476*IFERROR(VLOOKUP(B476,'Saldo Atual'!$A:$K,11,0),0),"-"),"-")</f>
        <v>-</v>
      </c>
      <c r="I476" s="19"/>
      <c r="J476" s="9"/>
      <c r="K476" s="9"/>
    </row>
    <row r="477" customFormat="false" ht="18" hidden="false" customHeight="true" outlineLevel="0" collapsed="false">
      <c r="A477" s="14"/>
      <c r="B477" s="15"/>
      <c r="C477" s="16" t="str">
        <f aca="false">IFERROR(VLOOKUP(B477,Cadastro!$A$5:$B$54,2,0),"")</f>
        <v/>
      </c>
      <c r="D477" s="15"/>
      <c r="E477" s="17"/>
      <c r="F477" s="7"/>
      <c r="G477" s="7" t="str">
        <f aca="false">IF(AND($D477="E",E477&lt;&gt;"",F477&lt;&gt;""),E477*F477,"-")</f>
        <v>-</v>
      </c>
      <c r="H477" s="7" t="str">
        <f aca="false">IF($D477="S",IF(AND(B477&lt;&gt;"",E477&lt;&gt;""),E477*IFERROR(VLOOKUP(B477,'Saldo Atual'!$A:$K,11,0),0),"-"),"-")</f>
        <v>-</v>
      </c>
      <c r="I477" s="15"/>
      <c r="J477" s="5"/>
      <c r="K477" s="5"/>
    </row>
    <row r="478" customFormat="false" ht="18" hidden="false" customHeight="true" outlineLevel="0" collapsed="false">
      <c r="A478" s="18"/>
      <c r="B478" s="19"/>
      <c r="C478" s="20" t="str">
        <f aca="false">IFERROR(VLOOKUP(B478,Cadastro!$A$5:$B$54,2,0),"")</f>
        <v/>
      </c>
      <c r="D478" s="19"/>
      <c r="E478" s="21"/>
      <c r="F478" s="11"/>
      <c r="G478" s="11" t="str">
        <f aca="false">IF(AND($D478="E",E478&lt;&gt;"",F478&lt;&gt;""),E478*F478,"-")</f>
        <v>-</v>
      </c>
      <c r="H478" s="11" t="str">
        <f aca="false">IF($D478="S",IF(AND(B478&lt;&gt;"",E478&lt;&gt;""),E478*IFERROR(VLOOKUP(B478,'Saldo Atual'!$A:$K,11,0),0),"-"),"-")</f>
        <v>-</v>
      </c>
      <c r="I478" s="19"/>
      <c r="J478" s="9"/>
      <c r="K478" s="9"/>
    </row>
    <row r="479" customFormat="false" ht="18" hidden="false" customHeight="true" outlineLevel="0" collapsed="false">
      <c r="A479" s="14"/>
      <c r="B479" s="15"/>
      <c r="C479" s="16" t="str">
        <f aca="false">IFERROR(VLOOKUP(B479,Cadastro!$A$5:$B$54,2,0),"")</f>
        <v/>
      </c>
      <c r="D479" s="15"/>
      <c r="E479" s="17"/>
      <c r="F479" s="7"/>
      <c r="G479" s="7" t="str">
        <f aca="false">IF(AND($D479="E",E479&lt;&gt;"",F479&lt;&gt;""),E479*F479,"-")</f>
        <v>-</v>
      </c>
      <c r="H479" s="7" t="str">
        <f aca="false">IF($D479="S",IF(AND(B479&lt;&gt;"",E479&lt;&gt;""),E479*IFERROR(VLOOKUP(B479,'Saldo Atual'!$A:$K,11,0),0),"-"),"-")</f>
        <v>-</v>
      </c>
      <c r="I479" s="15"/>
      <c r="J479" s="5"/>
      <c r="K479" s="5"/>
    </row>
    <row r="480" customFormat="false" ht="18" hidden="false" customHeight="true" outlineLevel="0" collapsed="false">
      <c r="A480" s="18"/>
      <c r="B480" s="19"/>
      <c r="C480" s="20" t="str">
        <f aca="false">IFERROR(VLOOKUP(B480,Cadastro!$A$5:$B$54,2,0),"")</f>
        <v/>
      </c>
      <c r="D480" s="19"/>
      <c r="E480" s="21"/>
      <c r="F480" s="11"/>
      <c r="G480" s="11" t="str">
        <f aca="false">IF(AND($D480="E",E480&lt;&gt;"",F480&lt;&gt;""),E480*F480,"-")</f>
        <v>-</v>
      </c>
      <c r="H480" s="11" t="str">
        <f aca="false">IF($D480="S",IF(AND(B480&lt;&gt;"",E480&lt;&gt;""),E480*IFERROR(VLOOKUP(B480,'Saldo Atual'!$A:$K,11,0),0),"-"),"-")</f>
        <v>-</v>
      </c>
      <c r="I480" s="19"/>
      <c r="J480" s="9"/>
      <c r="K480" s="9"/>
    </row>
    <row r="481" customFormat="false" ht="18" hidden="false" customHeight="true" outlineLevel="0" collapsed="false">
      <c r="A481" s="14"/>
      <c r="B481" s="15"/>
      <c r="C481" s="16" t="str">
        <f aca="false">IFERROR(VLOOKUP(B481,Cadastro!$A$5:$B$54,2,0),"")</f>
        <v/>
      </c>
      <c r="D481" s="15"/>
      <c r="E481" s="17"/>
      <c r="F481" s="7"/>
      <c r="G481" s="7" t="str">
        <f aca="false">IF(AND($D481="E",E481&lt;&gt;"",F481&lt;&gt;""),E481*F481,"-")</f>
        <v>-</v>
      </c>
      <c r="H481" s="7" t="str">
        <f aca="false">IF($D481="S",IF(AND(B481&lt;&gt;"",E481&lt;&gt;""),E481*IFERROR(VLOOKUP(B481,'Saldo Atual'!$A:$K,11,0),0),"-"),"-")</f>
        <v>-</v>
      </c>
      <c r="I481" s="15"/>
      <c r="J481" s="5"/>
      <c r="K481" s="5"/>
    </row>
    <row r="482" customFormat="false" ht="18" hidden="false" customHeight="true" outlineLevel="0" collapsed="false">
      <c r="A482" s="18"/>
      <c r="B482" s="19"/>
      <c r="C482" s="20" t="str">
        <f aca="false">IFERROR(VLOOKUP(B482,Cadastro!$A$5:$B$54,2,0),"")</f>
        <v/>
      </c>
      <c r="D482" s="19"/>
      <c r="E482" s="21"/>
      <c r="F482" s="11"/>
      <c r="G482" s="11" t="str">
        <f aca="false">IF(AND($D482="E",E482&lt;&gt;"",F482&lt;&gt;""),E482*F482,"-")</f>
        <v>-</v>
      </c>
      <c r="H482" s="11" t="str">
        <f aca="false">IF($D482="S",IF(AND(B482&lt;&gt;"",E482&lt;&gt;""),E482*IFERROR(VLOOKUP(B482,'Saldo Atual'!$A:$K,11,0),0),"-"),"-")</f>
        <v>-</v>
      </c>
      <c r="I482" s="19"/>
      <c r="J482" s="9"/>
      <c r="K482" s="9"/>
    </row>
    <row r="483" customFormat="false" ht="18" hidden="false" customHeight="true" outlineLevel="0" collapsed="false">
      <c r="A483" s="14"/>
      <c r="B483" s="15"/>
      <c r="C483" s="16" t="str">
        <f aca="false">IFERROR(VLOOKUP(B483,Cadastro!$A$5:$B$54,2,0),"")</f>
        <v/>
      </c>
      <c r="D483" s="15"/>
      <c r="E483" s="17"/>
      <c r="F483" s="7"/>
      <c r="G483" s="7" t="str">
        <f aca="false">IF(AND($D483="E",E483&lt;&gt;"",F483&lt;&gt;""),E483*F483,"-")</f>
        <v>-</v>
      </c>
      <c r="H483" s="7" t="str">
        <f aca="false">IF($D483="S",IF(AND(B483&lt;&gt;"",E483&lt;&gt;""),E483*IFERROR(VLOOKUP(B483,'Saldo Atual'!$A:$K,11,0),0),"-"),"-")</f>
        <v>-</v>
      </c>
      <c r="I483" s="15"/>
      <c r="J483" s="5"/>
      <c r="K483" s="5"/>
    </row>
    <row r="484" customFormat="false" ht="18" hidden="false" customHeight="true" outlineLevel="0" collapsed="false">
      <c r="A484" s="18"/>
      <c r="B484" s="19"/>
      <c r="C484" s="20" t="str">
        <f aca="false">IFERROR(VLOOKUP(B484,Cadastro!$A$5:$B$54,2,0),"")</f>
        <v/>
      </c>
      <c r="D484" s="19"/>
      <c r="E484" s="21"/>
      <c r="F484" s="11"/>
      <c r="G484" s="11" t="str">
        <f aca="false">IF(AND($D484="E",E484&lt;&gt;"",F484&lt;&gt;""),E484*F484,"-")</f>
        <v>-</v>
      </c>
      <c r="H484" s="11" t="str">
        <f aca="false">IF($D484="S",IF(AND(B484&lt;&gt;"",E484&lt;&gt;""),E484*IFERROR(VLOOKUP(B484,'Saldo Atual'!$A:$K,11,0),0),"-"),"-")</f>
        <v>-</v>
      </c>
      <c r="I484" s="19"/>
      <c r="J484" s="9"/>
      <c r="K484" s="9"/>
    </row>
    <row r="485" customFormat="false" ht="18" hidden="false" customHeight="true" outlineLevel="0" collapsed="false">
      <c r="A485" s="14"/>
      <c r="B485" s="15"/>
      <c r="C485" s="16" t="str">
        <f aca="false">IFERROR(VLOOKUP(B485,Cadastro!$A$5:$B$54,2,0),"")</f>
        <v/>
      </c>
      <c r="D485" s="15"/>
      <c r="E485" s="17"/>
      <c r="F485" s="7"/>
      <c r="G485" s="7" t="str">
        <f aca="false">IF(AND($D485="E",E485&lt;&gt;"",F485&lt;&gt;""),E485*F485,"-")</f>
        <v>-</v>
      </c>
      <c r="H485" s="7" t="str">
        <f aca="false">IF($D485="S",IF(AND(B485&lt;&gt;"",E485&lt;&gt;""),E485*IFERROR(VLOOKUP(B485,'Saldo Atual'!$A:$K,11,0),0),"-"),"-")</f>
        <v>-</v>
      </c>
      <c r="I485" s="15"/>
      <c r="J485" s="5"/>
      <c r="K485" s="5"/>
    </row>
    <row r="486" customFormat="false" ht="18" hidden="false" customHeight="true" outlineLevel="0" collapsed="false">
      <c r="A486" s="18"/>
      <c r="B486" s="19"/>
      <c r="C486" s="20" t="str">
        <f aca="false">IFERROR(VLOOKUP(B486,Cadastro!$A$5:$B$54,2,0),"")</f>
        <v/>
      </c>
      <c r="D486" s="19"/>
      <c r="E486" s="21"/>
      <c r="F486" s="11"/>
      <c r="G486" s="11" t="str">
        <f aca="false">IF(AND($D486="E",E486&lt;&gt;"",F486&lt;&gt;""),E486*F486,"-")</f>
        <v>-</v>
      </c>
      <c r="H486" s="11" t="str">
        <f aca="false">IF($D486="S",IF(AND(B486&lt;&gt;"",E486&lt;&gt;""),E486*IFERROR(VLOOKUP(B486,'Saldo Atual'!$A:$K,11,0),0),"-"),"-")</f>
        <v>-</v>
      </c>
      <c r="I486" s="19"/>
      <c r="J486" s="9"/>
      <c r="K486" s="9"/>
    </row>
    <row r="487" customFormat="false" ht="18" hidden="false" customHeight="true" outlineLevel="0" collapsed="false">
      <c r="A487" s="14"/>
      <c r="B487" s="15"/>
      <c r="C487" s="16" t="str">
        <f aca="false">IFERROR(VLOOKUP(B487,Cadastro!$A$5:$B$54,2,0),"")</f>
        <v/>
      </c>
      <c r="D487" s="15"/>
      <c r="E487" s="17"/>
      <c r="F487" s="7"/>
      <c r="G487" s="7" t="str">
        <f aca="false">IF(AND($D487="E",E487&lt;&gt;"",F487&lt;&gt;""),E487*F487,"-")</f>
        <v>-</v>
      </c>
      <c r="H487" s="7" t="str">
        <f aca="false">IF($D487="S",IF(AND(B487&lt;&gt;"",E487&lt;&gt;""),E487*IFERROR(VLOOKUP(B487,'Saldo Atual'!$A:$K,11,0),0),"-"),"-")</f>
        <v>-</v>
      </c>
      <c r="I487" s="15"/>
      <c r="J487" s="5"/>
      <c r="K487" s="5"/>
    </row>
    <row r="488" customFormat="false" ht="18" hidden="false" customHeight="true" outlineLevel="0" collapsed="false">
      <c r="A488" s="18"/>
      <c r="B488" s="19"/>
      <c r="C488" s="20" t="str">
        <f aca="false">IFERROR(VLOOKUP(B488,Cadastro!$A$5:$B$54,2,0),"")</f>
        <v/>
      </c>
      <c r="D488" s="19"/>
      <c r="E488" s="21"/>
      <c r="F488" s="11"/>
      <c r="G488" s="11" t="str">
        <f aca="false">IF(AND($D488="E",E488&lt;&gt;"",F488&lt;&gt;""),E488*F488,"-")</f>
        <v>-</v>
      </c>
      <c r="H488" s="11" t="str">
        <f aca="false">IF($D488="S",IF(AND(B488&lt;&gt;"",E488&lt;&gt;""),E488*IFERROR(VLOOKUP(B488,'Saldo Atual'!$A:$K,11,0),0),"-"),"-")</f>
        <v>-</v>
      </c>
      <c r="I488" s="19"/>
      <c r="J488" s="9"/>
      <c r="K488" s="9"/>
    </row>
    <row r="489" customFormat="false" ht="18" hidden="false" customHeight="true" outlineLevel="0" collapsed="false">
      <c r="A489" s="14"/>
      <c r="B489" s="15"/>
      <c r="C489" s="16" t="str">
        <f aca="false">IFERROR(VLOOKUP(B489,Cadastro!$A$5:$B$54,2,0),"")</f>
        <v/>
      </c>
      <c r="D489" s="15"/>
      <c r="E489" s="17"/>
      <c r="F489" s="7"/>
      <c r="G489" s="7" t="str">
        <f aca="false">IF(AND($D489="E",E489&lt;&gt;"",F489&lt;&gt;""),E489*F489,"-")</f>
        <v>-</v>
      </c>
      <c r="H489" s="7" t="str">
        <f aca="false">IF($D489="S",IF(AND(B489&lt;&gt;"",E489&lt;&gt;""),E489*IFERROR(VLOOKUP(B489,'Saldo Atual'!$A:$K,11,0),0),"-"),"-")</f>
        <v>-</v>
      </c>
      <c r="I489" s="15"/>
      <c r="J489" s="5"/>
      <c r="K489" s="5"/>
    </row>
    <row r="490" customFormat="false" ht="18" hidden="false" customHeight="true" outlineLevel="0" collapsed="false">
      <c r="A490" s="18"/>
      <c r="B490" s="19"/>
      <c r="C490" s="20" t="str">
        <f aca="false">IFERROR(VLOOKUP(B490,Cadastro!$A$5:$B$54,2,0),"")</f>
        <v/>
      </c>
      <c r="D490" s="19"/>
      <c r="E490" s="21"/>
      <c r="F490" s="11"/>
      <c r="G490" s="11" t="str">
        <f aca="false">IF(AND($D490="E",E490&lt;&gt;"",F490&lt;&gt;""),E490*F490,"-")</f>
        <v>-</v>
      </c>
      <c r="H490" s="11" t="str">
        <f aca="false">IF($D490="S",IF(AND(B490&lt;&gt;"",E490&lt;&gt;""),E490*IFERROR(VLOOKUP(B490,'Saldo Atual'!$A:$K,11,0),0),"-"),"-")</f>
        <v>-</v>
      </c>
      <c r="I490" s="19"/>
      <c r="J490" s="9"/>
      <c r="K490" s="9"/>
    </row>
    <row r="491" customFormat="false" ht="18" hidden="false" customHeight="true" outlineLevel="0" collapsed="false">
      <c r="A491" s="14"/>
      <c r="B491" s="15"/>
      <c r="C491" s="16" t="str">
        <f aca="false">IFERROR(VLOOKUP(B491,Cadastro!$A$5:$B$54,2,0),"")</f>
        <v/>
      </c>
      <c r="D491" s="15"/>
      <c r="E491" s="17"/>
      <c r="F491" s="7"/>
      <c r="G491" s="7" t="str">
        <f aca="false">IF(AND($D491="E",E491&lt;&gt;"",F491&lt;&gt;""),E491*F491,"-")</f>
        <v>-</v>
      </c>
      <c r="H491" s="7" t="str">
        <f aca="false">IF($D491="S",IF(AND(B491&lt;&gt;"",E491&lt;&gt;""),E491*IFERROR(VLOOKUP(B491,'Saldo Atual'!$A:$K,11,0),0),"-"),"-")</f>
        <v>-</v>
      </c>
      <c r="I491" s="15"/>
      <c r="J491" s="5"/>
      <c r="K491" s="5"/>
    </row>
    <row r="492" customFormat="false" ht="18" hidden="false" customHeight="true" outlineLevel="0" collapsed="false">
      <c r="A492" s="18"/>
      <c r="B492" s="19"/>
      <c r="C492" s="20" t="str">
        <f aca="false">IFERROR(VLOOKUP(B492,Cadastro!$A$5:$B$54,2,0),"")</f>
        <v/>
      </c>
      <c r="D492" s="19"/>
      <c r="E492" s="21"/>
      <c r="F492" s="11"/>
      <c r="G492" s="11" t="str">
        <f aca="false">IF(AND($D492="E",E492&lt;&gt;"",F492&lt;&gt;""),E492*F492,"-")</f>
        <v>-</v>
      </c>
      <c r="H492" s="11" t="str">
        <f aca="false">IF($D492="S",IF(AND(B492&lt;&gt;"",E492&lt;&gt;""),E492*IFERROR(VLOOKUP(B492,'Saldo Atual'!$A:$K,11,0),0),"-"),"-")</f>
        <v>-</v>
      </c>
      <c r="I492" s="19"/>
      <c r="J492" s="9"/>
      <c r="K492" s="9"/>
    </row>
    <row r="493" customFormat="false" ht="18" hidden="false" customHeight="true" outlineLevel="0" collapsed="false">
      <c r="A493" s="14"/>
      <c r="B493" s="15"/>
      <c r="C493" s="16" t="str">
        <f aca="false">IFERROR(VLOOKUP(B493,Cadastro!$A$5:$B$54,2,0),"")</f>
        <v/>
      </c>
      <c r="D493" s="15"/>
      <c r="E493" s="17"/>
      <c r="F493" s="7"/>
      <c r="G493" s="7" t="str">
        <f aca="false">IF(AND($D493="E",E493&lt;&gt;"",F493&lt;&gt;""),E493*F493,"-")</f>
        <v>-</v>
      </c>
      <c r="H493" s="7" t="str">
        <f aca="false">IF($D493="S",IF(AND(B493&lt;&gt;"",E493&lt;&gt;""),E493*IFERROR(VLOOKUP(B493,'Saldo Atual'!$A:$K,11,0),0),"-"),"-")</f>
        <v>-</v>
      </c>
      <c r="I493" s="15"/>
      <c r="J493" s="5"/>
      <c r="K493" s="5"/>
    </row>
    <row r="494" customFormat="false" ht="18" hidden="false" customHeight="true" outlineLevel="0" collapsed="false">
      <c r="A494" s="18"/>
      <c r="B494" s="19"/>
      <c r="C494" s="20" t="str">
        <f aca="false">IFERROR(VLOOKUP(B494,Cadastro!$A$5:$B$54,2,0),"")</f>
        <v/>
      </c>
      <c r="D494" s="19"/>
      <c r="E494" s="21"/>
      <c r="F494" s="11"/>
      <c r="G494" s="11" t="str">
        <f aca="false">IF(AND($D494="E",E494&lt;&gt;"",F494&lt;&gt;""),E494*F494,"-")</f>
        <v>-</v>
      </c>
      <c r="H494" s="11" t="str">
        <f aca="false">IF($D494="S",IF(AND(B494&lt;&gt;"",E494&lt;&gt;""),E494*IFERROR(VLOOKUP(B494,'Saldo Atual'!$A:$K,11,0),0),"-"),"-")</f>
        <v>-</v>
      </c>
      <c r="I494" s="19"/>
      <c r="J494" s="9"/>
      <c r="K494" s="9"/>
    </row>
    <row r="495" customFormat="false" ht="18" hidden="false" customHeight="true" outlineLevel="0" collapsed="false">
      <c r="A495" s="14"/>
      <c r="B495" s="15"/>
      <c r="C495" s="16" t="str">
        <f aca="false">IFERROR(VLOOKUP(B495,Cadastro!$A$5:$B$54,2,0),"")</f>
        <v/>
      </c>
      <c r="D495" s="15"/>
      <c r="E495" s="17"/>
      <c r="F495" s="7"/>
      <c r="G495" s="7" t="str">
        <f aca="false">IF(AND($D495="E",E495&lt;&gt;"",F495&lt;&gt;""),E495*F495,"-")</f>
        <v>-</v>
      </c>
      <c r="H495" s="7" t="str">
        <f aca="false">IF($D495="S",IF(AND(B495&lt;&gt;"",E495&lt;&gt;""),E495*IFERROR(VLOOKUP(B495,'Saldo Atual'!$A:$K,11,0),0),"-"),"-")</f>
        <v>-</v>
      </c>
      <c r="I495" s="15"/>
      <c r="J495" s="5"/>
      <c r="K495" s="5"/>
    </row>
    <row r="496" customFormat="false" ht="18" hidden="false" customHeight="true" outlineLevel="0" collapsed="false">
      <c r="A496" s="18"/>
      <c r="B496" s="19"/>
      <c r="C496" s="20" t="str">
        <f aca="false">IFERROR(VLOOKUP(B496,Cadastro!$A$5:$B$54,2,0),"")</f>
        <v/>
      </c>
      <c r="D496" s="19"/>
      <c r="E496" s="21"/>
      <c r="F496" s="11"/>
      <c r="G496" s="11" t="str">
        <f aca="false">IF(AND($D496="E",E496&lt;&gt;"",F496&lt;&gt;""),E496*F496,"-")</f>
        <v>-</v>
      </c>
      <c r="H496" s="11" t="str">
        <f aca="false">IF($D496="S",IF(AND(B496&lt;&gt;"",E496&lt;&gt;""),E496*IFERROR(VLOOKUP(B496,'Saldo Atual'!$A:$K,11,0),0),"-"),"-")</f>
        <v>-</v>
      </c>
      <c r="I496" s="19"/>
      <c r="J496" s="9"/>
      <c r="K496" s="9"/>
    </row>
    <row r="497" customFormat="false" ht="18" hidden="false" customHeight="true" outlineLevel="0" collapsed="false">
      <c r="A497" s="14"/>
      <c r="B497" s="15"/>
      <c r="C497" s="16" t="str">
        <f aca="false">IFERROR(VLOOKUP(B497,Cadastro!$A$5:$B$54,2,0),"")</f>
        <v/>
      </c>
      <c r="D497" s="15"/>
      <c r="E497" s="17"/>
      <c r="F497" s="7"/>
      <c r="G497" s="7" t="str">
        <f aca="false">IF(AND($D497="E",E497&lt;&gt;"",F497&lt;&gt;""),E497*F497,"-")</f>
        <v>-</v>
      </c>
      <c r="H497" s="7" t="str">
        <f aca="false">IF($D497="S",IF(AND(B497&lt;&gt;"",E497&lt;&gt;""),E497*IFERROR(VLOOKUP(B497,'Saldo Atual'!$A:$K,11,0),0),"-"),"-")</f>
        <v>-</v>
      </c>
      <c r="I497" s="15"/>
      <c r="J497" s="5"/>
      <c r="K497" s="5"/>
    </row>
    <row r="498" customFormat="false" ht="18" hidden="false" customHeight="true" outlineLevel="0" collapsed="false">
      <c r="A498" s="18"/>
      <c r="B498" s="19"/>
      <c r="C498" s="20" t="str">
        <f aca="false">IFERROR(VLOOKUP(B498,Cadastro!$A$5:$B$54,2,0),"")</f>
        <v/>
      </c>
      <c r="D498" s="19"/>
      <c r="E498" s="21"/>
      <c r="F498" s="11"/>
      <c r="G498" s="11" t="str">
        <f aca="false">IF(AND($D498="E",E498&lt;&gt;"",F498&lt;&gt;""),E498*F498,"-")</f>
        <v>-</v>
      </c>
      <c r="H498" s="11" t="str">
        <f aca="false">IF($D498="S",IF(AND(B498&lt;&gt;"",E498&lt;&gt;""),E498*IFERROR(VLOOKUP(B498,'Saldo Atual'!$A:$K,11,0),0),"-"),"-")</f>
        <v>-</v>
      </c>
      <c r="I498" s="19"/>
      <c r="J498" s="9"/>
      <c r="K498" s="9"/>
    </row>
    <row r="499" customFormat="false" ht="18" hidden="false" customHeight="true" outlineLevel="0" collapsed="false">
      <c r="A499" s="14"/>
      <c r="B499" s="15"/>
      <c r="C499" s="16" t="str">
        <f aca="false">IFERROR(VLOOKUP(B499,Cadastro!$A$5:$B$54,2,0),"")</f>
        <v/>
      </c>
      <c r="D499" s="15"/>
      <c r="E499" s="17"/>
      <c r="F499" s="7"/>
      <c r="G499" s="7" t="str">
        <f aca="false">IF(AND($D499="E",E499&lt;&gt;"",F499&lt;&gt;""),E499*F499,"-")</f>
        <v>-</v>
      </c>
      <c r="H499" s="7" t="str">
        <f aca="false">IF($D499="S",IF(AND(B499&lt;&gt;"",E499&lt;&gt;""),E499*IFERROR(VLOOKUP(B499,'Saldo Atual'!$A:$K,11,0),0),"-"),"-")</f>
        <v>-</v>
      </c>
      <c r="I499" s="15"/>
      <c r="J499" s="5"/>
      <c r="K499" s="5"/>
    </row>
    <row r="500" customFormat="false" ht="18" hidden="false" customHeight="true" outlineLevel="0" collapsed="false">
      <c r="A500" s="18"/>
      <c r="B500" s="19"/>
      <c r="C500" s="20" t="str">
        <f aca="false">IFERROR(VLOOKUP(B500,Cadastro!$A$5:$B$54,2,0),"")</f>
        <v/>
      </c>
      <c r="D500" s="19"/>
      <c r="E500" s="21"/>
      <c r="F500" s="11"/>
      <c r="G500" s="11" t="str">
        <f aca="false">IF(AND($D500="E",E500&lt;&gt;"",F500&lt;&gt;""),E500*F500,"-")</f>
        <v>-</v>
      </c>
      <c r="H500" s="11" t="str">
        <f aca="false">IF($D500="S",IF(AND(B500&lt;&gt;"",E500&lt;&gt;""),E500*IFERROR(VLOOKUP(B500,'Saldo Atual'!$A:$K,11,0),0),"-"),"-")</f>
        <v>-</v>
      </c>
      <c r="I500" s="19"/>
      <c r="J500" s="9"/>
      <c r="K500" s="9"/>
    </row>
    <row r="501" customFormat="false" ht="18" hidden="false" customHeight="true" outlineLevel="0" collapsed="false">
      <c r="A501" s="14"/>
      <c r="B501" s="15"/>
      <c r="C501" s="16" t="str">
        <f aca="false">IFERROR(VLOOKUP(B501,Cadastro!$A$5:$B$54,2,0),"")</f>
        <v/>
      </c>
      <c r="D501" s="15"/>
      <c r="E501" s="17"/>
      <c r="F501" s="7"/>
      <c r="G501" s="7" t="str">
        <f aca="false">IF(AND($D501="E",E501&lt;&gt;"",F501&lt;&gt;""),E501*F501,"-")</f>
        <v>-</v>
      </c>
      <c r="H501" s="7" t="str">
        <f aca="false">IF($D501="S",IF(AND(B501&lt;&gt;"",E501&lt;&gt;""),E501*IFERROR(VLOOKUP(B501,'Saldo Atual'!$A:$K,11,0),0),"-"),"-")</f>
        <v>-</v>
      </c>
      <c r="I501" s="15"/>
      <c r="J501" s="5"/>
      <c r="K501" s="5"/>
    </row>
    <row r="502" customFormat="false" ht="18" hidden="false" customHeight="true" outlineLevel="0" collapsed="false">
      <c r="A502" s="18"/>
      <c r="B502" s="19"/>
      <c r="C502" s="20" t="str">
        <f aca="false">IFERROR(VLOOKUP(B502,Cadastro!$A$5:$B$54,2,0),"")</f>
        <v/>
      </c>
      <c r="D502" s="19"/>
      <c r="E502" s="21"/>
      <c r="F502" s="11"/>
      <c r="G502" s="11" t="str">
        <f aca="false">IF(AND($D502="E",E502&lt;&gt;"",F502&lt;&gt;""),E502*F502,"-")</f>
        <v>-</v>
      </c>
      <c r="H502" s="11" t="str">
        <f aca="false">IF($D502="S",IF(AND(B502&lt;&gt;"",E502&lt;&gt;""),E502*IFERROR(VLOOKUP(B502,'Saldo Atual'!$A:$K,11,0),0),"-"),"-")</f>
        <v>-</v>
      </c>
      <c r="I502" s="19"/>
      <c r="J502" s="9"/>
      <c r="K502" s="9"/>
    </row>
    <row r="503" customFormat="false" ht="18" hidden="false" customHeight="true" outlineLevel="0" collapsed="false">
      <c r="A503" s="14"/>
      <c r="B503" s="15"/>
      <c r="C503" s="16" t="str">
        <f aca="false">IFERROR(VLOOKUP(B503,Cadastro!$A$5:$B$54,2,0),"")</f>
        <v/>
      </c>
      <c r="D503" s="15"/>
      <c r="E503" s="17"/>
      <c r="F503" s="7"/>
      <c r="G503" s="7" t="str">
        <f aca="false">IF(AND($D503="E",E503&lt;&gt;"",F503&lt;&gt;""),E503*F503,"-")</f>
        <v>-</v>
      </c>
      <c r="H503" s="7" t="str">
        <f aca="false">IF($D503="S",IF(AND(B503&lt;&gt;"",E503&lt;&gt;""),E503*IFERROR(VLOOKUP(B503,'Saldo Atual'!$A:$K,11,0),0),"-"),"-")</f>
        <v>-</v>
      </c>
      <c r="I503" s="15"/>
      <c r="J503" s="5"/>
      <c r="K503" s="5"/>
    </row>
    <row r="504" customFormat="false" ht="18" hidden="false" customHeight="true" outlineLevel="0" collapsed="false">
      <c r="A504" s="18"/>
      <c r="B504" s="19"/>
      <c r="C504" s="20" t="str">
        <f aca="false">IFERROR(VLOOKUP(B504,Cadastro!$A$5:$B$54,2,0),"")</f>
        <v/>
      </c>
      <c r="D504" s="19"/>
      <c r="E504" s="21"/>
      <c r="F504" s="11"/>
      <c r="G504" s="11" t="str">
        <f aca="false">IF(AND($D504="E",E504&lt;&gt;"",F504&lt;&gt;""),E504*F504,"-")</f>
        <v>-</v>
      </c>
      <c r="H504" s="11" t="str">
        <f aca="false">IF($D504="S",IF(AND(B504&lt;&gt;"",E504&lt;&gt;""),E504*IFERROR(VLOOKUP(B504,'Saldo Atual'!$A:$K,11,0),0),"-"),"-")</f>
        <v>-</v>
      </c>
      <c r="I504" s="19"/>
      <c r="J504" s="9"/>
      <c r="K504" s="9"/>
    </row>
    <row r="506" customFormat="false" ht="27.75" hidden="false" customHeight="true" outlineLevel="0" collapsed="false">
      <c r="A506" s="12" t="s">
        <v>73</v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</sheetData>
  <mergeCells count="3">
    <mergeCell ref="A1:K1"/>
    <mergeCell ref="A2:K2"/>
    <mergeCell ref="A506:K506"/>
  </mergeCells>
  <conditionalFormatting sqref="A5:K504">
    <cfRule type="expression" priority="2" aboveAverage="0" equalAverage="0" bottom="0" percent="0" rank="0" text="" dxfId="0">
      <formula>$D5="E"</formula>
    </cfRule>
    <cfRule type="expression" priority="3" aboveAverage="0" equalAverage="0" bottom="0" percent="0" rank="0" text="" dxfId="1">
      <formula>$D5="S"</formula>
    </cfRule>
    <cfRule type="expression" priority="4" aboveAverage="0" equalAverage="0" bottom="0" percent="0" rank="0" text="" dxfId="2">
      <formula>$D5="AJ"</formula>
    </cfRule>
  </conditionalFormatting>
  <conditionalFormatting sqref="F5:F504">
    <cfRule type="expression" priority="5" aboveAverage="0" equalAverage="0" bottom="0" percent="0" rank="0" text="" dxfId="3">
      <formula>$D5="S"</formula>
    </cfRule>
  </conditionalFormatting>
  <conditionalFormatting sqref="H5:H504">
    <cfRule type="expression" priority="6" aboveAverage="0" equalAverage="0" bottom="0" percent="0" rank="0" text="" dxfId="3">
      <formula>$D5&lt;&gt;"S"</formula>
    </cfRule>
  </conditionalFormatting>
  <dataValidations count="3">
    <dataValidation allowBlank="true" errorStyle="stop" operator="between" showDropDown="false" showErrorMessage="false" showInputMessage="false" sqref="D5:D504" type="list">
      <formula1>"E,S,AJ"</formula1>
      <formula2>0</formula2>
    </dataValidation>
    <dataValidation allowBlank="true" errorStyle="stop" operator="between" showDropDown="false" showErrorMessage="false" showInputMessage="false" sqref="A5:A504" type="date">
      <formula1>0</formula1>
      <formula2>0</formula2>
    </dataValidation>
    <dataValidation allowBlank="true" error="Não preencha o custo unitário em saídas. O custo da saída é calculado automaticamente pelo Custo Médio Ponderado (CMP) na coluna 'Custo Saída (CMP) R$'." errorStyle="stop" errorTitle="Campo bloqueado para Saídas" operator="between" showDropDown="false" showErrorMessage="true" showInputMessage="false" sqref="F5:F504" type="custom">
      <formula1>$D5&lt;&gt;"S"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5" min="5" style="0" width="12"/>
    <col collapsed="false" customWidth="true" hidden="false" outlineLevel="0" max="8" min="6" style="0" width="13"/>
    <col collapsed="false" customWidth="true" hidden="false" outlineLevel="0" max="10" min="9" style="0" width="12"/>
    <col collapsed="false" customWidth="true" hidden="false" outlineLevel="0" max="11" min="11" style="0" width="17"/>
    <col collapsed="false" customWidth="true" hidden="false" outlineLevel="0" max="12" min="12" style="0" width="18"/>
    <col collapsed="false" customWidth="true" hidden="false" outlineLevel="0" max="13" min="13" style="0" width="12"/>
    <col collapsed="false" customWidth="true" hidden="false" outlineLevel="0" max="14" min="14" style="0" width="18"/>
  </cols>
  <sheetData>
    <row r="1" customFormat="false" ht="27.75" hidden="false" customHeight="true" outlineLevel="0" collapsed="false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3.5" hidden="false" customHeight="true" outlineLevel="0" collapsed="false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3" t="s">
        <v>76</v>
      </c>
      <c r="C4" s="3" t="s">
        <v>4</v>
      </c>
      <c r="D4" s="3" t="s">
        <v>77</v>
      </c>
      <c r="E4" s="3" t="s">
        <v>6</v>
      </c>
      <c r="F4" s="3" t="s">
        <v>78</v>
      </c>
      <c r="G4" s="3" t="s">
        <v>79</v>
      </c>
      <c r="H4" s="3" t="s">
        <v>80</v>
      </c>
      <c r="I4" s="3" t="s">
        <v>8</v>
      </c>
      <c r="J4" s="3" t="s">
        <v>9</v>
      </c>
      <c r="K4" s="3" t="s">
        <v>81</v>
      </c>
      <c r="L4" s="3" t="s">
        <v>82</v>
      </c>
      <c r="M4" s="3" t="s">
        <v>83</v>
      </c>
      <c r="N4" s="3" t="s">
        <v>84</v>
      </c>
    </row>
    <row r="5" customFormat="false" ht="18" hidden="false" customHeight="true" outlineLevel="0" collapsed="false">
      <c r="A5" s="15" t="str">
        <f aca="false">IF(Cadastro!A5="","",Cadastro!A5)</f>
        <v>P001</v>
      </c>
      <c r="B5" s="5" t="str">
        <f aca="false">IF($A5="","",IFERROR(VLOOKUP(A5,Cadastro!$A$5:$K$54,2,0),""))</f>
        <v>Camisa Polo M</v>
      </c>
      <c r="C5" s="5" t="str">
        <f aca="false">IF($A5="","",IFERROR(VLOOKUP(A5,Cadastro!$A$5:$K$54,3,0),""))</f>
        <v>Vestuário</v>
      </c>
      <c r="D5" s="15" t="str">
        <f aca="false">IF($A5="","",IFERROR(VLOOKUP(A5,Cadastro!$A$5:$K$54,4,0),""))</f>
        <v>un</v>
      </c>
      <c r="E5" s="22" t="n">
        <f aca="false">IF($A5="",0,IFERROR(VLOOKUP(A5,Cadastro!$A$5:$K$54,5,0),0))</f>
        <v>30</v>
      </c>
      <c r="F5" s="22" t="n">
        <f aca="false">IF($A5="",0,SUMPRODUCT((Movimentações!$B$5:$B$504=A5)*(Movimentações!$D$5:$D$504="E")*(Movimentações!$E$5:$E$504)))</f>
        <v>70</v>
      </c>
      <c r="G5" s="22" t="n">
        <f aca="false">IF($A5="",0,SUMPRODUCT((Movimentações!$B$5:$B$504=A5)*(Movimentações!$D$5:$D$504="S")*(Movimentações!$E$5:$E$504)))</f>
        <v>18</v>
      </c>
      <c r="H5" s="23" t="n">
        <f aca="false">IF($A5="","",E5+F5-G5+SUMPRODUCT((Movimentações!$B$5:$B$504=A5)*(Movimentações!$D$5:$D$504="AJ")*(Movimentações!$E$5:$E$504)))</f>
        <v>82</v>
      </c>
      <c r="I5" s="22" t="n">
        <f aca="false">IF($A5="",0,IFERROR(VLOOKUP(A5,Cadastro!$A$5:$K$54,7,0),0))</f>
        <v>5</v>
      </c>
      <c r="J5" s="22" t="n">
        <f aca="false">IF($A5="",0,IFERROR(VLOOKUP(A5,Cadastro!$A$5:$K$54,8,0),0))</f>
        <v>100</v>
      </c>
      <c r="K5" s="7" t="n">
        <f aca="false">IF($A5="","",IFERROR(SUMPRODUCT((Movimentações!$B$5:$B$504=A5)*(Movimentações!$D$5:$D$504="E")*(Movimentações!$E$5:$E$504)*(Movimentações!$F$5:$F$504))/SUMPRODUCT((Movimentações!$B$5:$B$504=A5)*(Movimentações!$D$5:$D$504="E")*(Movimentações!$E$5:$E$504)),IFERROR(VLOOKUP(A5,Cadastro!$A$5:$K$54,6,0),0)))</f>
        <v>44.6428571428571</v>
      </c>
      <c r="L5" s="24" t="n">
        <f aca="false">IF($A5="","",H5*K5)</f>
        <v>3660.71428571429</v>
      </c>
      <c r="M5" s="25" t="n">
        <f aca="false">IF($A5="","",IFERROR(L5/$L$55,0))</f>
        <v>0.299807538185243</v>
      </c>
      <c r="N5" s="15" t="str">
        <f aca="false">IF($A5="","",IF(H5&lt;=0,"⛔ Sem estoque",IF(H5&lt;=I5,"⚠️ Estoque baixo","✅ OK")))</f>
        <v>✅ OK</v>
      </c>
    </row>
    <row r="6" customFormat="false" ht="18" hidden="false" customHeight="true" outlineLevel="0" collapsed="false">
      <c r="A6" s="19" t="str">
        <f aca="false">IF(Cadastro!A6="","",Cadastro!A6)</f>
        <v>P002</v>
      </c>
      <c r="B6" s="9" t="str">
        <f aca="false">IF($A6="","",IFERROR(VLOOKUP(A6,Cadastro!$A$5:$K$54,2,0),""))</f>
        <v>Calça Jeans 42</v>
      </c>
      <c r="C6" s="9" t="str">
        <f aca="false">IF($A6="","",IFERROR(VLOOKUP(A6,Cadastro!$A$5:$K$54,3,0),""))</f>
        <v>Vestuário</v>
      </c>
      <c r="D6" s="19" t="str">
        <f aca="false">IF($A6="","",IFERROR(VLOOKUP(A6,Cadastro!$A$5:$K$54,4,0),""))</f>
        <v>un</v>
      </c>
      <c r="E6" s="26" t="n">
        <f aca="false">IF($A6="",0,IFERROR(VLOOKUP(A6,Cadastro!$A$5:$K$54,5,0),0))</f>
        <v>20</v>
      </c>
      <c r="F6" s="26" t="n">
        <f aca="false">IF($A6="",0,SUMPRODUCT((Movimentações!$B$5:$B$504=A6)*(Movimentações!$D$5:$D$504="E")*(Movimentações!$E$5:$E$504)))</f>
        <v>30</v>
      </c>
      <c r="G6" s="26" t="n">
        <f aca="false">IF($A6="",0,SUMPRODUCT((Movimentações!$B$5:$B$504=A6)*(Movimentações!$D$5:$D$504="S")*(Movimentações!$E$5:$E$504)))</f>
        <v>13</v>
      </c>
      <c r="H6" s="27" t="n">
        <f aca="false">IF($A6="","",E6+F6-G6+SUMPRODUCT((Movimentações!$B$5:$B$504=A6)*(Movimentações!$D$5:$D$504="AJ")*(Movimentações!$E$5:$E$504)))</f>
        <v>37</v>
      </c>
      <c r="I6" s="26" t="n">
        <f aca="false">IF($A6="",0,IFERROR(VLOOKUP(A6,Cadastro!$A$5:$K$54,7,0),0))</f>
        <v>5</v>
      </c>
      <c r="J6" s="26" t="n">
        <f aca="false">IF($A6="",0,IFERROR(VLOOKUP(A6,Cadastro!$A$5:$K$54,8,0),0))</f>
        <v>60</v>
      </c>
      <c r="K6" s="11" t="n">
        <f aca="false">IF($A6="","",IFERROR(SUMPRODUCT((Movimentações!$B$5:$B$504=A6)*(Movimentações!$D$5:$D$504="E")*(Movimentações!$E$5:$E$504)*(Movimentações!$F$5:$F$504))/SUMPRODUCT((Movimentações!$B$5:$B$504=A6)*(Movimentações!$D$5:$D$504="E")*(Movimentações!$E$5:$E$504)),IFERROR(VLOOKUP(A6,Cadastro!$A$5:$K$54,6,0),0)))</f>
        <v>77</v>
      </c>
      <c r="L6" s="28" t="n">
        <f aca="false">IF($A6="","",H6*K6)</f>
        <v>2849</v>
      </c>
      <c r="M6" s="29" t="n">
        <f aca="false">IF($A6="","",IFERROR(L6/$L$55,0))</f>
        <v>0.233329238401104</v>
      </c>
      <c r="N6" s="19" t="str">
        <f aca="false">IF($A6="","",IF(H6&lt;=0,"⛔ Sem estoque",IF(H6&lt;=I6,"⚠️ Estoque baixo","✅ OK")))</f>
        <v>✅ OK</v>
      </c>
    </row>
    <row r="7" customFormat="false" ht="18" hidden="false" customHeight="true" outlineLevel="0" collapsed="false">
      <c r="A7" s="15" t="str">
        <f aca="false">IF(Cadastro!A7="","",Cadastro!A7)</f>
        <v>P003</v>
      </c>
      <c r="B7" s="5" t="str">
        <f aca="false">IF($A7="","",IFERROR(VLOOKUP(A7,Cadastro!$A$5:$K$54,2,0),""))</f>
        <v>Tênis Casual 40</v>
      </c>
      <c r="C7" s="5" t="str">
        <f aca="false">IF($A7="","",IFERROR(VLOOKUP(A7,Cadastro!$A$5:$K$54,3,0),""))</f>
        <v>Calçados</v>
      </c>
      <c r="D7" s="15" t="str">
        <f aca="false">IF($A7="","",IFERROR(VLOOKUP(A7,Cadastro!$A$5:$K$54,4,0),""))</f>
        <v>par</v>
      </c>
      <c r="E7" s="22" t="n">
        <f aca="false">IF($A7="",0,IFERROR(VLOOKUP(A7,Cadastro!$A$5:$K$54,5,0),0))</f>
        <v>15</v>
      </c>
      <c r="F7" s="22" t="n">
        <f aca="false">IF($A7="",0,SUMPRODUCT((Movimentações!$B$5:$B$504=A7)*(Movimentações!$D$5:$D$504="E")*(Movimentações!$E$5:$E$504)))</f>
        <v>20</v>
      </c>
      <c r="G7" s="22" t="n">
        <f aca="false">IF($A7="",0,SUMPRODUCT((Movimentações!$B$5:$B$504=A7)*(Movimentações!$D$5:$D$504="S")*(Movimentações!$E$5:$E$504)))</f>
        <v>8</v>
      </c>
      <c r="H7" s="23" t="n">
        <f aca="false">IF($A7="","",E7+F7-G7+SUMPRODUCT((Movimentações!$B$5:$B$504=A7)*(Movimentações!$D$5:$D$504="AJ")*(Movimentações!$E$5:$E$504)))</f>
        <v>27</v>
      </c>
      <c r="I7" s="22" t="n">
        <f aca="false">IF($A7="",0,IFERROR(VLOOKUP(A7,Cadastro!$A$5:$K$54,7,0),0))</f>
        <v>3</v>
      </c>
      <c r="J7" s="22" t="n">
        <f aca="false">IF($A7="",0,IFERROR(VLOOKUP(A7,Cadastro!$A$5:$K$54,8,0),0))</f>
        <v>40</v>
      </c>
      <c r="K7" s="7" t="n">
        <f aca="false">IF($A7="","",IFERROR(SUMPRODUCT((Movimentações!$B$5:$B$504=A7)*(Movimentações!$D$5:$D$504="E")*(Movimentações!$E$5:$E$504)*(Movimentações!$F$5:$F$504))/SUMPRODUCT((Movimentações!$B$5:$B$504=A7)*(Movimentações!$D$5:$D$504="E")*(Movimentações!$E$5:$E$504)),IFERROR(VLOOKUP(A7,Cadastro!$A$5:$K$54,6,0),0)))</f>
        <v>94</v>
      </c>
      <c r="L7" s="24" t="n">
        <f aca="false">IF($A7="","",H7*K7)</f>
        <v>2538</v>
      </c>
      <c r="M7" s="25" t="n">
        <f aca="false">IF($A7="","",IFERROR(L7/$L$55,0))</f>
        <v>0.207858759937523</v>
      </c>
      <c r="N7" s="15" t="str">
        <f aca="false">IF($A7="","",IF(H7&lt;=0,"⛔ Sem estoque",IF(H7&lt;=I7,"⚠️ Estoque baixo","✅ OK")))</f>
        <v>✅ OK</v>
      </c>
    </row>
    <row r="8" customFormat="false" ht="18" hidden="false" customHeight="true" outlineLevel="0" collapsed="false">
      <c r="A8" s="19" t="str">
        <f aca="false">IF(Cadastro!A8="","",Cadastro!A8)</f>
        <v>P004</v>
      </c>
      <c r="B8" s="9" t="str">
        <f aca="false">IF($A8="","",IFERROR(VLOOKUP(A8,Cadastro!$A$5:$K$54,2,0),""))</f>
        <v>Parafuso 6x40mm</v>
      </c>
      <c r="C8" s="9" t="str">
        <f aca="false">IF($A8="","",IFERROR(VLOOKUP(A8,Cadastro!$A$5:$K$54,3,0),""))</f>
        <v>Ferragens</v>
      </c>
      <c r="D8" s="19" t="str">
        <f aca="false">IF($A8="","",IFERROR(VLOOKUP(A8,Cadastro!$A$5:$K$54,4,0),""))</f>
        <v>cx</v>
      </c>
      <c r="E8" s="26" t="n">
        <f aca="false">IF($A8="",0,IFERROR(VLOOKUP(A8,Cadastro!$A$5:$K$54,5,0),0))</f>
        <v>200</v>
      </c>
      <c r="F8" s="26" t="n">
        <f aca="false">IF($A8="",0,SUMPRODUCT((Movimentações!$B$5:$B$504=A8)*(Movimentações!$D$5:$D$504="E")*(Movimentações!$E$5:$E$504)))</f>
        <v>800</v>
      </c>
      <c r="G8" s="26" t="n">
        <f aca="false">IF($A8="",0,SUMPRODUCT((Movimentações!$B$5:$B$504=A8)*(Movimentações!$D$5:$D$504="S")*(Movimentações!$E$5:$E$504)))</f>
        <v>120</v>
      </c>
      <c r="H8" s="27" t="n">
        <f aca="false">IF($A8="","",E8+F8-G8+SUMPRODUCT((Movimentações!$B$5:$B$504=A8)*(Movimentações!$D$5:$D$504="AJ")*(Movimentações!$E$5:$E$504)))</f>
        <v>880</v>
      </c>
      <c r="I8" s="26" t="n">
        <f aca="false">IF($A8="",0,IFERROR(VLOOKUP(A8,Cadastro!$A$5:$K$54,7,0),0))</f>
        <v>50</v>
      </c>
      <c r="J8" s="26" t="n">
        <f aca="false">IF($A8="",0,IFERROR(VLOOKUP(A8,Cadastro!$A$5:$K$54,8,0),0))</f>
        <v>500</v>
      </c>
      <c r="K8" s="11" t="n">
        <f aca="false">IF($A8="","",IFERROR(SUMPRODUCT((Movimentações!$B$5:$B$504=A8)*(Movimentações!$D$5:$D$504="E")*(Movimentações!$E$5:$E$504)*(Movimentações!$F$5:$F$504))/SUMPRODUCT((Movimentações!$B$5:$B$504=A8)*(Movimentações!$D$5:$D$504="E")*(Movimentações!$E$5:$E$504)),IFERROR(VLOOKUP(A8,Cadastro!$A$5:$K$54,6,0),0)))</f>
        <v>0.79375</v>
      </c>
      <c r="L8" s="28" t="n">
        <f aca="false">IF($A8="","",H8*K8)</f>
        <v>698.5</v>
      </c>
      <c r="M8" s="29" t="n">
        <f aca="false">IF($A8="","",IFERROR(L8/$L$55,0))</f>
        <v>0.0572062032373364</v>
      </c>
      <c r="N8" s="19" t="str">
        <f aca="false">IF($A8="","",IF(H8&lt;=0,"⛔ Sem estoque",IF(H8&lt;=I8,"⚠️ Estoque baixo","✅ OK")))</f>
        <v>✅ OK</v>
      </c>
    </row>
    <row r="9" customFormat="false" ht="18" hidden="false" customHeight="true" outlineLevel="0" collapsed="false">
      <c r="A9" s="15" t="str">
        <f aca="false">IF(Cadastro!A9="","",Cadastro!A9)</f>
        <v>P005</v>
      </c>
      <c r="B9" s="5" t="str">
        <f aca="false">IF($A9="","",IFERROR(VLOOKUP(A9,Cadastro!$A$5:$K$54,2,0),""))</f>
        <v>Tinta Acrílica 18L</v>
      </c>
      <c r="C9" s="5" t="str">
        <f aca="false">IF($A9="","",IFERROR(VLOOKUP(A9,Cadastro!$A$5:$K$54,3,0),""))</f>
        <v>Tintas</v>
      </c>
      <c r="D9" s="15" t="str">
        <f aca="false">IF($A9="","",IFERROR(VLOOKUP(A9,Cadastro!$A$5:$K$54,4,0),""))</f>
        <v>gl</v>
      </c>
      <c r="E9" s="22" t="n">
        <f aca="false">IF($A9="",0,IFERROR(VLOOKUP(A9,Cadastro!$A$5:$K$54,5,0),0))</f>
        <v>12</v>
      </c>
      <c r="F9" s="22" t="n">
        <f aca="false">IF($A9="",0,SUMPRODUCT((Movimentações!$B$5:$B$504=A9)*(Movimentações!$D$5:$D$504="E")*(Movimentações!$E$5:$E$504)))</f>
        <v>20</v>
      </c>
      <c r="G9" s="22" t="n">
        <f aca="false">IF($A9="",0,SUMPRODUCT((Movimentações!$B$5:$B$504=A9)*(Movimentações!$D$5:$D$504="S")*(Movimentações!$E$5:$E$504)))</f>
        <v>4</v>
      </c>
      <c r="H9" s="23" t="n">
        <f aca="false">IF($A9="","",E9+F9-G9+SUMPRODUCT((Movimentações!$B$5:$B$504=A9)*(Movimentações!$D$5:$D$504="AJ")*(Movimentações!$E$5:$E$504)))</f>
        <v>28</v>
      </c>
      <c r="I9" s="22" t="n">
        <f aca="false">IF($A9="",0,IFERROR(VLOOKUP(A9,Cadastro!$A$5:$K$54,7,0),0))</f>
        <v>3</v>
      </c>
      <c r="J9" s="22" t="n">
        <f aca="false">IF($A9="",0,IFERROR(VLOOKUP(A9,Cadastro!$A$5:$K$54,8,0),0))</f>
        <v>30</v>
      </c>
      <c r="K9" s="7" t="n">
        <f aca="false">IF($A9="","",IFERROR(SUMPRODUCT((Movimentações!$B$5:$B$504=A9)*(Movimentações!$D$5:$D$504="E")*(Movimentações!$E$5:$E$504)*(Movimentações!$F$5:$F$504))/SUMPRODUCT((Movimentações!$B$5:$B$504=A9)*(Movimentações!$D$5:$D$504="E")*(Movimentações!$E$5:$E$504)),IFERROR(VLOOKUP(A9,Cadastro!$A$5:$K$54,6,0),0)))</f>
        <v>88</v>
      </c>
      <c r="L9" s="24" t="n">
        <f aca="false">IF($A9="","",H9*K9)</f>
        <v>2464</v>
      </c>
      <c r="M9" s="25" t="n">
        <f aca="false">IF($A9="","",IFERROR(L9/$L$55,0))</f>
        <v>0.201798260238793</v>
      </c>
      <c r="N9" s="15" t="str">
        <f aca="false">IF($A9="","",IF(H9&lt;=0,"⛔ Sem estoque",IF(H9&lt;=I9,"⚠️ Estoque baixo","✅ OK")))</f>
        <v>✅ OK</v>
      </c>
    </row>
    <row r="10" customFormat="false" ht="18" hidden="false" customHeight="true" outlineLevel="0" collapsed="false">
      <c r="A10" s="19" t="str">
        <f aca="false">IF(Cadastro!A10="","",Cadastro!A10)</f>
        <v/>
      </c>
      <c r="B10" s="9" t="str">
        <f aca="false">IF($A10="","",IFERROR(VLOOKUP(A10,Cadastro!$A$5:$K$54,2,0),""))</f>
        <v/>
      </c>
      <c r="C10" s="9" t="str">
        <f aca="false">IF($A10="","",IFERROR(VLOOKUP(A10,Cadastro!$A$5:$K$54,3,0),""))</f>
        <v/>
      </c>
      <c r="D10" s="19" t="str">
        <f aca="false">IF($A10="","",IFERROR(VLOOKUP(A10,Cadastro!$A$5:$K$54,4,0),""))</f>
        <v/>
      </c>
      <c r="E10" s="26" t="n">
        <f aca="false">IF($A10="",0,IFERROR(VLOOKUP(A10,Cadastro!$A$5:$K$54,5,0),0))</f>
        <v>0</v>
      </c>
      <c r="F10" s="26" t="n">
        <f aca="false">IF($A10="",0,SUMPRODUCT((Movimentações!$B$5:$B$504=A10)*(Movimentações!$D$5:$D$504="E")*(Movimentações!$E$5:$E$504)))</f>
        <v>0</v>
      </c>
      <c r="G10" s="26" t="n">
        <f aca="false">IF($A10="",0,SUMPRODUCT((Movimentações!$B$5:$B$504=A10)*(Movimentações!$D$5:$D$504="S")*(Movimentações!$E$5:$E$504)))</f>
        <v>0</v>
      </c>
      <c r="H10" s="27" t="str">
        <f aca="false">IF($A10="","",E10+F10-G10+SUMPRODUCT((Movimentações!$B$5:$B$504=A10)*(Movimentações!$D$5:$D$504="AJ")*(Movimentações!$E$5:$E$504)))</f>
        <v/>
      </c>
      <c r="I10" s="26" t="n">
        <f aca="false">IF($A10="",0,IFERROR(VLOOKUP(A10,Cadastro!$A$5:$K$54,7,0),0))</f>
        <v>0</v>
      </c>
      <c r="J10" s="26" t="n">
        <f aca="false">IF($A10="",0,IFERROR(VLOOKUP(A10,Cadastro!$A$5:$K$54,8,0),0))</f>
        <v>0</v>
      </c>
      <c r="K10" s="11" t="str">
        <f aca="false">IF($A10="","",IFERROR(SUMPRODUCT((Movimentações!$B$5:$B$504=A10)*(Movimentações!$D$5:$D$504="E")*(Movimentações!$E$5:$E$504)*(Movimentações!$F$5:$F$504))/SUMPRODUCT((Movimentações!$B$5:$B$504=A10)*(Movimentações!$D$5:$D$504="E")*(Movimentações!$E$5:$E$504)),IFERROR(VLOOKUP(A10,Cadastro!$A$5:$K$54,6,0),0)))</f>
        <v/>
      </c>
      <c r="L10" s="28" t="str">
        <f aca="false">IF($A10="","",H10*K10)</f>
        <v/>
      </c>
      <c r="M10" s="29" t="str">
        <f aca="false">IF($A10="","",IFERROR(L10/$L$55,0))</f>
        <v/>
      </c>
      <c r="N10" s="19" t="str">
        <f aca="false">IF($A10="","",IF(H10&lt;=0,"⛔ Sem estoque",IF(H10&lt;=I10,"⚠️ Estoque baixo","✅ OK")))</f>
        <v/>
      </c>
    </row>
    <row r="11" customFormat="false" ht="18" hidden="false" customHeight="true" outlineLevel="0" collapsed="false">
      <c r="A11" s="15" t="str">
        <f aca="false">IF(Cadastro!A11="","",Cadastro!A11)</f>
        <v/>
      </c>
      <c r="B11" s="5" t="str">
        <f aca="false">IF($A11="","",IFERROR(VLOOKUP(A11,Cadastro!$A$5:$K$54,2,0),""))</f>
        <v/>
      </c>
      <c r="C11" s="5" t="str">
        <f aca="false">IF($A11="","",IFERROR(VLOOKUP(A11,Cadastro!$A$5:$K$54,3,0),""))</f>
        <v/>
      </c>
      <c r="D11" s="15" t="str">
        <f aca="false">IF($A11="","",IFERROR(VLOOKUP(A11,Cadastro!$A$5:$K$54,4,0),""))</f>
        <v/>
      </c>
      <c r="E11" s="22" t="n">
        <f aca="false">IF($A11="",0,IFERROR(VLOOKUP(A11,Cadastro!$A$5:$K$54,5,0),0))</f>
        <v>0</v>
      </c>
      <c r="F11" s="22" t="n">
        <f aca="false">IF($A11="",0,SUMPRODUCT((Movimentações!$B$5:$B$504=A11)*(Movimentações!$D$5:$D$504="E")*(Movimentações!$E$5:$E$504)))</f>
        <v>0</v>
      </c>
      <c r="G11" s="22" t="n">
        <f aca="false">IF($A11="",0,SUMPRODUCT((Movimentações!$B$5:$B$504=A11)*(Movimentações!$D$5:$D$504="S")*(Movimentações!$E$5:$E$504)))</f>
        <v>0</v>
      </c>
      <c r="H11" s="23" t="str">
        <f aca="false">IF($A11="","",E11+F11-G11+SUMPRODUCT((Movimentações!$B$5:$B$504=A11)*(Movimentações!$D$5:$D$504="AJ")*(Movimentações!$E$5:$E$504)))</f>
        <v/>
      </c>
      <c r="I11" s="22" t="n">
        <f aca="false">IF($A11="",0,IFERROR(VLOOKUP(A11,Cadastro!$A$5:$K$54,7,0),0))</f>
        <v>0</v>
      </c>
      <c r="J11" s="22" t="n">
        <f aca="false">IF($A11="",0,IFERROR(VLOOKUP(A11,Cadastro!$A$5:$K$54,8,0),0))</f>
        <v>0</v>
      </c>
      <c r="K11" s="7" t="str">
        <f aca="false">IF($A11="","",IFERROR(SUMPRODUCT((Movimentações!$B$5:$B$504=A11)*(Movimentações!$D$5:$D$504="E")*(Movimentações!$E$5:$E$504)*(Movimentações!$F$5:$F$504))/SUMPRODUCT((Movimentações!$B$5:$B$504=A11)*(Movimentações!$D$5:$D$504="E")*(Movimentações!$E$5:$E$504)),IFERROR(VLOOKUP(A11,Cadastro!$A$5:$K$54,6,0),0)))</f>
        <v/>
      </c>
      <c r="L11" s="24" t="str">
        <f aca="false">IF($A11="","",H11*K11)</f>
        <v/>
      </c>
      <c r="M11" s="25" t="str">
        <f aca="false">IF($A11="","",IFERROR(L11/$L$55,0))</f>
        <v/>
      </c>
      <c r="N11" s="15" t="str">
        <f aca="false">IF($A11="","",IF(H11&lt;=0,"⛔ Sem estoque",IF(H11&lt;=I11,"⚠️ Estoque baixo","✅ OK")))</f>
        <v/>
      </c>
    </row>
    <row r="12" customFormat="false" ht="18" hidden="false" customHeight="true" outlineLevel="0" collapsed="false">
      <c r="A12" s="19" t="str">
        <f aca="false">IF(Cadastro!A12="","",Cadastro!A12)</f>
        <v/>
      </c>
      <c r="B12" s="9" t="str">
        <f aca="false">IF($A12="","",IFERROR(VLOOKUP(A12,Cadastro!$A$5:$K$54,2,0),""))</f>
        <v/>
      </c>
      <c r="C12" s="9" t="str">
        <f aca="false">IF($A12="","",IFERROR(VLOOKUP(A12,Cadastro!$A$5:$K$54,3,0),""))</f>
        <v/>
      </c>
      <c r="D12" s="19" t="str">
        <f aca="false">IF($A12="","",IFERROR(VLOOKUP(A12,Cadastro!$A$5:$K$54,4,0),""))</f>
        <v/>
      </c>
      <c r="E12" s="26" t="n">
        <f aca="false">IF($A12="",0,IFERROR(VLOOKUP(A12,Cadastro!$A$5:$K$54,5,0),0))</f>
        <v>0</v>
      </c>
      <c r="F12" s="26" t="n">
        <f aca="false">IF($A12="",0,SUMPRODUCT((Movimentações!$B$5:$B$504=A12)*(Movimentações!$D$5:$D$504="E")*(Movimentações!$E$5:$E$504)))</f>
        <v>0</v>
      </c>
      <c r="G12" s="26" t="n">
        <f aca="false">IF($A12="",0,SUMPRODUCT((Movimentações!$B$5:$B$504=A12)*(Movimentações!$D$5:$D$504="S")*(Movimentações!$E$5:$E$504)))</f>
        <v>0</v>
      </c>
      <c r="H12" s="27" t="str">
        <f aca="false">IF($A12="","",E12+F12-G12+SUMPRODUCT((Movimentações!$B$5:$B$504=A12)*(Movimentações!$D$5:$D$504="AJ")*(Movimentações!$E$5:$E$504)))</f>
        <v/>
      </c>
      <c r="I12" s="26" t="n">
        <f aca="false">IF($A12="",0,IFERROR(VLOOKUP(A12,Cadastro!$A$5:$K$54,7,0),0))</f>
        <v>0</v>
      </c>
      <c r="J12" s="26" t="n">
        <f aca="false">IF($A12="",0,IFERROR(VLOOKUP(A12,Cadastro!$A$5:$K$54,8,0),0))</f>
        <v>0</v>
      </c>
      <c r="K12" s="11" t="str">
        <f aca="false">IF($A12="","",IFERROR(SUMPRODUCT((Movimentações!$B$5:$B$504=A12)*(Movimentações!$D$5:$D$504="E")*(Movimentações!$E$5:$E$504)*(Movimentações!$F$5:$F$504))/SUMPRODUCT((Movimentações!$B$5:$B$504=A12)*(Movimentações!$D$5:$D$504="E")*(Movimentações!$E$5:$E$504)),IFERROR(VLOOKUP(A12,Cadastro!$A$5:$K$54,6,0),0)))</f>
        <v/>
      </c>
      <c r="L12" s="28" t="str">
        <f aca="false">IF($A12="","",H12*K12)</f>
        <v/>
      </c>
      <c r="M12" s="29" t="str">
        <f aca="false">IF($A12="","",IFERROR(L12/$L$55,0))</f>
        <v/>
      </c>
      <c r="N12" s="19" t="str">
        <f aca="false">IF($A12="","",IF(H12&lt;=0,"⛔ Sem estoque",IF(H12&lt;=I12,"⚠️ Estoque baixo","✅ OK")))</f>
        <v/>
      </c>
    </row>
    <row r="13" customFormat="false" ht="18" hidden="false" customHeight="true" outlineLevel="0" collapsed="false">
      <c r="A13" s="15" t="str">
        <f aca="false">IF(Cadastro!A13="","",Cadastro!A13)</f>
        <v/>
      </c>
      <c r="B13" s="5" t="str">
        <f aca="false">IF($A13="","",IFERROR(VLOOKUP(A13,Cadastro!$A$5:$K$54,2,0),""))</f>
        <v/>
      </c>
      <c r="C13" s="5" t="str">
        <f aca="false">IF($A13="","",IFERROR(VLOOKUP(A13,Cadastro!$A$5:$K$54,3,0),""))</f>
        <v/>
      </c>
      <c r="D13" s="15" t="str">
        <f aca="false">IF($A13="","",IFERROR(VLOOKUP(A13,Cadastro!$A$5:$K$54,4,0),""))</f>
        <v/>
      </c>
      <c r="E13" s="22" t="n">
        <f aca="false">IF($A13="",0,IFERROR(VLOOKUP(A13,Cadastro!$A$5:$K$54,5,0),0))</f>
        <v>0</v>
      </c>
      <c r="F13" s="22" t="n">
        <f aca="false">IF($A13="",0,SUMPRODUCT((Movimentações!$B$5:$B$504=A13)*(Movimentações!$D$5:$D$504="E")*(Movimentações!$E$5:$E$504)))</f>
        <v>0</v>
      </c>
      <c r="G13" s="22" t="n">
        <f aca="false">IF($A13="",0,SUMPRODUCT((Movimentações!$B$5:$B$504=A13)*(Movimentações!$D$5:$D$504="S")*(Movimentações!$E$5:$E$504)))</f>
        <v>0</v>
      </c>
      <c r="H13" s="23" t="str">
        <f aca="false">IF($A13="","",E13+F13-G13+SUMPRODUCT((Movimentações!$B$5:$B$504=A13)*(Movimentações!$D$5:$D$504="AJ")*(Movimentações!$E$5:$E$504)))</f>
        <v/>
      </c>
      <c r="I13" s="22" t="n">
        <f aca="false">IF($A13="",0,IFERROR(VLOOKUP(A13,Cadastro!$A$5:$K$54,7,0),0))</f>
        <v>0</v>
      </c>
      <c r="J13" s="22" t="n">
        <f aca="false">IF($A13="",0,IFERROR(VLOOKUP(A13,Cadastro!$A$5:$K$54,8,0),0))</f>
        <v>0</v>
      </c>
      <c r="K13" s="7" t="str">
        <f aca="false">IF($A13="","",IFERROR(SUMPRODUCT((Movimentações!$B$5:$B$504=A13)*(Movimentações!$D$5:$D$504="E")*(Movimentações!$E$5:$E$504)*(Movimentações!$F$5:$F$504))/SUMPRODUCT((Movimentações!$B$5:$B$504=A13)*(Movimentações!$D$5:$D$504="E")*(Movimentações!$E$5:$E$504)),IFERROR(VLOOKUP(A13,Cadastro!$A$5:$K$54,6,0),0)))</f>
        <v/>
      </c>
      <c r="L13" s="24" t="str">
        <f aca="false">IF($A13="","",H13*K13)</f>
        <v/>
      </c>
      <c r="M13" s="25" t="str">
        <f aca="false">IF($A13="","",IFERROR(L13/$L$55,0))</f>
        <v/>
      </c>
      <c r="N13" s="15" t="str">
        <f aca="false">IF($A13="","",IF(H13&lt;=0,"⛔ Sem estoque",IF(H13&lt;=I13,"⚠️ Estoque baixo","✅ OK")))</f>
        <v/>
      </c>
    </row>
    <row r="14" customFormat="false" ht="18" hidden="false" customHeight="true" outlineLevel="0" collapsed="false">
      <c r="A14" s="19" t="str">
        <f aca="false">IF(Cadastro!A14="","",Cadastro!A14)</f>
        <v/>
      </c>
      <c r="B14" s="9" t="str">
        <f aca="false">IF($A14="","",IFERROR(VLOOKUP(A14,Cadastro!$A$5:$K$54,2,0),""))</f>
        <v/>
      </c>
      <c r="C14" s="9" t="str">
        <f aca="false">IF($A14="","",IFERROR(VLOOKUP(A14,Cadastro!$A$5:$K$54,3,0),""))</f>
        <v/>
      </c>
      <c r="D14" s="19" t="str">
        <f aca="false">IF($A14="","",IFERROR(VLOOKUP(A14,Cadastro!$A$5:$K$54,4,0),""))</f>
        <v/>
      </c>
      <c r="E14" s="26" t="n">
        <f aca="false">IF($A14="",0,IFERROR(VLOOKUP(A14,Cadastro!$A$5:$K$54,5,0),0))</f>
        <v>0</v>
      </c>
      <c r="F14" s="26" t="n">
        <f aca="false">IF($A14="",0,SUMPRODUCT((Movimentações!$B$5:$B$504=A14)*(Movimentações!$D$5:$D$504="E")*(Movimentações!$E$5:$E$504)))</f>
        <v>0</v>
      </c>
      <c r="G14" s="26" t="n">
        <f aca="false">IF($A14="",0,SUMPRODUCT((Movimentações!$B$5:$B$504=A14)*(Movimentações!$D$5:$D$504="S")*(Movimentações!$E$5:$E$504)))</f>
        <v>0</v>
      </c>
      <c r="H14" s="27" t="str">
        <f aca="false">IF($A14="","",E14+F14-G14+SUMPRODUCT((Movimentações!$B$5:$B$504=A14)*(Movimentações!$D$5:$D$504="AJ")*(Movimentações!$E$5:$E$504)))</f>
        <v/>
      </c>
      <c r="I14" s="26" t="n">
        <f aca="false">IF($A14="",0,IFERROR(VLOOKUP(A14,Cadastro!$A$5:$K$54,7,0),0))</f>
        <v>0</v>
      </c>
      <c r="J14" s="26" t="n">
        <f aca="false">IF($A14="",0,IFERROR(VLOOKUP(A14,Cadastro!$A$5:$K$54,8,0),0))</f>
        <v>0</v>
      </c>
      <c r="K14" s="11" t="str">
        <f aca="false">IF($A14="","",IFERROR(SUMPRODUCT((Movimentações!$B$5:$B$504=A14)*(Movimentações!$D$5:$D$504="E")*(Movimentações!$E$5:$E$504)*(Movimentações!$F$5:$F$504))/SUMPRODUCT((Movimentações!$B$5:$B$504=A14)*(Movimentações!$D$5:$D$504="E")*(Movimentações!$E$5:$E$504)),IFERROR(VLOOKUP(A14,Cadastro!$A$5:$K$54,6,0),0)))</f>
        <v/>
      </c>
      <c r="L14" s="28" t="str">
        <f aca="false">IF($A14="","",H14*K14)</f>
        <v/>
      </c>
      <c r="M14" s="29" t="str">
        <f aca="false">IF($A14="","",IFERROR(L14/$L$55,0))</f>
        <v/>
      </c>
      <c r="N14" s="19" t="str">
        <f aca="false">IF($A14="","",IF(H14&lt;=0,"⛔ Sem estoque",IF(H14&lt;=I14,"⚠️ Estoque baixo","✅ OK")))</f>
        <v/>
      </c>
    </row>
    <row r="15" customFormat="false" ht="18" hidden="false" customHeight="true" outlineLevel="0" collapsed="false">
      <c r="A15" s="15" t="str">
        <f aca="false">IF(Cadastro!A15="","",Cadastro!A15)</f>
        <v/>
      </c>
      <c r="B15" s="5" t="str">
        <f aca="false">IF($A15="","",IFERROR(VLOOKUP(A15,Cadastro!$A$5:$K$54,2,0),""))</f>
        <v/>
      </c>
      <c r="C15" s="5" t="str">
        <f aca="false">IF($A15="","",IFERROR(VLOOKUP(A15,Cadastro!$A$5:$K$54,3,0),""))</f>
        <v/>
      </c>
      <c r="D15" s="15" t="str">
        <f aca="false">IF($A15="","",IFERROR(VLOOKUP(A15,Cadastro!$A$5:$K$54,4,0),""))</f>
        <v/>
      </c>
      <c r="E15" s="22" t="n">
        <f aca="false">IF($A15="",0,IFERROR(VLOOKUP(A15,Cadastro!$A$5:$K$54,5,0),0))</f>
        <v>0</v>
      </c>
      <c r="F15" s="22" t="n">
        <f aca="false">IF($A15="",0,SUMPRODUCT((Movimentações!$B$5:$B$504=A15)*(Movimentações!$D$5:$D$504="E")*(Movimentações!$E$5:$E$504)))</f>
        <v>0</v>
      </c>
      <c r="G15" s="22" t="n">
        <f aca="false">IF($A15="",0,SUMPRODUCT((Movimentações!$B$5:$B$504=A15)*(Movimentações!$D$5:$D$504="S")*(Movimentações!$E$5:$E$504)))</f>
        <v>0</v>
      </c>
      <c r="H15" s="23" t="str">
        <f aca="false">IF($A15="","",E15+F15-G15+SUMPRODUCT((Movimentações!$B$5:$B$504=A15)*(Movimentações!$D$5:$D$504="AJ")*(Movimentações!$E$5:$E$504)))</f>
        <v/>
      </c>
      <c r="I15" s="22" t="n">
        <f aca="false">IF($A15="",0,IFERROR(VLOOKUP(A15,Cadastro!$A$5:$K$54,7,0),0))</f>
        <v>0</v>
      </c>
      <c r="J15" s="22" t="n">
        <f aca="false">IF($A15="",0,IFERROR(VLOOKUP(A15,Cadastro!$A$5:$K$54,8,0),0))</f>
        <v>0</v>
      </c>
      <c r="K15" s="7" t="str">
        <f aca="false">IF($A15="","",IFERROR(SUMPRODUCT((Movimentações!$B$5:$B$504=A15)*(Movimentações!$D$5:$D$504="E")*(Movimentações!$E$5:$E$504)*(Movimentações!$F$5:$F$504))/SUMPRODUCT((Movimentações!$B$5:$B$504=A15)*(Movimentações!$D$5:$D$504="E")*(Movimentações!$E$5:$E$504)),IFERROR(VLOOKUP(A15,Cadastro!$A$5:$K$54,6,0),0)))</f>
        <v/>
      </c>
      <c r="L15" s="24" t="str">
        <f aca="false">IF($A15="","",H15*K15)</f>
        <v/>
      </c>
      <c r="M15" s="25" t="str">
        <f aca="false">IF($A15="","",IFERROR(L15/$L$55,0))</f>
        <v/>
      </c>
      <c r="N15" s="15" t="str">
        <f aca="false">IF($A15="","",IF(H15&lt;=0,"⛔ Sem estoque",IF(H15&lt;=I15,"⚠️ Estoque baixo","✅ OK")))</f>
        <v/>
      </c>
    </row>
    <row r="16" customFormat="false" ht="18" hidden="false" customHeight="true" outlineLevel="0" collapsed="false">
      <c r="A16" s="19" t="str">
        <f aca="false">IF(Cadastro!A16="","",Cadastro!A16)</f>
        <v/>
      </c>
      <c r="B16" s="9" t="str">
        <f aca="false">IF($A16="","",IFERROR(VLOOKUP(A16,Cadastro!$A$5:$K$54,2,0),""))</f>
        <v/>
      </c>
      <c r="C16" s="9" t="str">
        <f aca="false">IF($A16="","",IFERROR(VLOOKUP(A16,Cadastro!$A$5:$K$54,3,0),""))</f>
        <v/>
      </c>
      <c r="D16" s="19" t="str">
        <f aca="false">IF($A16="","",IFERROR(VLOOKUP(A16,Cadastro!$A$5:$K$54,4,0),""))</f>
        <v/>
      </c>
      <c r="E16" s="26" t="n">
        <f aca="false">IF($A16="",0,IFERROR(VLOOKUP(A16,Cadastro!$A$5:$K$54,5,0),0))</f>
        <v>0</v>
      </c>
      <c r="F16" s="26" t="n">
        <f aca="false">IF($A16="",0,SUMPRODUCT((Movimentações!$B$5:$B$504=A16)*(Movimentações!$D$5:$D$504="E")*(Movimentações!$E$5:$E$504)))</f>
        <v>0</v>
      </c>
      <c r="G16" s="26" t="n">
        <f aca="false">IF($A16="",0,SUMPRODUCT((Movimentações!$B$5:$B$504=A16)*(Movimentações!$D$5:$D$504="S")*(Movimentações!$E$5:$E$504)))</f>
        <v>0</v>
      </c>
      <c r="H16" s="27" t="str">
        <f aca="false">IF($A16="","",E16+F16-G16+SUMPRODUCT((Movimentações!$B$5:$B$504=A16)*(Movimentações!$D$5:$D$504="AJ")*(Movimentações!$E$5:$E$504)))</f>
        <v/>
      </c>
      <c r="I16" s="26" t="n">
        <f aca="false">IF($A16="",0,IFERROR(VLOOKUP(A16,Cadastro!$A$5:$K$54,7,0),0))</f>
        <v>0</v>
      </c>
      <c r="J16" s="26" t="n">
        <f aca="false">IF($A16="",0,IFERROR(VLOOKUP(A16,Cadastro!$A$5:$K$54,8,0),0))</f>
        <v>0</v>
      </c>
      <c r="K16" s="11" t="str">
        <f aca="false">IF($A16="","",IFERROR(SUMPRODUCT((Movimentações!$B$5:$B$504=A16)*(Movimentações!$D$5:$D$504="E")*(Movimentações!$E$5:$E$504)*(Movimentações!$F$5:$F$504))/SUMPRODUCT((Movimentações!$B$5:$B$504=A16)*(Movimentações!$D$5:$D$504="E")*(Movimentações!$E$5:$E$504)),IFERROR(VLOOKUP(A16,Cadastro!$A$5:$K$54,6,0),0)))</f>
        <v/>
      </c>
      <c r="L16" s="28" t="str">
        <f aca="false">IF($A16="","",H16*K16)</f>
        <v/>
      </c>
      <c r="M16" s="29" t="str">
        <f aca="false">IF($A16="","",IFERROR(L16/$L$55,0))</f>
        <v/>
      </c>
      <c r="N16" s="19" t="str">
        <f aca="false">IF($A16="","",IF(H16&lt;=0,"⛔ Sem estoque",IF(H16&lt;=I16,"⚠️ Estoque baixo","✅ OK")))</f>
        <v/>
      </c>
    </row>
    <row r="17" customFormat="false" ht="18" hidden="false" customHeight="true" outlineLevel="0" collapsed="false">
      <c r="A17" s="15" t="str">
        <f aca="false">IF(Cadastro!A17="","",Cadastro!A17)</f>
        <v/>
      </c>
      <c r="B17" s="5" t="str">
        <f aca="false">IF($A17="","",IFERROR(VLOOKUP(A17,Cadastro!$A$5:$K$54,2,0),""))</f>
        <v/>
      </c>
      <c r="C17" s="5" t="str">
        <f aca="false">IF($A17="","",IFERROR(VLOOKUP(A17,Cadastro!$A$5:$K$54,3,0),""))</f>
        <v/>
      </c>
      <c r="D17" s="15" t="str">
        <f aca="false">IF($A17="","",IFERROR(VLOOKUP(A17,Cadastro!$A$5:$K$54,4,0),""))</f>
        <v/>
      </c>
      <c r="E17" s="22" t="n">
        <f aca="false">IF($A17="",0,IFERROR(VLOOKUP(A17,Cadastro!$A$5:$K$54,5,0),0))</f>
        <v>0</v>
      </c>
      <c r="F17" s="22" t="n">
        <f aca="false">IF($A17="",0,SUMPRODUCT((Movimentações!$B$5:$B$504=A17)*(Movimentações!$D$5:$D$504="E")*(Movimentações!$E$5:$E$504)))</f>
        <v>0</v>
      </c>
      <c r="G17" s="22" t="n">
        <f aca="false">IF($A17="",0,SUMPRODUCT((Movimentações!$B$5:$B$504=A17)*(Movimentações!$D$5:$D$504="S")*(Movimentações!$E$5:$E$504)))</f>
        <v>0</v>
      </c>
      <c r="H17" s="23" t="str">
        <f aca="false">IF($A17="","",E17+F17-G17+SUMPRODUCT((Movimentações!$B$5:$B$504=A17)*(Movimentações!$D$5:$D$504="AJ")*(Movimentações!$E$5:$E$504)))</f>
        <v/>
      </c>
      <c r="I17" s="22" t="n">
        <f aca="false">IF($A17="",0,IFERROR(VLOOKUP(A17,Cadastro!$A$5:$K$54,7,0),0))</f>
        <v>0</v>
      </c>
      <c r="J17" s="22" t="n">
        <f aca="false">IF($A17="",0,IFERROR(VLOOKUP(A17,Cadastro!$A$5:$K$54,8,0),0))</f>
        <v>0</v>
      </c>
      <c r="K17" s="7" t="str">
        <f aca="false">IF($A17="","",IFERROR(SUMPRODUCT((Movimentações!$B$5:$B$504=A17)*(Movimentações!$D$5:$D$504="E")*(Movimentações!$E$5:$E$504)*(Movimentações!$F$5:$F$504))/SUMPRODUCT((Movimentações!$B$5:$B$504=A17)*(Movimentações!$D$5:$D$504="E")*(Movimentações!$E$5:$E$504)),IFERROR(VLOOKUP(A17,Cadastro!$A$5:$K$54,6,0),0)))</f>
        <v/>
      </c>
      <c r="L17" s="24" t="str">
        <f aca="false">IF($A17="","",H17*K17)</f>
        <v/>
      </c>
      <c r="M17" s="25" t="str">
        <f aca="false">IF($A17="","",IFERROR(L17/$L$55,0))</f>
        <v/>
      </c>
      <c r="N17" s="15" t="str">
        <f aca="false">IF($A17="","",IF(H17&lt;=0,"⛔ Sem estoque",IF(H17&lt;=I17,"⚠️ Estoque baixo","✅ OK")))</f>
        <v/>
      </c>
    </row>
    <row r="18" customFormat="false" ht="18" hidden="false" customHeight="true" outlineLevel="0" collapsed="false">
      <c r="A18" s="19" t="str">
        <f aca="false">IF(Cadastro!A18="","",Cadastro!A18)</f>
        <v/>
      </c>
      <c r="B18" s="9" t="str">
        <f aca="false">IF($A18="","",IFERROR(VLOOKUP(A18,Cadastro!$A$5:$K$54,2,0),""))</f>
        <v/>
      </c>
      <c r="C18" s="9" t="str">
        <f aca="false">IF($A18="","",IFERROR(VLOOKUP(A18,Cadastro!$A$5:$K$54,3,0),""))</f>
        <v/>
      </c>
      <c r="D18" s="19" t="str">
        <f aca="false">IF($A18="","",IFERROR(VLOOKUP(A18,Cadastro!$A$5:$K$54,4,0),""))</f>
        <v/>
      </c>
      <c r="E18" s="26" t="n">
        <f aca="false">IF($A18="",0,IFERROR(VLOOKUP(A18,Cadastro!$A$5:$K$54,5,0),0))</f>
        <v>0</v>
      </c>
      <c r="F18" s="26" t="n">
        <f aca="false">IF($A18="",0,SUMPRODUCT((Movimentações!$B$5:$B$504=A18)*(Movimentações!$D$5:$D$504="E")*(Movimentações!$E$5:$E$504)))</f>
        <v>0</v>
      </c>
      <c r="G18" s="26" t="n">
        <f aca="false">IF($A18="",0,SUMPRODUCT((Movimentações!$B$5:$B$504=A18)*(Movimentações!$D$5:$D$504="S")*(Movimentações!$E$5:$E$504)))</f>
        <v>0</v>
      </c>
      <c r="H18" s="27" t="str">
        <f aca="false">IF($A18="","",E18+F18-G18+SUMPRODUCT((Movimentações!$B$5:$B$504=A18)*(Movimentações!$D$5:$D$504="AJ")*(Movimentações!$E$5:$E$504)))</f>
        <v/>
      </c>
      <c r="I18" s="26" t="n">
        <f aca="false">IF($A18="",0,IFERROR(VLOOKUP(A18,Cadastro!$A$5:$K$54,7,0),0))</f>
        <v>0</v>
      </c>
      <c r="J18" s="26" t="n">
        <f aca="false">IF($A18="",0,IFERROR(VLOOKUP(A18,Cadastro!$A$5:$K$54,8,0),0))</f>
        <v>0</v>
      </c>
      <c r="K18" s="11" t="str">
        <f aca="false">IF($A18="","",IFERROR(SUMPRODUCT((Movimentações!$B$5:$B$504=A18)*(Movimentações!$D$5:$D$504="E")*(Movimentações!$E$5:$E$504)*(Movimentações!$F$5:$F$504))/SUMPRODUCT((Movimentações!$B$5:$B$504=A18)*(Movimentações!$D$5:$D$504="E")*(Movimentações!$E$5:$E$504)),IFERROR(VLOOKUP(A18,Cadastro!$A$5:$K$54,6,0),0)))</f>
        <v/>
      </c>
      <c r="L18" s="28" t="str">
        <f aca="false">IF($A18="","",H18*K18)</f>
        <v/>
      </c>
      <c r="M18" s="29" t="str">
        <f aca="false">IF($A18="","",IFERROR(L18/$L$55,0))</f>
        <v/>
      </c>
      <c r="N18" s="19" t="str">
        <f aca="false">IF($A18="","",IF(H18&lt;=0,"⛔ Sem estoque",IF(H18&lt;=I18,"⚠️ Estoque baixo","✅ OK")))</f>
        <v/>
      </c>
    </row>
    <row r="19" customFormat="false" ht="18" hidden="false" customHeight="true" outlineLevel="0" collapsed="false">
      <c r="A19" s="15" t="str">
        <f aca="false">IF(Cadastro!A19="","",Cadastro!A19)</f>
        <v/>
      </c>
      <c r="B19" s="5" t="str">
        <f aca="false">IF($A19="","",IFERROR(VLOOKUP(A19,Cadastro!$A$5:$K$54,2,0),""))</f>
        <v/>
      </c>
      <c r="C19" s="5" t="str">
        <f aca="false">IF($A19="","",IFERROR(VLOOKUP(A19,Cadastro!$A$5:$K$54,3,0),""))</f>
        <v/>
      </c>
      <c r="D19" s="15" t="str">
        <f aca="false">IF($A19="","",IFERROR(VLOOKUP(A19,Cadastro!$A$5:$K$54,4,0),""))</f>
        <v/>
      </c>
      <c r="E19" s="22" t="n">
        <f aca="false">IF($A19="",0,IFERROR(VLOOKUP(A19,Cadastro!$A$5:$K$54,5,0),0))</f>
        <v>0</v>
      </c>
      <c r="F19" s="22" t="n">
        <f aca="false">IF($A19="",0,SUMPRODUCT((Movimentações!$B$5:$B$504=A19)*(Movimentações!$D$5:$D$504="E")*(Movimentações!$E$5:$E$504)))</f>
        <v>0</v>
      </c>
      <c r="G19" s="22" t="n">
        <f aca="false">IF($A19="",0,SUMPRODUCT((Movimentações!$B$5:$B$504=A19)*(Movimentações!$D$5:$D$504="S")*(Movimentações!$E$5:$E$504)))</f>
        <v>0</v>
      </c>
      <c r="H19" s="23" t="str">
        <f aca="false">IF($A19="","",E19+F19-G19+SUMPRODUCT((Movimentações!$B$5:$B$504=A19)*(Movimentações!$D$5:$D$504="AJ")*(Movimentações!$E$5:$E$504)))</f>
        <v/>
      </c>
      <c r="I19" s="22" t="n">
        <f aca="false">IF($A19="",0,IFERROR(VLOOKUP(A19,Cadastro!$A$5:$K$54,7,0),0))</f>
        <v>0</v>
      </c>
      <c r="J19" s="22" t="n">
        <f aca="false">IF($A19="",0,IFERROR(VLOOKUP(A19,Cadastro!$A$5:$K$54,8,0),0))</f>
        <v>0</v>
      </c>
      <c r="K19" s="7" t="str">
        <f aca="false">IF($A19="","",IFERROR(SUMPRODUCT((Movimentações!$B$5:$B$504=A19)*(Movimentações!$D$5:$D$504="E")*(Movimentações!$E$5:$E$504)*(Movimentações!$F$5:$F$504))/SUMPRODUCT((Movimentações!$B$5:$B$504=A19)*(Movimentações!$D$5:$D$504="E")*(Movimentações!$E$5:$E$504)),IFERROR(VLOOKUP(A19,Cadastro!$A$5:$K$54,6,0),0)))</f>
        <v/>
      </c>
      <c r="L19" s="24" t="str">
        <f aca="false">IF($A19="","",H19*K19)</f>
        <v/>
      </c>
      <c r="M19" s="25" t="str">
        <f aca="false">IF($A19="","",IFERROR(L19/$L$55,0))</f>
        <v/>
      </c>
      <c r="N19" s="15" t="str">
        <f aca="false">IF($A19="","",IF(H19&lt;=0,"⛔ Sem estoque",IF(H19&lt;=I19,"⚠️ Estoque baixo","✅ OK")))</f>
        <v/>
      </c>
    </row>
    <row r="20" customFormat="false" ht="18" hidden="false" customHeight="true" outlineLevel="0" collapsed="false">
      <c r="A20" s="19" t="str">
        <f aca="false">IF(Cadastro!A20="","",Cadastro!A20)</f>
        <v/>
      </c>
      <c r="B20" s="9" t="str">
        <f aca="false">IF($A20="","",IFERROR(VLOOKUP(A20,Cadastro!$A$5:$K$54,2,0),""))</f>
        <v/>
      </c>
      <c r="C20" s="9" t="str">
        <f aca="false">IF($A20="","",IFERROR(VLOOKUP(A20,Cadastro!$A$5:$K$54,3,0),""))</f>
        <v/>
      </c>
      <c r="D20" s="19" t="str">
        <f aca="false">IF($A20="","",IFERROR(VLOOKUP(A20,Cadastro!$A$5:$K$54,4,0),""))</f>
        <v/>
      </c>
      <c r="E20" s="26" t="n">
        <f aca="false">IF($A20="",0,IFERROR(VLOOKUP(A20,Cadastro!$A$5:$K$54,5,0),0))</f>
        <v>0</v>
      </c>
      <c r="F20" s="26" t="n">
        <f aca="false">IF($A20="",0,SUMPRODUCT((Movimentações!$B$5:$B$504=A20)*(Movimentações!$D$5:$D$504="E")*(Movimentações!$E$5:$E$504)))</f>
        <v>0</v>
      </c>
      <c r="G20" s="26" t="n">
        <f aca="false">IF($A20="",0,SUMPRODUCT((Movimentações!$B$5:$B$504=A20)*(Movimentações!$D$5:$D$504="S")*(Movimentações!$E$5:$E$504)))</f>
        <v>0</v>
      </c>
      <c r="H20" s="27" t="str">
        <f aca="false">IF($A20="","",E20+F20-G20+SUMPRODUCT((Movimentações!$B$5:$B$504=A20)*(Movimentações!$D$5:$D$504="AJ")*(Movimentações!$E$5:$E$504)))</f>
        <v/>
      </c>
      <c r="I20" s="26" t="n">
        <f aca="false">IF($A20="",0,IFERROR(VLOOKUP(A20,Cadastro!$A$5:$K$54,7,0),0))</f>
        <v>0</v>
      </c>
      <c r="J20" s="26" t="n">
        <f aca="false">IF($A20="",0,IFERROR(VLOOKUP(A20,Cadastro!$A$5:$K$54,8,0),0))</f>
        <v>0</v>
      </c>
      <c r="K20" s="11" t="str">
        <f aca="false">IF($A20="","",IFERROR(SUMPRODUCT((Movimentações!$B$5:$B$504=A20)*(Movimentações!$D$5:$D$504="E")*(Movimentações!$E$5:$E$504)*(Movimentações!$F$5:$F$504))/SUMPRODUCT((Movimentações!$B$5:$B$504=A20)*(Movimentações!$D$5:$D$504="E")*(Movimentações!$E$5:$E$504)),IFERROR(VLOOKUP(A20,Cadastro!$A$5:$K$54,6,0),0)))</f>
        <v/>
      </c>
      <c r="L20" s="28" t="str">
        <f aca="false">IF($A20="","",H20*K20)</f>
        <v/>
      </c>
      <c r="M20" s="29" t="str">
        <f aca="false">IF($A20="","",IFERROR(L20/$L$55,0))</f>
        <v/>
      </c>
      <c r="N20" s="19" t="str">
        <f aca="false">IF($A20="","",IF(H20&lt;=0,"⛔ Sem estoque",IF(H20&lt;=I20,"⚠️ Estoque baixo","✅ OK")))</f>
        <v/>
      </c>
    </row>
    <row r="21" customFormat="false" ht="18" hidden="false" customHeight="true" outlineLevel="0" collapsed="false">
      <c r="A21" s="15" t="str">
        <f aca="false">IF(Cadastro!A21="","",Cadastro!A21)</f>
        <v/>
      </c>
      <c r="B21" s="5" t="str">
        <f aca="false">IF($A21="","",IFERROR(VLOOKUP(A21,Cadastro!$A$5:$K$54,2,0),""))</f>
        <v/>
      </c>
      <c r="C21" s="5" t="str">
        <f aca="false">IF($A21="","",IFERROR(VLOOKUP(A21,Cadastro!$A$5:$K$54,3,0),""))</f>
        <v/>
      </c>
      <c r="D21" s="15" t="str">
        <f aca="false">IF($A21="","",IFERROR(VLOOKUP(A21,Cadastro!$A$5:$K$54,4,0),""))</f>
        <v/>
      </c>
      <c r="E21" s="22" t="n">
        <f aca="false">IF($A21="",0,IFERROR(VLOOKUP(A21,Cadastro!$A$5:$K$54,5,0),0))</f>
        <v>0</v>
      </c>
      <c r="F21" s="22" t="n">
        <f aca="false">IF($A21="",0,SUMPRODUCT((Movimentações!$B$5:$B$504=A21)*(Movimentações!$D$5:$D$504="E")*(Movimentações!$E$5:$E$504)))</f>
        <v>0</v>
      </c>
      <c r="G21" s="22" t="n">
        <f aca="false">IF($A21="",0,SUMPRODUCT((Movimentações!$B$5:$B$504=A21)*(Movimentações!$D$5:$D$504="S")*(Movimentações!$E$5:$E$504)))</f>
        <v>0</v>
      </c>
      <c r="H21" s="23" t="str">
        <f aca="false">IF($A21="","",E21+F21-G21+SUMPRODUCT((Movimentações!$B$5:$B$504=A21)*(Movimentações!$D$5:$D$504="AJ")*(Movimentações!$E$5:$E$504)))</f>
        <v/>
      </c>
      <c r="I21" s="22" t="n">
        <f aca="false">IF($A21="",0,IFERROR(VLOOKUP(A21,Cadastro!$A$5:$K$54,7,0),0))</f>
        <v>0</v>
      </c>
      <c r="J21" s="22" t="n">
        <f aca="false">IF($A21="",0,IFERROR(VLOOKUP(A21,Cadastro!$A$5:$K$54,8,0),0))</f>
        <v>0</v>
      </c>
      <c r="K21" s="7" t="str">
        <f aca="false">IF($A21="","",IFERROR(SUMPRODUCT((Movimentações!$B$5:$B$504=A21)*(Movimentações!$D$5:$D$504="E")*(Movimentações!$E$5:$E$504)*(Movimentações!$F$5:$F$504))/SUMPRODUCT((Movimentações!$B$5:$B$504=A21)*(Movimentações!$D$5:$D$504="E")*(Movimentações!$E$5:$E$504)),IFERROR(VLOOKUP(A21,Cadastro!$A$5:$K$54,6,0),0)))</f>
        <v/>
      </c>
      <c r="L21" s="24" t="str">
        <f aca="false">IF($A21="","",H21*K21)</f>
        <v/>
      </c>
      <c r="M21" s="25" t="str">
        <f aca="false">IF($A21="","",IFERROR(L21/$L$55,0))</f>
        <v/>
      </c>
      <c r="N21" s="15" t="str">
        <f aca="false">IF($A21="","",IF(H21&lt;=0,"⛔ Sem estoque",IF(H21&lt;=I21,"⚠️ Estoque baixo","✅ OK")))</f>
        <v/>
      </c>
    </row>
    <row r="22" customFormat="false" ht="18" hidden="false" customHeight="true" outlineLevel="0" collapsed="false">
      <c r="A22" s="19" t="str">
        <f aca="false">IF(Cadastro!A22="","",Cadastro!A22)</f>
        <v/>
      </c>
      <c r="B22" s="9" t="str">
        <f aca="false">IF($A22="","",IFERROR(VLOOKUP(A22,Cadastro!$A$5:$K$54,2,0),""))</f>
        <v/>
      </c>
      <c r="C22" s="9" t="str">
        <f aca="false">IF($A22="","",IFERROR(VLOOKUP(A22,Cadastro!$A$5:$K$54,3,0),""))</f>
        <v/>
      </c>
      <c r="D22" s="19" t="str">
        <f aca="false">IF($A22="","",IFERROR(VLOOKUP(A22,Cadastro!$A$5:$K$54,4,0),""))</f>
        <v/>
      </c>
      <c r="E22" s="26" t="n">
        <f aca="false">IF($A22="",0,IFERROR(VLOOKUP(A22,Cadastro!$A$5:$K$54,5,0),0))</f>
        <v>0</v>
      </c>
      <c r="F22" s="26" t="n">
        <f aca="false">IF($A22="",0,SUMPRODUCT((Movimentações!$B$5:$B$504=A22)*(Movimentações!$D$5:$D$504="E")*(Movimentações!$E$5:$E$504)))</f>
        <v>0</v>
      </c>
      <c r="G22" s="26" t="n">
        <f aca="false">IF($A22="",0,SUMPRODUCT((Movimentações!$B$5:$B$504=A22)*(Movimentações!$D$5:$D$504="S")*(Movimentações!$E$5:$E$504)))</f>
        <v>0</v>
      </c>
      <c r="H22" s="27" t="str">
        <f aca="false">IF($A22="","",E22+F22-G22+SUMPRODUCT((Movimentações!$B$5:$B$504=A22)*(Movimentações!$D$5:$D$504="AJ")*(Movimentações!$E$5:$E$504)))</f>
        <v/>
      </c>
      <c r="I22" s="26" t="n">
        <f aca="false">IF($A22="",0,IFERROR(VLOOKUP(A22,Cadastro!$A$5:$K$54,7,0),0))</f>
        <v>0</v>
      </c>
      <c r="J22" s="26" t="n">
        <f aca="false">IF($A22="",0,IFERROR(VLOOKUP(A22,Cadastro!$A$5:$K$54,8,0),0))</f>
        <v>0</v>
      </c>
      <c r="K22" s="11" t="str">
        <f aca="false">IF($A22="","",IFERROR(SUMPRODUCT((Movimentações!$B$5:$B$504=A22)*(Movimentações!$D$5:$D$504="E")*(Movimentações!$E$5:$E$504)*(Movimentações!$F$5:$F$504))/SUMPRODUCT((Movimentações!$B$5:$B$504=A22)*(Movimentações!$D$5:$D$504="E")*(Movimentações!$E$5:$E$504)),IFERROR(VLOOKUP(A22,Cadastro!$A$5:$K$54,6,0),0)))</f>
        <v/>
      </c>
      <c r="L22" s="28" t="str">
        <f aca="false">IF($A22="","",H22*K22)</f>
        <v/>
      </c>
      <c r="M22" s="29" t="str">
        <f aca="false">IF($A22="","",IFERROR(L22/$L$55,0))</f>
        <v/>
      </c>
      <c r="N22" s="19" t="str">
        <f aca="false">IF($A22="","",IF(H22&lt;=0,"⛔ Sem estoque",IF(H22&lt;=I22,"⚠️ Estoque baixo","✅ OK")))</f>
        <v/>
      </c>
    </row>
    <row r="23" customFormat="false" ht="18" hidden="false" customHeight="true" outlineLevel="0" collapsed="false">
      <c r="A23" s="15" t="str">
        <f aca="false">IF(Cadastro!A23="","",Cadastro!A23)</f>
        <v/>
      </c>
      <c r="B23" s="5" t="str">
        <f aca="false">IF($A23="","",IFERROR(VLOOKUP(A23,Cadastro!$A$5:$K$54,2,0),""))</f>
        <v/>
      </c>
      <c r="C23" s="5" t="str">
        <f aca="false">IF($A23="","",IFERROR(VLOOKUP(A23,Cadastro!$A$5:$K$54,3,0),""))</f>
        <v/>
      </c>
      <c r="D23" s="15" t="str">
        <f aca="false">IF($A23="","",IFERROR(VLOOKUP(A23,Cadastro!$A$5:$K$54,4,0),""))</f>
        <v/>
      </c>
      <c r="E23" s="22" t="n">
        <f aca="false">IF($A23="",0,IFERROR(VLOOKUP(A23,Cadastro!$A$5:$K$54,5,0),0))</f>
        <v>0</v>
      </c>
      <c r="F23" s="22" t="n">
        <f aca="false">IF($A23="",0,SUMPRODUCT((Movimentações!$B$5:$B$504=A23)*(Movimentações!$D$5:$D$504="E")*(Movimentações!$E$5:$E$504)))</f>
        <v>0</v>
      </c>
      <c r="G23" s="22" t="n">
        <f aca="false">IF($A23="",0,SUMPRODUCT((Movimentações!$B$5:$B$504=A23)*(Movimentações!$D$5:$D$504="S")*(Movimentações!$E$5:$E$504)))</f>
        <v>0</v>
      </c>
      <c r="H23" s="23" t="str">
        <f aca="false">IF($A23="","",E23+F23-G23+SUMPRODUCT((Movimentações!$B$5:$B$504=A23)*(Movimentações!$D$5:$D$504="AJ")*(Movimentações!$E$5:$E$504)))</f>
        <v/>
      </c>
      <c r="I23" s="22" t="n">
        <f aca="false">IF($A23="",0,IFERROR(VLOOKUP(A23,Cadastro!$A$5:$K$54,7,0),0))</f>
        <v>0</v>
      </c>
      <c r="J23" s="22" t="n">
        <f aca="false">IF($A23="",0,IFERROR(VLOOKUP(A23,Cadastro!$A$5:$K$54,8,0),0))</f>
        <v>0</v>
      </c>
      <c r="K23" s="7" t="str">
        <f aca="false">IF($A23="","",IFERROR(SUMPRODUCT((Movimentações!$B$5:$B$504=A23)*(Movimentações!$D$5:$D$504="E")*(Movimentações!$E$5:$E$504)*(Movimentações!$F$5:$F$504))/SUMPRODUCT((Movimentações!$B$5:$B$504=A23)*(Movimentações!$D$5:$D$504="E")*(Movimentações!$E$5:$E$504)),IFERROR(VLOOKUP(A23,Cadastro!$A$5:$K$54,6,0),0)))</f>
        <v/>
      </c>
      <c r="L23" s="24" t="str">
        <f aca="false">IF($A23="","",H23*K23)</f>
        <v/>
      </c>
      <c r="M23" s="25" t="str">
        <f aca="false">IF($A23="","",IFERROR(L23/$L$55,0))</f>
        <v/>
      </c>
      <c r="N23" s="15" t="str">
        <f aca="false">IF($A23="","",IF(H23&lt;=0,"⛔ Sem estoque",IF(H23&lt;=I23,"⚠️ Estoque baixo","✅ OK")))</f>
        <v/>
      </c>
    </row>
    <row r="24" customFormat="false" ht="18" hidden="false" customHeight="true" outlineLevel="0" collapsed="false">
      <c r="A24" s="19" t="str">
        <f aca="false">IF(Cadastro!A24="","",Cadastro!A24)</f>
        <v/>
      </c>
      <c r="B24" s="9" t="str">
        <f aca="false">IF($A24="","",IFERROR(VLOOKUP(A24,Cadastro!$A$5:$K$54,2,0),""))</f>
        <v/>
      </c>
      <c r="C24" s="9" t="str">
        <f aca="false">IF($A24="","",IFERROR(VLOOKUP(A24,Cadastro!$A$5:$K$54,3,0),""))</f>
        <v/>
      </c>
      <c r="D24" s="19" t="str">
        <f aca="false">IF($A24="","",IFERROR(VLOOKUP(A24,Cadastro!$A$5:$K$54,4,0),""))</f>
        <v/>
      </c>
      <c r="E24" s="26" t="n">
        <f aca="false">IF($A24="",0,IFERROR(VLOOKUP(A24,Cadastro!$A$5:$K$54,5,0),0))</f>
        <v>0</v>
      </c>
      <c r="F24" s="26" t="n">
        <f aca="false">IF($A24="",0,SUMPRODUCT((Movimentações!$B$5:$B$504=A24)*(Movimentações!$D$5:$D$504="E")*(Movimentações!$E$5:$E$504)))</f>
        <v>0</v>
      </c>
      <c r="G24" s="26" t="n">
        <f aca="false">IF($A24="",0,SUMPRODUCT((Movimentações!$B$5:$B$504=A24)*(Movimentações!$D$5:$D$504="S")*(Movimentações!$E$5:$E$504)))</f>
        <v>0</v>
      </c>
      <c r="H24" s="27" t="str">
        <f aca="false">IF($A24="","",E24+F24-G24+SUMPRODUCT((Movimentações!$B$5:$B$504=A24)*(Movimentações!$D$5:$D$504="AJ")*(Movimentações!$E$5:$E$504)))</f>
        <v/>
      </c>
      <c r="I24" s="26" t="n">
        <f aca="false">IF($A24="",0,IFERROR(VLOOKUP(A24,Cadastro!$A$5:$K$54,7,0),0))</f>
        <v>0</v>
      </c>
      <c r="J24" s="26" t="n">
        <f aca="false">IF($A24="",0,IFERROR(VLOOKUP(A24,Cadastro!$A$5:$K$54,8,0),0))</f>
        <v>0</v>
      </c>
      <c r="K24" s="11" t="str">
        <f aca="false">IF($A24="","",IFERROR(SUMPRODUCT((Movimentações!$B$5:$B$504=A24)*(Movimentações!$D$5:$D$504="E")*(Movimentações!$E$5:$E$504)*(Movimentações!$F$5:$F$504))/SUMPRODUCT((Movimentações!$B$5:$B$504=A24)*(Movimentações!$D$5:$D$504="E")*(Movimentações!$E$5:$E$504)),IFERROR(VLOOKUP(A24,Cadastro!$A$5:$K$54,6,0),0)))</f>
        <v/>
      </c>
      <c r="L24" s="28" t="str">
        <f aca="false">IF($A24="","",H24*K24)</f>
        <v/>
      </c>
      <c r="M24" s="29" t="str">
        <f aca="false">IF($A24="","",IFERROR(L24/$L$55,0))</f>
        <v/>
      </c>
      <c r="N24" s="19" t="str">
        <f aca="false">IF($A24="","",IF(H24&lt;=0,"⛔ Sem estoque",IF(H24&lt;=I24,"⚠️ Estoque baixo","✅ OK")))</f>
        <v/>
      </c>
    </row>
    <row r="25" customFormat="false" ht="18" hidden="false" customHeight="true" outlineLevel="0" collapsed="false">
      <c r="A25" s="15" t="str">
        <f aca="false">IF(Cadastro!A25="","",Cadastro!A25)</f>
        <v/>
      </c>
      <c r="B25" s="5" t="str">
        <f aca="false">IF($A25="","",IFERROR(VLOOKUP(A25,Cadastro!$A$5:$K$54,2,0),""))</f>
        <v/>
      </c>
      <c r="C25" s="5" t="str">
        <f aca="false">IF($A25="","",IFERROR(VLOOKUP(A25,Cadastro!$A$5:$K$54,3,0),""))</f>
        <v/>
      </c>
      <c r="D25" s="15" t="str">
        <f aca="false">IF($A25="","",IFERROR(VLOOKUP(A25,Cadastro!$A$5:$K$54,4,0),""))</f>
        <v/>
      </c>
      <c r="E25" s="22" t="n">
        <f aca="false">IF($A25="",0,IFERROR(VLOOKUP(A25,Cadastro!$A$5:$K$54,5,0),0))</f>
        <v>0</v>
      </c>
      <c r="F25" s="22" t="n">
        <f aca="false">IF($A25="",0,SUMPRODUCT((Movimentações!$B$5:$B$504=A25)*(Movimentações!$D$5:$D$504="E")*(Movimentações!$E$5:$E$504)))</f>
        <v>0</v>
      </c>
      <c r="G25" s="22" t="n">
        <f aca="false">IF($A25="",0,SUMPRODUCT((Movimentações!$B$5:$B$504=A25)*(Movimentações!$D$5:$D$504="S")*(Movimentações!$E$5:$E$504)))</f>
        <v>0</v>
      </c>
      <c r="H25" s="23" t="str">
        <f aca="false">IF($A25="","",E25+F25-G25+SUMPRODUCT((Movimentações!$B$5:$B$504=A25)*(Movimentações!$D$5:$D$504="AJ")*(Movimentações!$E$5:$E$504)))</f>
        <v/>
      </c>
      <c r="I25" s="22" t="n">
        <f aca="false">IF($A25="",0,IFERROR(VLOOKUP(A25,Cadastro!$A$5:$K$54,7,0),0))</f>
        <v>0</v>
      </c>
      <c r="J25" s="22" t="n">
        <f aca="false">IF($A25="",0,IFERROR(VLOOKUP(A25,Cadastro!$A$5:$K$54,8,0),0))</f>
        <v>0</v>
      </c>
      <c r="K25" s="7" t="str">
        <f aca="false">IF($A25="","",IFERROR(SUMPRODUCT((Movimentações!$B$5:$B$504=A25)*(Movimentações!$D$5:$D$504="E")*(Movimentações!$E$5:$E$504)*(Movimentações!$F$5:$F$504))/SUMPRODUCT((Movimentações!$B$5:$B$504=A25)*(Movimentações!$D$5:$D$504="E")*(Movimentações!$E$5:$E$504)),IFERROR(VLOOKUP(A25,Cadastro!$A$5:$K$54,6,0),0)))</f>
        <v/>
      </c>
      <c r="L25" s="24" t="str">
        <f aca="false">IF($A25="","",H25*K25)</f>
        <v/>
      </c>
      <c r="M25" s="25" t="str">
        <f aca="false">IF($A25="","",IFERROR(L25/$L$55,0))</f>
        <v/>
      </c>
      <c r="N25" s="15" t="str">
        <f aca="false">IF($A25="","",IF(H25&lt;=0,"⛔ Sem estoque",IF(H25&lt;=I25,"⚠️ Estoque baixo","✅ OK")))</f>
        <v/>
      </c>
    </row>
    <row r="26" customFormat="false" ht="18" hidden="false" customHeight="true" outlineLevel="0" collapsed="false">
      <c r="A26" s="19" t="str">
        <f aca="false">IF(Cadastro!A26="","",Cadastro!A26)</f>
        <v/>
      </c>
      <c r="B26" s="9" t="str">
        <f aca="false">IF($A26="","",IFERROR(VLOOKUP(A26,Cadastro!$A$5:$K$54,2,0),""))</f>
        <v/>
      </c>
      <c r="C26" s="9" t="str">
        <f aca="false">IF($A26="","",IFERROR(VLOOKUP(A26,Cadastro!$A$5:$K$54,3,0),""))</f>
        <v/>
      </c>
      <c r="D26" s="19" t="str">
        <f aca="false">IF($A26="","",IFERROR(VLOOKUP(A26,Cadastro!$A$5:$K$54,4,0),""))</f>
        <v/>
      </c>
      <c r="E26" s="26" t="n">
        <f aca="false">IF($A26="",0,IFERROR(VLOOKUP(A26,Cadastro!$A$5:$K$54,5,0),0))</f>
        <v>0</v>
      </c>
      <c r="F26" s="26" t="n">
        <f aca="false">IF($A26="",0,SUMPRODUCT((Movimentações!$B$5:$B$504=A26)*(Movimentações!$D$5:$D$504="E")*(Movimentações!$E$5:$E$504)))</f>
        <v>0</v>
      </c>
      <c r="G26" s="26" t="n">
        <f aca="false">IF($A26="",0,SUMPRODUCT((Movimentações!$B$5:$B$504=A26)*(Movimentações!$D$5:$D$504="S")*(Movimentações!$E$5:$E$504)))</f>
        <v>0</v>
      </c>
      <c r="H26" s="27" t="str">
        <f aca="false">IF($A26="","",E26+F26-G26+SUMPRODUCT((Movimentações!$B$5:$B$504=A26)*(Movimentações!$D$5:$D$504="AJ")*(Movimentações!$E$5:$E$504)))</f>
        <v/>
      </c>
      <c r="I26" s="26" t="n">
        <f aca="false">IF($A26="",0,IFERROR(VLOOKUP(A26,Cadastro!$A$5:$K$54,7,0),0))</f>
        <v>0</v>
      </c>
      <c r="J26" s="26" t="n">
        <f aca="false">IF($A26="",0,IFERROR(VLOOKUP(A26,Cadastro!$A$5:$K$54,8,0),0))</f>
        <v>0</v>
      </c>
      <c r="K26" s="11" t="str">
        <f aca="false">IF($A26="","",IFERROR(SUMPRODUCT((Movimentações!$B$5:$B$504=A26)*(Movimentações!$D$5:$D$504="E")*(Movimentações!$E$5:$E$504)*(Movimentações!$F$5:$F$504))/SUMPRODUCT((Movimentações!$B$5:$B$504=A26)*(Movimentações!$D$5:$D$504="E")*(Movimentações!$E$5:$E$504)),IFERROR(VLOOKUP(A26,Cadastro!$A$5:$K$54,6,0),0)))</f>
        <v/>
      </c>
      <c r="L26" s="28" t="str">
        <f aca="false">IF($A26="","",H26*K26)</f>
        <v/>
      </c>
      <c r="M26" s="29" t="str">
        <f aca="false">IF($A26="","",IFERROR(L26/$L$55,0))</f>
        <v/>
      </c>
      <c r="N26" s="19" t="str">
        <f aca="false">IF($A26="","",IF(H26&lt;=0,"⛔ Sem estoque",IF(H26&lt;=I26,"⚠️ Estoque baixo","✅ OK")))</f>
        <v/>
      </c>
    </row>
    <row r="27" customFormat="false" ht="18" hidden="false" customHeight="true" outlineLevel="0" collapsed="false">
      <c r="A27" s="15" t="str">
        <f aca="false">IF(Cadastro!A27="","",Cadastro!A27)</f>
        <v/>
      </c>
      <c r="B27" s="5" t="str">
        <f aca="false">IF($A27="","",IFERROR(VLOOKUP(A27,Cadastro!$A$5:$K$54,2,0),""))</f>
        <v/>
      </c>
      <c r="C27" s="5" t="str">
        <f aca="false">IF($A27="","",IFERROR(VLOOKUP(A27,Cadastro!$A$5:$K$54,3,0),""))</f>
        <v/>
      </c>
      <c r="D27" s="15" t="str">
        <f aca="false">IF($A27="","",IFERROR(VLOOKUP(A27,Cadastro!$A$5:$K$54,4,0),""))</f>
        <v/>
      </c>
      <c r="E27" s="22" t="n">
        <f aca="false">IF($A27="",0,IFERROR(VLOOKUP(A27,Cadastro!$A$5:$K$54,5,0),0))</f>
        <v>0</v>
      </c>
      <c r="F27" s="22" t="n">
        <f aca="false">IF($A27="",0,SUMPRODUCT((Movimentações!$B$5:$B$504=A27)*(Movimentações!$D$5:$D$504="E")*(Movimentações!$E$5:$E$504)))</f>
        <v>0</v>
      </c>
      <c r="G27" s="22" t="n">
        <f aca="false">IF($A27="",0,SUMPRODUCT((Movimentações!$B$5:$B$504=A27)*(Movimentações!$D$5:$D$504="S")*(Movimentações!$E$5:$E$504)))</f>
        <v>0</v>
      </c>
      <c r="H27" s="23" t="str">
        <f aca="false">IF($A27="","",E27+F27-G27+SUMPRODUCT((Movimentações!$B$5:$B$504=A27)*(Movimentações!$D$5:$D$504="AJ")*(Movimentações!$E$5:$E$504)))</f>
        <v/>
      </c>
      <c r="I27" s="22" t="n">
        <f aca="false">IF($A27="",0,IFERROR(VLOOKUP(A27,Cadastro!$A$5:$K$54,7,0),0))</f>
        <v>0</v>
      </c>
      <c r="J27" s="22" t="n">
        <f aca="false">IF($A27="",0,IFERROR(VLOOKUP(A27,Cadastro!$A$5:$K$54,8,0),0))</f>
        <v>0</v>
      </c>
      <c r="K27" s="7" t="str">
        <f aca="false">IF($A27="","",IFERROR(SUMPRODUCT((Movimentações!$B$5:$B$504=A27)*(Movimentações!$D$5:$D$504="E")*(Movimentações!$E$5:$E$504)*(Movimentações!$F$5:$F$504))/SUMPRODUCT((Movimentações!$B$5:$B$504=A27)*(Movimentações!$D$5:$D$504="E")*(Movimentações!$E$5:$E$504)),IFERROR(VLOOKUP(A27,Cadastro!$A$5:$K$54,6,0),0)))</f>
        <v/>
      </c>
      <c r="L27" s="24" t="str">
        <f aca="false">IF($A27="","",H27*K27)</f>
        <v/>
      </c>
      <c r="M27" s="25" t="str">
        <f aca="false">IF($A27="","",IFERROR(L27/$L$55,0))</f>
        <v/>
      </c>
      <c r="N27" s="15" t="str">
        <f aca="false">IF($A27="","",IF(H27&lt;=0,"⛔ Sem estoque",IF(H27&lt;=I27,"⚠️ Estoque baixo","✅ OK")))</f>
        <v/>
      </c>
    </row>
    <row r="28" customFormat="false" ht="18" hidden="false" customHeight="true" outlineLevel="0" collapsed="false">
      <c r="A28" s="19" t="str">
        <f aca="false">IF(Cadastro!A28="","",Cadastro!A28)</f>
        <v/>
      </c>
      <c r="B28" s="9" t="str">
        <f aca="false">IF($A28="","",IFERROR(VLOOKUP(A28,Cadastro!$A$5:$K$54,2,0),""))</f>
        <v/>
      </c>
      <c r="C28" s="9" t="str">
        <f aca="false">IF($A28="","",IFERROR(VLOOKUP(A28,Cadastro!$A$5:$K$54,3,0),""))</f>
        <v/>
      </c>
      <c r="D28" s="19" t="str">
        <f aca="false">IF($A28="","",IFERROR(VLOOKUP(A28,Cadastro!$A$5:$K$54,4,0),""))</f>
        <v/>
      </c>
      <c r="E28" s="26" t="n">
        <f aca="false">IF($A28="",0,IFERROR(VLOOKUP(A28,Cadastro!$A$5:$K$54,5,0),0))</f>
        <v>0</v>
      </c>
      <c r="F28" s="26" t="n">
        <f aca="false">IF($A28="",0,SUMPRODUCT((Movimentações!$B$5:$B$504=A28)*(Movimentações!$D$5:$D$504="E")*(Movimentações!$E$5:$E$504)))</f>
        <v>0</v>
      </c>
      <c r="G28" s="26" t="n">
        <f aca="false">IF($A28="",0,SUMPRODUCT((Movimentações!$B$5:$B$504=A28)*(Movimentações!$D$5:$D$504="S")*(Movimentações!$E$5:$E$504)))</f>
        <v>0</v>
      </c>
      <c r="H28" s="27" t="str">
        <f aca="false">IF($A28="","",E28+F28-G28+SUMPRODUCT((Movimentações!$B$5:$B$504=A28)*(Movimentações!$D$5:$D$504="AJ")*(Movimentações!$E$5:$E$504)))</f>
        <v/>
      </c>
      <c r="I28" s="26" t="n">
        <f aca="false">IF($A28="",0,IFERROR(VLOOKUP(A28,Cadastro!$A$5:$K$54,7,0),0))</f>
        <v>0</v>
      </c>
      <c r="J28" s="26" t="n">
        <f aca="false">IF($A28="",0,IFERROR(VLOOKUP(A28,Cadastro!$A$5:$K$54,8,0),0))</f>
        <v>0</v>
      </c>
      <c r="K28" s="11" t="str">
        <f aca="false">IF($A28="","",IFERROR(SUMPRODUCT((Movimentações!$B$5:$B$504=A28)*(Movimentações!$D$5:$D$504="E")*(Movimentações!$E$5:$E$504)*(Movimentações!$F$5:$F$504))/SUMPRODUCT((Movimentações!$B$5:$B$504=A28)*(Movimentações!$D$5:$D$504="E")*(Movimentações!$E$5:$E$504)),IFERROR(VLOOKUP(A28,Cadastro!$A$5:$K$54,6,0),0)))</f>
        <v/>
      </c>
      <c r="L28" s="28" t="str">
        <f aca="false">IF($A28="","",H28*K28)</f>
        <v/>
      </c>
      <c r="M28" s="29" t="str">
        <f aca="false">IF($A28="","",IFERROR(L28/$L$55,0))</f>
        <v/>
      </c>
      <c r="N28" s="19" t="str">
        <f aca="false">IF($A28="","",IF(H28&lt;=0,"⛔ Sem estoque",IF(H28&lt;=I28,"⚠️ Estoque baixo","✅ OK")))</f>
        <v/>
      </c>
    </row>
    <row r="29" customFormat="false" ht="18" hidden="false" customHeight="true" outlineLevel="0" collapsed="false">
      <c r="A29" s="15" t="str">
        <f aca="false">IF(Cadastro!A29="","",Cadastro!A29)</f>
        <v/>
      </c>
      <c r="B29" s="5" t="str">
        <f aca="false">IF($A29="","",IFERROR(VLOOKUP(A29,Cadastro!$A$5:$K$54,2,0),""))</f>
        <v/>
      </c>
      <c r="C29" s="5" t="str">
        <f aca="false">IF($A29="","",IFERROR(VLOOKUP(A29,Cadastro!$A$5:$K$54,3,0),""))</f>
        <v/>
      </c>
      <c r="D29" s="15" t="str">
        <f aca="false">IF($A29="","",IFERROR(VLOOKUP(A29,Cadastro!$A$5:$K$54,4,0),""))</f>
        <v/>
      </c>
      <c r="E29" s="22" t="n">
        <f aca="false">IF($A29="",0,IFERROR(VLOOKUP(A29,Cadastro!$A$5:$K$54,5,0),0))</f>
        <v>0</v>
      </c>
      <c r="F29" s="22" t="n">
        <f aca="false">IF($A29="",0,SUMPRODUCT((Movimentações!$B$5:$B$504=A29)*(Movimentações!$D$5:$D$504="E")*(Movimentações!$E$5:$E$504)))</f>
        <v>0</v>
      </c>
      <c r="G29" s="22" t="n">
        <f aca="false">IF($A29="",0,SUMPRODUCT((Movimentações!$B$5:$B$504=A29)*(Movimentações!$D$5:$D$504="S")*(Movimentações!$E$5:$E$504)))</f>
        <v>0</v>
      </c>
      <c r="H29" s="23" t="str">
        <f aca="false">IF($A29="","",E29+F29-G29+SUMPRODUCT((Movimentações!$B$5:$B$504=A29)*(Movimentações!$D$5:$D$504="AJ")*(Movimentações!$E$5:$E$504)))</f>
        <v/>
      </c>
      <c r="I29" s="22" t="n">
        <f aca="false">IF($A29="",0,IFERROR(VLOOKUP(A29,Cadastro!$A$5:$K$54,7,0),0))</f>
        <v>0</v>
      </c>
      <c r="J29" s="22" t="n">
        <f aca="false">IF($A29="",0,IFERROR(VLOOKUP(A29,Cadastro!$A$5:$K$54,8,0),0))</f>
        <v>0</v>
      </c>
      <c r="K29" s="7" t="str">
        <f aca="false">IF($A29="","",IFERROR(SUMPRODUCT((Movimentações!$B$5:$B$504=A29)*(Movimentações!$D$5:$D$504="E")*(Movimentações!$E$5:$E$504)*(Movimentações!$F$5:$F$504))/SUMPRODUCT((Movimentações!$B$5:$B$504=A29)*(Movimentações!$D$5:$D$504="E")*(Movimentações!$E$5:$E$504)),IFERROR(VLOOKUP(A29,Cadastro!$A$5:$K$54,6,0),0)))</f>
        <v/>
      </c>
      <c r="L29" s="24" t="str">
        <f aca="false">IF($A29="","",H29*K29)</f>
        <v/>
      </c>
      <c r="M29" s="25" t="str">
        <f aca="false">IF($A29="","",IFERROR(L29/$L$55,0))</f>
        <v/>
      </c>
      <c r="N29" s="15" t="str">
        <f aca="false">IF($A29="","",IF(H29&lt;=0,"⛔ Sem estoque",IF(H29&lt;=I29,"⚠️ Estoque baixo","✅ OK")))</f>
        <v/>
      </c>
    </row>
    <row r="30" customFormat="false" ht="18" hidden="false" customHeight="true" outlineLevel="0" collapsed="false">
      <c r="A30" s="19" t="str">
        <f aca="false">IF(Cadastro!A30="","",Cadastro!A30)</f>
        <v/>
      </c>
      <c r="B30" s="9" t="str">
        <f aca="false">IF($A30="","",IFERROR(VLOOKUP(A30,Cadastro!$A$5:$K$54,2,0),""))</f>
        <v/>
      </c>
      <c r="C30" s="9" t="str">
        <f aca="false">IF($A30="","",IFERROR(VLOOKUP(A30,Cadastro!$A$5:$K$54,3,0),""))</f>
        <v/>
      </c>
      <c r="D30" s="19" t="str">
        <f aca="false">IF($A30="","",IFERROR(VLOOKUP(A30,Cadastro!$A$5:$K$54,4,0),""))</f>
        <v/>
      </c>
      <c r="E30" s="26" t="n">
        <f aca="false">IF($A30="",0,IFERROR(VLOOKUP(A30,Cadastro!$A$5:$K$54,5,0),0))</f>
        <v>0</v>
      </c>
      <c r="F30" s="26" t="n">
        <f aca="false">IF($A30="",0,SUMPRODUCT((Movimentações!$B$5:$B$504=A30)*(Movimentações!$D$5:$D$504="E")*(Movimentações!$E$5:$E$504)))</f>
        <v>0</v>
      </c>
      <c r="G30" s="26" t="n">
        <f aca="false">IF($A30="",0,SUMPRODUCT((Movimentações!$B$5:$B$504=A30)*(Movimentações!$D$5:$D$504="S")*(Movimentações!$E$5:$E$504)))</f>
        <v>0</v>
      </c>
      <c r="H30" s="27" t="str">
        <f aca="false">IF($A30="","",E30+F30-G30+SUMPRODUCT((Movimentações!$B$5:$B$504=A30)*(Movimentações!$D$5:$D$504="AJ")*(Movimentações!$E$5:$E$504)))</f>
        <v/>
      </c>
      <c r="I30" s="26" t="n">
        <f aca="false">IF($A30="",0,IFERROR(VLOOKUP(A30,Cadastro!$A$5:$K$54,7,0),0))</f>
        <v>0</v>
      </c>
      <c r="J30" s="26" t="n">
        <f aca="false">IF($A30="",0,IFERROR(VLOOKUP(A30,Cadastro!$A$5:$K$54,8,0),0))</f>
        <v>0</v>
      </c>
      <c r="K30" s="11" t="str">
        <f aca="false">IF($A30="","",IFERROR(SUMPRODUCT((Movimentações!$B$5:$B$504=A30)*(Movimentações!$D$5:$D$504="E")*(Movimentações!$E$5:$E$504)*(Movimentações!$F$5:$F$504))/SUMPRODUCT((Movimentações!$B$5:$B$504=A30)*(Movimentações!$D$5:$D$504="E")*(Movimentações!$E$5:$E$504)),IFERROR(VLOOKUP(A30,Cadastro!$A$5:$K$54,6,0),0)))</f>
        <v/>
      </c>
      <c r="L30" s="28" t="str">
        <f aca="false">IF($A30="","",H30*K30)</f>
        <v/>
      </c>
      <c r="M30" s="29" t="str">
        <f aca="false">IF($A30="","",IFERROR(L30/$L$55,0))</f>
        <v/>
      </c>
      <c r="N30" s="19" t="str">
        <f aca="false">IF($A30="","",IF(H30&lt;=0,"⛔ Sem estoque",IF(H30&lt;=I30,"⚠️ Estoque baixo","✅ OK")))</f>
        <v/>
      </c>
    </row>
    <row r="31" customFormat="false" ht="18" hidden="false" customHeight="true" outlineLevel="0" collapsed="false">
      <c r="A31" s="15" t="str">
        <f aca="false">IF(Cadastro!A31="","",Cadastro!A31)</f>
        <v/>
      </c>
      <c r="B31" s="5" t="str">
        <f aca="false">IF($A31="","",IFERROR(VLOOKUP(A31,Cadastro!$A$5:$K$54,2,0),""))</f>
        <v/>
      </c>
      <c r="C31" s="5" t="str">
        <f aca="false">IF($A31="","",IFERROR(VLOOKUP(A31,Cadastro!$A$5:$K$54,3,0),""))</f>
        <v/>
      </c>
      <c r="D31" s="15" t="str">
        <f aca="false">IF($A31="","",IFERROR(VLOOKUP(A31,Cadastro!$A$5:$K$54,4,0),""))</f>
        <v/>
      </c>
      <c r="E31" s="22" t="n">
        <f aca="false">IF($A31="",0,IFERROR(VLOOKUP(A31,Cadastro!$A$5:$K$54,5,0),0))</f>
        <v>0</v>
      </c>
      <c r="F31" s="22" t="n">
        <f aca="false">IF($A31="",0,SUMPRODUCT((Movimentações!$B$5:$B$504=A31)*(Movimentações!$D$5:$D$504="E")*(Movimentações!$E$5:$E$504)))</f>
        <v>0</v>
      </c>
      <c r="G31" s="22" t="n">
        <f aca="false">IF($A31="",0,SUMPRODUCT((Movimentações!$B$5:$B$504=A31)*(Movimentações!$D$5:$D$504="S")*(Movimentações!$E$5:$E$504)))</f>
        <v>0</v>
      </c>
      <c r="H31" s="23" t="str">
        <f aca="false">IF($A31="","",E31+F31-G31+SUMPRODUCT((Movimentações!$B$5:$B$504=A31)*(Movimentações!$D$5:$D$504="AJ")*(Movimentações!$E$5:$E$504)))</f>
        <v/>
      </c>
      <c r="I31" s="22" t="n">
        <f aca="false">IF($A31="",0,IFERROR(VLOOKUP(A31,Cadastro!$A$5:$K$54,7,0),0))</f>
        <v>0</v>
      </c>
      <c r="J31" s="22" t="n">
        <f aca="false">IF($A31="",0,IFERROR(VLOOKUP(A31,Cadastro!$A$5:$K$54,8,0),0))</f>
        <v>0</v>
      </c>
      <c r="K31" s="7" t="str">
        <f aca="false">IF($A31="","",IFERROR(SUMPRODUCT((Movimentações!$B$5:$B$504=A31)*(Movimentações!$D$5:$D$504="E")*(Movimentações!$E$5:$E$504)*(Movimentações!$F$5:$F$504))/SUMPRODUCT((Movimentações!$B$5:$B$504=A31)*(Movimentações!$D$5:$D$504="E")*(Movimentações!$E$5:$E$504)),IFERROR(VLOOKUP(A31,Cadastro!$A$5:$K$54,6,0),0)))</f>
        <v/>
      </c>
      <c r="L31" s="24" t="str">
        <f aca="false">IF($A31="","",H31*K31)</f>
        <v/>
      </c>
      <c r="M31" s="25" t="str">
        <f aca="false">IF($A31="","",IFERROR(L31/$L$55,0))</f>
        <v/>
      </c>
      <c r="N31" s="15" t="str">
        <f aca="false">IF($A31="","",IF(H31&lt;=0,"⛔ Sem estoque",IF(H31&lt;=I31,"⚠️ Estoque baixo","✅ OK")))</f>
        <v/>
      </c>
    </row>
    <row r="32" customFormat="false" ht="18" hidden="false" customHeight="true" outlineLevel="0" collapsed="false">
      <c r="A32" s="19" t="str">
        <f aca="false">IF(Cadastro!A32="","",Cadastro!A32)</f>
        <v/>
      </c>
      <c r="B32" s="9" t="str">
        <f aca="false">IF($A32="","",IFERROR(VLOOKUP(A32,Cadastro!$A$5:$K$54,2,0),""))</f>
        <v/>
      </c>
      <c r="C32" s="9" t="str">
        <f aca="false">IF($A32="","",IFERROR(VLOOKUP(A32,Cadastro!$A$5:$K$54,3,0),""))</f>
        <v/>
      </c>
      <c r="D32" s="19" t="str">
        <f aca="false">IF($A32="","",IFERROR(VLOOKUP(A32,Cadastro!$A$5:$K$54,4,0),""))</f>
        <v/>
      </c>
      <c r="E32" s="26" t="n">
        <f aca="false">IF($A32="",0,IFERROR(VLOOKUP(A32,Cadastro!$A$5:$K$54,5,0),0))</f>
        <v>0</v>
      </c>
      <c r="F32" s="26" t="n">
        <f aca="false">IF($A32="",0,SUMPRODUCT((Movimentações!$B$5:$B$504=A32)*(Movimentações!$D$5:$D$504="E")*(Movimentações!$E$5:$E$504)))</f>
        <v>0</v>
      </c>
      <c r="G32" s="26" t="n">
        <f aca="false">IF($A32="",0,SUMPRODUCT((Movimentações!$B$5:$B$504=A32)*(Movimentações!$D$5:$D$504="S")*(Movimentações!$E$5:$E$504)))</f>
        <v>0</v>
      </c>
      <c r="H32" s="27" t="str">
        <f aca="false">IF($A32="","",E32+F32-G32+SUMPRODUCT((Movimentações!$B$5:$B$504=A32)*(Movimentações!$D$5:$D$504="AJ")*(Movimentações!$E$5:$E$504)))</f>
        <v/>
      </c>
      <c r="I32" s="26" t="n">
        <f aca="false">IF($A32="",0,IFERROR(VLOOKUP(A32,Cadastro!$A$5:$K$54,7,0),0))</f>
        <v>0</v>
      </c>
      <c r="J32" s="26" t="n">
        <f aca="false">IF($A32="",0,IFERROR(VLOOKUP(A32,Cadastro!$A$5:$K$54,8,0),0))</f>
        <v>0</v>
      </c>
      <c r="K32" s="11" t="str">
        <f aca="false">IF($A32="","",IFERROR(SUMPRODUCT((Movimentações!$B$5:$B$504=A32)*(Movimentações!$D$5:$D$504="E")*(Movimentações!$E$5:$E$504)*(Movimentações!$F$5:$F$504))/SUMPRODUCT((Movimentações!$B$5:$B$504=A32)*(Movimentações!$D$5:$D$504="E")*(Movimentações!$E$5:$E$504)),IFERROR(VLOOKUP(A32,Cadastro!$A$5:$K$54,6,0),0)))</f>
        <v/>
      </c>
      <c r="L32" s="28" t="str">
        <f aca="false">IF($A32="","",H32*K32)</f>
        <v/>
      </c>
      <c r="M32" s="29" t="str">
        <f aca="false">IF($A32="","",IFERROR(L32/$L$55,0))</f>
        <v/>
      </c>
      <c r="N32" s="19" t="str">
        <f aca="false">IF($A32="","",IF(H32&lt;=0,"⛔ Sem estoque",IF(H32&lt;=I32,"⚠️ Estoque baixo","✅ OK")))</f>
        <v/>
      </c>
    </row>
    <row r="33" customFormat="false" ht="18" hidden="false" customHeight="true" outlineLevel="0" collapsed="false">
      <c r="A33" s="15" t="str">
        <f aca="false">IF(Cadastro!A33="","",Cadastro!A33)</f>
        <v/>
      </c>
      <c r="B33" s="5" t="str">
        <f aca="false">IF($A33="","",IFERROR(VLOOKUP(A33,Cadastro!$A$5:$K$54,2,0),""))</f>
        <v/>
      </c>
      <c r="C33" s="5" t="str">
        <f aca="false">IF($A33="","",IFERROR(VLOOKUP(A33,Cadastro!$A$5:$K$54,3,0),""))</f>
        <v/>
      </c>
      <c r="D33" s="15" t="str">
        <f aca="false">IF($A33="","",IFERROR(VLOOKUP(A33,Cadastro!$A$5:$K$54,4,0),""))</f>
        <v/>
      </c>
      <c r="E33" s="22" t="n">
        <f aca="false">IF($A33="",0,IFERROR(VLOOKUP(A33,Cadastro!$A$5:$K$54,5,0),0))</f>
        <v>0</v>
      </c>
      <c r="F33" s="22" t="n">
        <f aca="false">IF($A33="",0,SUMPRODUCT((Movimentações!$B$5:$B$504=A33)*(Movimentações!$D$5:$D$504="E")*(Movimentações!$E$5:$E$504)))</f>
        <v>0</v>
      </c>
      <c r="G33" s="22" t="n">
        <f aca="false">IF($A33="",0,SUMPRODUCT((Movimentações!$B$5:$B$504=A33)*(Movimentações!$D$5:$D$504="S")*(Movimentações!$E$5:$E$504)))</f>
        <v>0</v>
      </c>
      <c r="H33" s="23" t="str">
        <f aca="false">IF($A33="","",E33+F33-G33+SUMPRODUCT((Movimentações!$B$5:$B$504=A33)*(Movimentações!$D$5:$D$504="AJ")*(Movimentações!$E$5:$E$504)))</f>
        <v/>
      </c>
      <c r="I33" s="22" t="n">
        <f aca="false">IF($A33="",0,IFERROR(VLOOKUP(A33,Cadastro!$A$5:$K$54,7,0),0))</f>
        <v>0</v>
      </c>
      <c r="J33" s="22" t="n">
        <f aca="false">IF($A33="",0,IFERROR(VLOOKUP(A33,Cadastro!$A$5:$K$54,8,0),0))</f>
        <v>0</v>
      </c>
      <c r="K33" s="7" t="str">
        <f aca="false">IF($A33="","",IFERROR(SUMPRODUCT((Movimentações!$B$5:$B$504=A33)*(Movimentações!$D$5:$D$504="E")*(Movimentações!$E$5:$E$504)*(Movimentações!$F$5:$F$504))/SUMPRODUCT((Movimentações!$B$5:$B$504=A33)*(Movimentações!$D$5:$D$504="E")*(Movimentações!$E$5:$E$504)),IFERROR(VLOOKUP(A33,Cadastro!$A$5:$K$54,6,0),0)))</f>
        <v/>
      </c>
      <c r="L33" s="24" t="str">
        <f aca="false">IF($A33="","",H33*K33)</f>
        <v/>
      </c>
      <c r="M33" s="25" t="str">
        <f aca="false">IF($A33="","",IFERROR(L33/$L$55,0))</f>
        <v/>
      </c>
      <c r="N33" s="15" t="str">
        <f aca="false">IF($A33="","",IF(H33&lt;=0,"⛔ Sem estoque",IF(H33&lt;=I33,"⚠️ Estoque baixo","✅ OK")))</f>
        <v/>
      </c>
    </row>
    <row r="34" customFormat="false" ht="18" hidden="false" customHeight="true" outlineLevel="0" collapsed="false">
      <c r="A34" s="19" t="str">
        <f aca="false">IF(Cadastro!A34="","",Cadastro!A34)</f>
        <v/>
      </c>
      <c r="B34" s="9" t="str">
        <f aca="false">IF($A34="","",IFERROR(VLOOKUP(A34,Cadastro!$A$5:$K$54,2,0),""))</f>
        <v/>
      </c>
      <c r="C34" s="9" t="str">
        <f aca="false">IF($A34="","",IFERROR(VLOOKUP(A34,Cadastro!$A$5:$K$54,3,0),""))</f>
        <v/>
      </c>
      <c r="D34" s="19" t="str">
        <f aca="false">IF($A34="","",IFERROR(VLOOKUP(A34,Cadastro!$A$5:$K$54,4,0),""))</f>
        <v/>
      </c>
      <c r="E34" s="26" t="n">
        <f aca="false">IF($A34="",0,IFERROR(VLOOKUP(A34,Cadastro!$A$5:$K$54,5,0),0))</f>
        <v>0</v>
      </c>
      <c r="F34" s="26" t="n">
        <f aca="false">IF($A34="",0,SUMPRODUCT((Movimentações!$B$5:$B$504=A34)*(Movimentações!$D$5:$D$504="E")*(Movimentações!$E$5:$E$504)))</f>
        <v>0</v>
      </c>
      <c r="G34" s="26" t="n">
        <f aca="false">IF($A34="",0,SUMPRODUCT((Movimentações!$B$5:$B$504=A34)*(Movimentações!$D$5:$D$504="S")*(Movimentações!$E$5:$E$504)))</f>
        <v>0</v>
      </c>
      <c r="H34" s="27" t="str">
        <f aca="false">IF($A34="","",E34+F34-G34+SUMPRODUCT((Movimentações!$B$5:$B$504=A34)*(Movimentações!$D$5:$D$504="AJ")*(Movimentações!$E$5:$E$504)))</f>
        <v/>
      </c>
      <c r="I34" s="26" t="n">
        <f aca="false">IF($A34="",0,IFERROR(VLOOKUP(A34,Cadastro!$A$5:$K$54,7,0),0))</f>
        <v>0</v>
      </c>
      <c r="J34" s="26" t="n">
        <f aca="false">IF($A34="",0,IFERROR(VLOOKUP(A34,Cadastro!$A$5:$K$54,8,0),0))</f>
        <v>0</v>
      </c>
      <c r="K34" s="11" t="str">
        <f aca="false">IF($A34="","",IFERROR(SUMPRODUCT((Movimentações!$B$5:$B$504=A34)*(Movimentações!$D$5:$D$504="E")*(Movimentações!$E$5:$E$504)*(Movimentações!$F$5:$F$504))/SUMPRODUCT((Movimentações!$B$5:$B$504=A34)*(Movimentações!$D$5:$D$504="E")*(Movimentações!$E$5:$E$504)),IFERROR(VLOOKUP(A34,Cadastro!$A$5:$K$54,6,0),0)))</f>
        <v/>
      </c>
      <c r="L34" s="28" t="str">
        <f aca="false">IF($A34="","",H34*K34)</f>
        <v/>
      </c>
      <c r="M34" s="29" t="str">
        <f aca="false">IF($A34="","",IFERROR(L34/$L$55,0))</f>
        <v/>
      </c>
      <c r="N34" s="19" t="str">
        <f aca="false">IF($A34="","",IF(H34&lt;=0,"⛔ Sem estoque",IF(H34&lt;=I34,"⚠️ Estoque baixo","✅ OK")))</f>
        <v/>
      </c>
    </row>
    <row r="35" customFormat="false" ht="18" hidden="false" customHeight="true" outlineLevel="0" collapsed="false">
      <c r="A35" s="15" t="str">
        <f aca="false">IF(Cadastro!A35="","",Cadastro!A35)</f>
        <v/>
      </c>
      <c r="B35" s="5" t="str">
        <f aca="false">IF($A35="","",IFERROR(VLOOKUP(A35,Cadastro!$A$5:$K$54,2,0),""))</f>
        <v/>
      </c>
      <c r="C35" s="5" t="str">
        <f aca="false">IF($A35="","",IFERROR(VLOOKUP(A35,Cadastro!$A$5:$K$54,3,0),""))</f>
        <v/>
      </c>
      <c r="D35" s="15" t="str">
        <f aca="false">IF($A35="","",IFERROR(VLOOKUP(A35,Cadastro!$A$5:$K$54,4,0),""))</f>
        <v/>
      </c>
      <c r="E35" s="22" t="n">
        <f aca="false">IF($A35="",0,IFERROR(VLOOKUP(A35,Cadastro!$A$5:$K$54,5,0),0))</f>
        <v>0</v>
      </c>
      <c r="F35" s="22" t="n">
        <f aca="false">IF($A35="",0,SUMPRODUCT((Movimentações!$B$5:$B$504=A35)*(Movimentações!$D$5:$D$504="E")*(Movimentações!$E$5:$E$504)))</f>
        <v>0</v>
      </c>
      <c r="G35" s="22" t="n">
        <f aca="false">IF($A35="",0,SUMPRODUCT((Movimentações!$B$5:$B$504=A35)*(Movimentações!$D$5:$D$504="S")*(Movimentações!$E$5:$E$504)))</f>
        <v>0</v>
      </c>
      <c r="H35" s="23" t="str">
        <f aca="false">IF($A35="","",E35+F35-G35+SUMPRODUCT((Movimentações!$B$5:$B$504=A35)*(Movimentações!$D$5:$D$504="AJ")*(Movimentações!$E$5:$E$504)))</f>
        <v/>
      </c>
      <c r="I35" s="22" t="n">
        <f aca="false">IF($A35="",0,IFERROR(VLOOKUP(A35,Cadastro!$A$5:$K$54,7,0),0))</f>
        <v>0</v>
      </c>
      <c r="J35" s="22" t="n">
        <f aca="false">IF($A35="",0,IFERROR(VLOOKUP(A35,Cadastro!$A$5:$K$54,8,0),0))</f>
        <v>0</v>
      </c>
      <c r="K35" s="7" t="str">
        <f aca="false">IF($A35="","",IFERROR(SUMPRODUCT((Movimentações!$B$5:$B$504=A35)*(Movimentações!$D$5:$D$504="E")*(Movimentações!$E$5:$E$504)*(Movimentações!$F$5:$F$504))/SUMPRODUCT((Movimentações!$B$5:$B$504=A35)*(Movimentações!$D$5:$D$504="E")*(Movimentações!$E$5:$E$504)),IFERROR(VLOOKUP(A35,Cadastro!$A$5:$K$54,6,0),0)))</f>
        <v/>
      </c>
      <c r="L35" s="24" t="str">
        <f aca="false">IF($A35="","",H35*K35)</f>
        <v/>
      </c>
      <c r="M35" s="25" t="str">
        <f aca="false">IF($A35="","",IFERROR(L35/$L$55,0))</f>
        <v/>
      </c>
      <c r="N35" s="15" t="str">
        <f aca="false">IF($A35="","",IF(H35&lt;=0,"⛔ Sem estoque",IF(H35&lt;=I35,"⚠️ Estoque baixo","✅ OK")))</f>
        <v/>
      </c>
    </row>
    <row r="36" customFormat="false" ht="18" hidden="false" customHeight="true" outlineLevel="0" collapsed="false">
      <c r="A36" s="19" t="str">
        <f aca="false">IF(Cadastro!A36="","",Cadastro!A36)</f>
        <v/>
      </c>
      <c r="B36" s="9" t="str">
        <f aca="false">IF($A36="","",IFERROR(VLOOKUP(A36,Cadastro!$A$5:$K$54,2,0),""))</f>
        <v/>
      </c>
      <c r="C36" s="9" t="str">
        <f aca="false">IF($A36="","",IFERROR(VLOOKUP(A36,Cadastro!$A$5:$K$54,3,0),""))</f>
        <v/>
      </c>
      <c r="D36" s="19" t="str">
        <f aca="false">IF($A36="","",IFERROR(VLOOKUP(A36,Cadastro!$A$5:$K$54,4,0),""))</f>
        <v/>
      </c>
      <c r="E36" s="26" t="n">
        <f aca="false">IF($A36="",0,IFERROR(VLOOKUP(A36,Cadastro!$A$5:$K$54,5,0),0))</f>
        <v>0</v>
      </c>
      <c r="F36" s="26" t="n">
        <f aca="false">IF($A36="",0,SUMPRODUCT((Movimentações!$B$5:$B$504=A36)*(Movimentações!$D$5:$D$504="E")*(Movimentações!$E$5:$E$504)))</f>
        <v>0</v>
      </c>
      <c r="G36" s="26" t="n">
        <f aca="false">IF($A36="",0,SUMPRODUCT((Movimentações!$B$5:$B$504=A36)*(Movimentações!$D$5:$D$504="S")*(Movimentações!$E$5:$E$504)))</f>
        <v>0</v>
      </c>
      <c r="H36" s="27" t="str">
        <f aca="false">IF($A36="","",E36+F36-G36+SUMPRODUCT((Movimentações!$B$5:$B$504=A36)*(Movimentações!$D$5:$D$504="AJ")*(Movimentações!$E$5:$E$504)))</f>
        <v/>
      </c>
      <c r="I36" s="26" t="n">
        <f aca="false">IF($A36="",0,IFERROR(VLOOKUP(A36,Cadastro!$A$5:$K$54,7,0),0))</f>
        <v>0</v>
      </c>
      <c r="J36" s="26" t="n">
        <f aca="false">IF($A36="",0,IFERROR(VLOOKUP(A36,Cadastro!$A$5:$K$54,8,0),0))</f>
        <v>0</v>
      </c>
      <c r="K36" s="11" t="str">
        <f aca="false">IF($A36="","",IFERROR(SUMPRODUCT((Movimentações!$B$5:$B$504=A36)*(Movimentações!$D$5:$D$504="E")*(Movimentações!$E$5:$E$504)*(Movimentações!$F$5:$F$504))/SUMPRODUCT((Movimentações!$B$5:$B$504=A36)*(Movimentações!$D$5:$D$504="E")*(Movimentações!$E$5:$E$504)),IFERROR(VLOOKUP(A36,Cadastro!$A$5:$K$54,6,0),0)))</f>
        <v/>
      </c>
      <c r="L36" s="28" t="str">
        <f aca="false">IF($A36="","",H36*K36)</f>
        <v/>
      </c>
      <c r="M36" s="29" t="str">
        <f aca="false">IF($A36="","",IFERROR(L36/$L$55,0))</f>
        <v/>
      </c>
      <c r="N36" s="19" t="str">
        <f aca="false">IF($A36="","",IF(H36&lt;=0,"⛔ Sem estoque",IF(H36&lt;=I36,"⚠️ Estoque baixo","✅ OK")))</f>
        <v/>
      </c>
    </row>
    <row r="37" customFormat="false" ht="18" hidden="false" customHeight="true" outlineLevel="0" collapsed="false">
      <c r="A37" s="15" t="str">
        <f aca="false">IF(Cadastro!A37="","",Cadastro!A37)</f>
        <v/>
      </c>
      <c r="B37" s="5" t="str">
        <f aca="false">IF($A37="","",IFERROR(VLOOKUP(A37,Cadastro!$A$5:$K$54,2,0),""))</f>
        <v/>
      </c>
      <c r="C37" s="5" t="str">
        <f aca="false">IF($A37="","",IFERROR(VLOOKUP(A37,Cadastro!$A$5:$K$54,3,0),""))</f>
        <v/>
      </c>
      <c r="D37" s="15" t="str">
        <f aca="false">IF($A37="","",IFERROR(VLOOKUP(A37,Cadastro!$A$5:$K$54,4,0),""))</f>
        <v/>
      </c>
      <c r="E37" s="22" t="n">
        <f aca="false">IF($A37="",0,IFERROR(VLOOKUP(A37,Cadastro!$A$5:$K$54,5,0),0))</f>
        <v>0</v>
      </c>
      <c r="F37" s="22" t="n">
        <f aca="false">IF($A37="",0,SUMPRODUCT((Movimentações!$B$5:$B$504=A37)*(Movimentações!$D$5:$D$504="E")*(Movimentações!$E$5:$E$504)))</f>
        <v>0</v>
      </c>
      <c r="G37" s="22" t="n">
        <f aca="false">IF($A37="",0,SUMPRODUCT((Movimentações!$B$5:$B$504=A37)*(Movimentações!$D$5:$D$504="S")*(Movimentações!$E$5:$E$504)))</f>
        <v>0</v>
      </c>
      <c r="H37" s="23" t="str">
        <f aca="false">IF($A37="","",E37+F37-G37+SUMPRODUCT((Movimentações!$B$5:$B$504=A37)*(Movimentações!$D$5:$D$504="AJ")*(Movimentações!$E$5:$E$504)))</f>
        <v/>
      </c>
      <c r="I37" s="22" t="n">
        <f aca="false">IF($A37="",0,IFERROR(VLOOKUP(A37,Cadastro!$A$5:$K$54,7,0),0))</f>
        <v>0</v>
      </c>
      <c r="J37" s="22" t="n">
        <f aca="false">IF($A37="",0,IFERROR(VLOOKUP(A37,Cadastro!$A$5:$K$54,8,0),0))</f>
        <v>0</v>
      </c>
      <c r="K37" s="7" t="str">
        <f aca="false">IF($A37="","",IFERROR(SUMPRODUCT((Movimentações!$B$5:$B$504=A37)*(Movimentações!$D$5:$D$504="E")*(Movimentações!$E$5:$E$504)*(Movimentações!$F$5:$F$504))/SUMPRODUCT((Movimentações!$B$5:$B$504=A37)*(Movimentações!$D$5:$D$504="E")*(Movimentações!$E$5:$E$504)),IFERROR(VLOOKUP(A37,Cadastro!$A$5:$K$54,6,0),0)))</f>
        <v/>
      </c>
      <c r="L37" s="24" t="str">
        <f aca="false">IF($A37="","",H37*K37)</f>
        <v/>
      </c>
      <c r="M37" s="25" t="str">
        <f aca="false">IF($A37="","",IFERROR(L37/$L$55,0))</f>
        <v/>
      </c>
      <c r="N37" s="15" t="str">
        <f aca="false">IF($A37="","",IF(H37&lt;=0,"⛔ Sem estoque",IF(H37&lt;=I37,"⚠️ Estoque baixo","✅ OK")))</f>
        <v/>
      </c>
    </row>
    <row r="38" customFormat="false" ht="18" hidden="false" customHeight="true" outlineLevel="0" collapsed="false">
      <c r="A38" s="19" t="str">
        <f aca="false">IF(Cadastro!A38="","",Cadastro!A38)</f>
        <v/>
      </c>
      <c r="B38" s="9" t="str">
        <f aca="false">IF($A38="","",IFERROR(VLOOKUP(A38,Cadastro!$A$5:$K$54,2,0),""))</f>
        <v/>
      </c>
      <c r="C38" s="9" t="str">
        <f aca="false">IF($A38="","",IFERROR(VLOOKUP(A38,Cadastro!$A$5:$K$54,3,0),""))</f>
        <v/>
      </c>
      <c r="D38" s="19" t="str">
        <f aca="false">IF($A38="","",IFERROR(VLOOKUP(A38,Cadastro!$A$5:$K$54,4,0),""))</f>
        <v/>
      </c>
      <c r="E38" s="26" t="n">
        <f aca="false">IF($A38="",0,IFERROR(VLOOKUP(A38,Cadastro!$A$5:$K$54,5,0),0))</f>
        <v>0</v>
      </c>
      <c r="F38" s="26" t="n">
        <f aca="false">IF($A38="",0,SUMPRODUCT((Movimentações!$B$5:$B$504=A38)*(Movimentações!$D$5:$D$504="E")*(Movimentações!$E$5:$E$504)))</f>
        <v>0</v>
      </c>
      <c r="G38" s="26" t="n">
        <f aca="false">IF($A38="",0,SUMPRODUCT((Movimentações!$B$5:$B$504=A38)*(Movimentações!$D$5:$D$504="S")*(Movimentações!$E$5:$E$504)))</f>
        <v>0</v>
      </c>
      <c r="H38" s="27" t="str">
        <f aca="false">IF($A38="","",E38+F38-G38+SUMPRODUCT((Movimentações!$B$5:$B$504=A38)*(Movimentações!$D$5:$D$504="AJ")*(Movimentações!$E$5:$E$504)))</f>
        <v/>
      </c>
      <c r="I38" s="26" t="n">
        <f aca="false">IF($A38="",0,IFERROR(VLOOKUP(A38,Cadastro!$A$5:$K$54,7,0),0))</f>
        <v>0</v>
      </c>
      <c r="J38" s="26" t="n">
        <f aca="false">IF($A38="",0,IFERROR(VLOOKUP(A38,Cadastro!$A$5:$K$54,8,0),0))</f>
        <v>0</v>
      </c>
      <c r="K38" s="11" t="str">
        <f aca="false">IF($A38="","",IFERROR(SUMPRODUCT((Movimentações!$B$5:$B$504=A38)*(Movimentações!$D$5:$D$504="E")*(Movimentações!$E$5:$E$504)*(Movimentações!$F$5:$F$504))/SUMPRODUCT((Movimentações!$B$5:$B$504=A38)*(Movimentações!$D$5:$D$504="E")*(Movimentações!$E$5:$E$504)),IFERROR(VLOOKUP(A38,Cadastro!$A$5:$K$54,6,0),0)))</f>
        <v/>
      </c>
      <c r="L38" s="28" t="str">
        <f aca="false">IF($A38="","",H38*K38)</f>
        <v/>
      </c>
      <c r="M38" s="29" t="str">
        <f aca="false">IF($A38="","",IFERROR(L38/$L$55,0))</f>
        <v/>
      </c>
      <c r="N38" s="19" t="str">
        <f aca="false">IF($A38="","",IF(H38&lt;=0,"⛔ Sem estoque",IF(H38&lt;=I38,"⚠️ Estoque baixo","✅ OK")))</f>
        <v/>
      </c>
    </row>
    <row r="39" customFormat="false" ht="18" hidden="false" customHeight="true" outlineLevel="0" collapsed="false">
      <c r="A39" s="15" t="str">
        <f aca="false">IF(Cadastro!A39="","",Cadastro!A39)</f>
        <v/>
      </c>
      <c r="B39" s="5" t="str">
        <f aca="false">IF($A39="","",IFERROR(VLOOKUP(A39,Cadastro!$A$5:$K$54,2,0),""))</f>
        <v/>
      </c>
      <c r="C39" s="5" t="str">
        <f aca="false">IF($A39="","",IFERROR(VLOOKUP(A39,Cadastro!$A$5:$K$54,3,0),""))</f>
        <v/>
      </c>
      <c r="D39" s="15" t="str">
        <f aca="false">IF($A39="","",IFERROR(VLOOKUP(A39,Cadastro!$A$5:$K$54,4,0),""))</f>
        <v/>
      </c>
      <c r="E39" s="22" t="n">
        <f aca="false">IF($A39="",0,IFERROR(VLOOKUP(A39,Cadastro!$A$5:$K$54,5,0),0))</f>
        <v>0</v>
      </c>
      <c r="F39" s="22" t="n">
        <f aca="false">IF($A39="",0,SUMPRODUCT((Movimentações!$B$5:$B$504=A39)*(Movimentações!$D$5:$D$504="E")*(Movimentações!$E$5:$E$504)))</f>
        <v>0</v>
      </c>
      <c r="G39" s="22" t="n">
        <f aca="false">IF($A39="",0,SUMPRODUCT((Movimentações!$B$5:$B$504=A39)*(Movimentações!$D$5:$D$504="S")*(Movimentações!$E$5:$E$504)))</f>
        <v>0</v>
      </c>
      <c r="H39" s="23" t="str">
        <f aca="false">IF($A39="","",E39+F39-G39+SUMPRODUCT((Movimentações!$B$5:$B$504=A39)*(Movimentações!$D$5:$D$504="AJ")*(Movimentações!$E$5:$E$504)))</f>
        <v/>
      </c>
      <c r="I39" s="22" t="n">
        <f aca="false">IF($A39="",0,IFERROR(VLOOKUP(A39,Cadastro!$A$5:$K$54,7,0),0))</f>
        <v>0</v>
      </c>
      <c r="J39" s="22" t="n">
        <f aca="false">IF($A39="",0,IFERROR(VLOOKUP(A39,Cadastro!$A$5:$K$54,8,0),0))</f>
        <v>0</v>
      </c>
      <c r="K39" s="7" t="str">
        <f aca="false">IF($A39="","",IFERROR(SUMPRODUCT((Movimentações!$B$5:$B$504=A39)*(Movimentações!$D$5:$D$504="E")*(Movimentações!$E$5:$E$504)*(Movimentações!$F$5:$F$504))/SUMPRODUCT((Movimentações!$B$5:$B$504=A39)*(Movimentações!$D$5:$D$504="E")*(Movimentações!$E$5:$E$504)),IFERROR(VLOOKUP(A39,Cadastro!$A$5:$K$54,6,0),0)))</f>
        <v/>
      </c>
      <c r="L39" s="24" t="str">
        <f aca="false">IF($A39="","",H39*K39)</f>
        <v/>
      </c>
      <c r="M39" s="25" t="str">
        <f aca="false">IF($A39="","",IFERROR(L39/$L$55,0))</f>
        <v/>
      </c>
      <c r="N39" s="15" t="str">
        <f aca="false">IF($A39="","",IF(H39&lt;=0,"⛔ Sem estoque",IF(H39&lt;=I39,"⚠️ Estoque baixo","✅ OK")))</f>
        <v/>
      </c>
    </row>
    <row r="40" customFormat="false" ht="18" hidden="false" customHeight="true" outlineLevel="0" collapsed="false">
      <c r="A40" s="19" t="str">
        <f aca="false">IF(Cadastro!A40="","",Cadastro!A40)</f>
        <v/>
      </c>
      <c r="B40" s="9" t="str">
        <f aca="false">IF($A40="","",IFERROR(VLOOKUP(A40,Cadastro!$A$5:$K$54,2,0),""))</f>
        <v/>
      </c>
      <c r="C40" s="9" t="str">
        <f aca="false">IF($A40="","",IFERROR(VLOOKUP(A40,Cadastro!$A$5:$K$54,3,0),""))</f>
        <v/>
      </c>
      <c r="D40" s="19" t="str">
        <f aca="false">IF($A40="","",IFERROR(VLOOKUP(A40,Cadastro!$A$5:$K$54,4,0),""))</f>
        <v/>
      </c>
      <c r="E40" s="26" t="n">
        <f aca="false">IF($A40="",0,IFERROR(VLOOKUP(A40,Cadastro!$A$5:$K$54,5,0),0))</f>
        <v>0</v>
      </c>
      <c r="F40" s="26" t="n">
        <f aca="false">IF($A40="",0,SUMPRODUCT((Movimentações!$B$5:$B$504=A40)*(Movimentações!$D$5:$D$504="E")*(Movimentações!$E$5:$E$504)))</f>
        <v>0</v>
      </c>
      <c r="G40" s="26" t="n">
        <f aca="false">IF($A40="",0,SUMPRODUCT((Movimentações!$B$5:$B$504=A40)*(Movimentações!$D$5:$D$504="S")*(Movimentações!$E$5:$E$504)))</f>
        <v>0</v>
      </c>
      <c r="H40" s="27" t="str">
        <f aca="false">IF($A40="","",E40+F40-G40+SUMPRODUCT((Movimentações!$B$5:$B$504=A40)*(Movimentações!$D$5:$D$504="AJ")*(Movimentações!$E$5:$E$504)))</f>
        <v/>
      </c>
      <c r="I40" s="26" t="n">
        <f aca="false">IF($A40="",0,IFERROR(VLOOKUP(A40,Cadastro!$A$5:$K$54,7,0),0))</f>
        <v>0</v>
      </c>
      <c r="J40" s="26" t="n">
        <f aca="false">IF($A40="",0,IFERROR(VLOOKUP(A40,Cadastro!$A$5:$K$54,8,0),0))</f>
        <v>0</v>
      </c>
      <c r="K40" s="11" t="str">
        <f aca="false">IF($A40="","",IFERROR(SUMPRODUCT((Movimentações!$B$5:$B$504=A40)*(Movimentações!$D$5:$D$504="E")*(Movimentações!$E$5:$E$504)*(Movimentações!$F$5:$F$504))/SUMPRODUCT((Movimentações!$B$5:$B$504=A40)*(Movimentações!$D$5:$D$504="E")*(Movimentações!$E$5:$E$504)),IFERROR(VLOOKUP(A40,Cadastro!$A$5:$K$54,6,0),0)))</f>
        <v/>
      </c>
      <c r="L40" s="28" t="str">
        <f aca="false">IF($A40="","",H40*K40)</f>
        <v/>
      </c>
      <c r="M40" s="29" t="str">
        <f aca="false">IF($A40="","",IFERROR(L40/$L$55,0))</f>
        <v/>
      </c>
      <c r="N40" s="19" t="str">
        <f aca="false">IF($A40="","",IF(H40&lt;=0,"⛔ Sem estoque",IF(H40&lt;=I40,"⚠️ Estoque baixo","✅ OK")))</f>
        <v/>
      </c>
    </row>
    <row r="41" customFormat="false" ht="18" hidden="false" customHeight="true" outlineLevel="0" collapsed="false">
      <c r="A41" s="15" t="str">
        <f aca="false">IF(Cadastro!A41="","",Cadastro!A41)</f>
        <v/>
      </c>
      <c r="B41" s="5" t="str">
        <f aca="false">IF($A41="","",IFERROR(VLOOKUP(A41,Cadastro!$A$5:$K$54,2,0),""))</f>
        <v/>
      </c>
      <c r="C41" s="5" t="str">
        <f aca="false">IF($A41="","",IFERROR(VLOOKUP(A41,Cadastro!$A$5:$K$54,3,0),""))</f>
        <v/>
      </c>
      <c r="D41" s="15" t="str">
        <f aca="false">IF($A41="","",IFERROR(VLOOKUP(A41,Cadastro!$A$5:$K$54,4,0),""))</f>
        <v/>
      </c>
      <c r="E41" s="22" t="n">
        <f aca="false">IF($A41="",0,IFERROR(VLOOKUP(A41,Cadastro!$A$5:$K$54,5,0),0))</f>
        <v>0</v>
      </c>
      <c r="F41" s="22" t="n">
        <f aca="false">IF($A41="",0,SUMPRODUCT((Movimentações!$B$5:$B$504=A41)*(Movimentações!$D$5:$D$504="E")*(Movimentações!$E$5:$E$504)))</f>
        <v>0</v>
      </c>
      <c r="G41" s="22" t="n">
        <f aca="false">IF($A41="",0,SUMPRODUCT((Movimentações!$B$5:$B$504=A41)*(Movimentações!$D$5:$D$504="S")*(Movimentações!$E$5:$E$504)))</f>
        <v>0</v>
      </c>
      <c r="H41" s="23" t="str">
        <f aca="false">IF($A41="","",E41+F41-G41+SUMPRODUCT((Movimentações!$B$5:$B$504=A41)*(Movimentações!$D$5:$D$504="AJ")*(Movimentações!$E$5:$E$504)))</f>
        <v/>
      </c>
      <c r="I41" s="22" t="n">
        <f aca="false">IF($A41="",0,IFERROR(VLOOKUP(A41,Cadastro!$A$5:$K$54,7,0),0))</f>
        <v>0</v>
      </c>
      <c r="J41" s="22" t="n">
        <f aca="false">IF($A41="",0,IFERROR(VLOOKUP(A41,Cadastro!$A$5:$K$54,8,0),0))</f>
        <v>0</v>
      </c>
      <c r="K41" s="7" t="str">
        <f aca="false">IF($A41="","",IFERROR(SUMPRODUCT((Movimentações!$B$5:$B$504=A41)*(Movimentações!$D$5:$D$504="E")*(Movimentações!$E$5:$E$504)*(Movimentações!$F$5:$F$504))/SUMPRODUCT((Movimentações!$B$5:$B$504=A41)*(Movimentações!$D$5:$D$504="E")*(Movimentações!$E$5:$E$504)),IFERROR(VLOOKUP(A41,Cadastro!$A$5:$K$54,6,0),0)))</f>
        <v/>
      </c>
      <c r="L41" s="24" t="str">
        <f aca="false">IF($A41="","",H41*K41)</f>
        <v/>
      </c>
      <c r="M41" s="25" t="str">
        <f aca="false">IF($A41="","",IFERROR(L41/$L$55,0))</f>
        <v/>
      </c>
      <c r="N41" s="15" t="str">
        <f aca="false">IF($A41="","",IF(H41&lt;=0,"⛔ Sem estoque",IF(H41&lt;=I41,"⚠️ Estoque baixo","✅ OK")))</f>
        <v/>
      </c>
    </row>
    <row r="42" customFormat="false" ht="18" hidden="false" customHeight="true" outlineLevel="0" collapsed="false">
      <c r="A42" s="19" t="str">
        <f aca="false">IF(Cadastro!A42="","",Cadastro!A42)</f>
        <v/>
      </c>
      <c r="B42" s="9" t="str">
        <f aca="false">IF($A42="","",IFERROR(VLOOKUP(A42,Cadastro!$A$5:$K$54,2,0),""))</f>
        <v/>
      </c>
      <c r="C42" s="9" t="str">
        <f aca="false">IF($A42="","",IFERROR(VLOOKUP(A42,Cadastro!$A$5:$K$54,3,0),""))</f>
        <v/>
      </c>
      <c r="D42" s="19" t="str">
        <f aca="false">IF($A42="","",IFERROR(VLOOKUP(A42,Cadastro!$A$5:$K$54,4,0),""))</f>
        <v/>
      </c>
      <c r="E42" s="26" t="n">
        <f aca="false">IF($A42="",0,IFERROR(VLOOKUP(A42,Cadastro!$A$5:$K$54,5,0),0))</f>
        <v>0</v>
      </c>
      <c r="F42" s="26" t="n">
        <f aca="false">IF($A42="",0,SUMPRODUCT((Movimentações!$B$5:$B$504=A42)*(Movimentações!$D$5:$D$504="E")*(Movimentações!$E$5:$E$504)))</f>
        <v>0</v>
      </c>
      <c r="G42" s="26" t="n">
        <f aca="false">IF($A42="",0,SUMPRODUCT((Movimentações!$B$5:$B$504=A42)*(Movimentações!$D$5:$D$504="S")*(Movimentações!$E$5:$E$504)))</f>
        <v>0</v>
      </c>
      <c r="H42" s="27" t="str">
        <f aca="false">IF($A42="","",E42+F42-G42+SUMPRODUCT((Movimentações!$B$5:$B$504=A42)*(Movimentações!$D$5:$D$504="AJ")*(Movimentações!$E$5:$E$504)))</f>
        <v/>
      </c>
      <c r="I42" s="26" t="n">
        <f aca="false">IF($A42="",0,IFERROR(VLOOKUP(A42,Cadastro!$A$5:$K$54,7,0),0))</f>
        <v>0</v>
      </c>
      <c r="J42" s="26" t="n">
        <f aca="false">IF($A42="",0,IFERROR(VLOOKUP(A42,Cadastro!$A$5:$K$54,8,0),0))</f>
        <v>0</v>
      </c>
      <c r="K42" s="11" t="str">
        <f aca="false">IF($A42="","",IFERROR(SUMPRODUCT((Movimentações!$B$5:$B$504=A42)*(Movimentações!$D$5:$D$504="E")*(Movimentações!$E$5:$E$504)*(Movimentações!$F$5:$F$504))/SUMPRODUCT((Movimentações!$B$5:$B$504=A42)*(Movimentações!$D$5:$D$504="E")*(Movimentações!$E$5:$E$504)),IFERROR(VLOOKUP(A42,Cadastro!$A$5:$K$54,6,0),0)))</f>
        <v/>
      </c>
      <c r="L42" s="28" t="str">
        <f aca="false">IF($A42="","",H42*K42)</f>
        <v/>
      </c>
      <c r="M42" s="29" t="str">
        <f aca="false">IF($A42="","",IFERROR(L42/$L$55,0))</f>
        <v/>
      </c>
      <c r="N42" s="19" t="str">
        <f aca="false">IF($A42="","",IF(H42&lt;=0,"⛔ Sem estoque",IF(H42&lt;=I42,"⚠️ Estoque baixo","✅ OK")))</f>
        <v/>
      </c>
    </row>
    <row r="43" customFormat="false" ht="18" hidden="false" customHeight="true" outlineLevel="0" collapsed="false">
      <c r="A43" s="15" t="str">
        <f aca="false">IF(Cadastro!A43="","",Cadastro!A43)</f>
        <v/>
      </c>
      <c r="B43" s="5" t="str">
        <f aca="false">IF($A43="","",IFERROR(VLOOKUP(A43,Cadastro!$A$5:$K$54,2,0),""))</f>
        <v/>
      </c>
      <c r="C43" s="5" t="str">
        <f aca="false">IF($A43="","",IFERROR(VLOOKUP(A43,Cadastro!$A$5:$K$54,3,0),""))</f>
        <v/>
      </c>
      <c r="D43" s="15" t="str">
        <f aca="false">IF($A43="","",IFERROR(VLOOKUP(A43,Cadastro!$A$5:$K$54,4,0),""))</f>
        <v/>
      </c>
      <c r="E43" s="22" t="n">
        <f aca="false">IF($A43="",0,IFERROR(VLOOKUP(A43,Cadastro!$A$5:$K$54,5,0),0))</f>
        <v>0</v>
      </c>
      <c r="F43" s="22" t="n">
        <f aca="false">IF($A43="",0,SUMPRODUCT((Movimentações!$B$5:$B$504=A43)*(Movimentações!$D$5:$D$504="E")*(Movimentações!$E$5:$E$504)))</f>
        <v>0</v>
      </c>
      <c r="G43" s="22" t="n">
        <f aca="false">IF($A43="",0,SUMPRODUCT((Movimentações!$B$5:$B$504=A43)*(Movimentações!$D$5:$D$504="S")*(Movimentações!$E$5:$E$504)))</f>
        <v>0</v>
      </c>
      <c r="H43" s="23" t="str">
        <f aca="false">IF($A43="","",E43+F43-G43+SUMPRODUCT((Movimentações!$B$5:$B$504=A43)*(Movimentações!$D$5:$D$504="AJ")*(Movimentações!$E$5:$E$504)))</f>
        <v/>
      </c>
      <c r="I43" s="22" t="n">
        <f aca="false">IF($A43="",0,IFERROR(VLOOKUP(A43,Cadastro!$A$5:$K$54,7,0),0))</f>
        <v>0</v>
      </c>
      <c r="J43" s="22" t="n">
        <f aca="false">IF($A43="",0,IFERROR(VLOOKUP(A43,Cadastro!$A$5:$K$54,8,0),0))</f>
        <v>0</v>
      </c>
      <c r="K43" s="7" t="str">
        <f aca="false">IF($A43="","",IFERROR(SUMPRODUCT((Movimentações!$B$5:$B$504=A43)*(Movimentações!$D$5:$D$504="E")*(Movimentações!$E$5:$E$504)*(Movimentações!$F$5:$F$504))/SUMPRODUCT((Movimentações!$B$5:$B$504=A43)*(Movimentações!$D$5:$D$504="E")*(Movimentações!$E$5:$E$504)),IFERROR(VLOOKUP(A43,Cadastro!$A$5:$K$54,6,0),0)))</f>
        <v/>
      </c>
      <c r="L43" s="24" t="str">
        <f aca="false">IF($A43="","",H43*K43)</f>
        <v/>
      </c>
      <c r="M43" s="25" t="str">
        <f aca="false">IF($A43="","",IFERROR(L43/$L$55,0))</f>
        <v/>
      </c>
      <c r="N43" s="15" t="str">
        <f aca="false">IF($A43="","",IF(H43&lt;=0,"⛔ Sem estoque",IF(H43&lt;=I43,"⚠️ Estoque baixo","✅ OK")))</f>
        <v/>
      </c>
    </row>
    <row r="44" customFormat="false" ht="18" hidden="false" customHeight="true" outlineLevel="0" collapsed="false">
      <c r="A44" s="19" t="str">
        <f aca="false">IF(Cadastro!A44="","",Cadastro!A44)</f>
        <v/>
      </c>
      <c r="B44" s="9" t="str">
        <f aca="false">IF($A44="","",IFERROR(VLOOKUP(A44,Cadastro!$A$5:$K$54,2,0),""))</f>
        <v/>
      </c>
      <c r="C44" s="9" t="str">
        <f aca="false">IF($A44="","",IFERROR(VLOOKUP(A44,Cadastro!$A$5:$K$54,3,0),""))</f>
        <v/>
      </c>
      <c r="D44" s="19" t="str">
        <f aca="false">IF($A44="","",IFERROR(VLOOKUP(A44,Cadastro!$A$5:$K$54,4,0),""))</f>
        <v/>
      </c>
      <c r="E44" s="26" t="n">
        <f aca="false">IF($A44="",0,IFERROR(VLOOKUP(A44,Cadastro!$A$5:$K$54,5,0),0))</f>
        <v>0</v>
      </c>
      <c r="F44" s="26" t="n">
        <f aca="false">IF($A44="",0,SUMPRODUCT((Movimentações!$B$5:$B$504=A44)*(Movimentações!$D$5:$D$504="E")*(Movimentações!$E$5:$E$504)))</f>
        <v>0</v>
      </c>
      <c r="G44" s="26" t="n">
        <f aca="false">IF($A44="",0,SUMPRODUCT((Movimentações!$B$5:$B$504=A44)*(Movimentações!$D$5:$D$504="S")*(Movimentações!$E$5:$E$504)))</f>
        <v>0</v>
      </c>
      <c r="H44" s="27" t="str">
        <f aca="false">IF($A44="","",E44+F44-G44+SUMPRODUCT((Movimentações!$B$5:$B$504=A44)*(Movimentações!$D$5:$D$504="AJ")*(Movimentações!$E$5:$E$504)))</f>
        <v/>
      </c>
      <c r="I44" s="26" t="n">
        <f aca="false">IF($A44="",0,IFERROR(VLOOKUP(A44,Cadastro!$A$5:$K$54,7,0),0))</f>
        <v>0</v>
      </c>
      <c r="J44" s="26" t="n">
        <f aca="false">IF($A44="",0,IFERROR(VLOOKUP(A44,Cadastro!$A$5:$K$54,8,0),0))</f>
        <v>0</v>
      </c>
      <c r="K44" s="11" t="str">
        <f aca="false">IF($A44="","",IFERROR(SUMPRODUCT((Movimentações!$B$5:$B$504=A44)*(Movimentações!$D$5:$D$504="E")*(Movimentações!$E$5:$E$504)*(Movimentações!$F$5:$F$504))/SUMPRODUCT((Movimentações!$B$5:$B$504=A44)*(Movimentações!$D$5:$D$504="E")*(Movimentações!$E$5:$E$504)),IFERROR(VLOOKUP(A44,Cadastro!$A$5:$K$54,6,0),0)))</f>
        <v/>
      </c>
      <c r="L44" s="28" t="str">
        <f aca="false">IF($A44="","",H44*K44)</f>
        <v/>
      </c>
      <c r="M44" s="29" t="str">
        <f aca="false">IF($A44="","",IFERROR(L44/$L$55,0))</f>
        <v/>
      </c>
      <c r="N44" s="19" t="str">
        <f aca="false">IF($A44="","",IF(H44&lt;=0,"⛔ Sem estoque",IF(H44&lt;=I44,"⚠️ Estoque baixo","✅ OK")))</f>
        <v/>
      </c>
    </row>
    <row r="45" customFormat="false" ht="18" hidden="false" customHeight="true" outlineLevel="0" collapsed="false">
      <c r="A45" s="15" t="str">
        <f aca="false">IF(Cadastro!A45="","",Cadastro!A45)</f>
        <v/>
      </c>
      <c r="B45" s="5" t="str">
        <f aca="false">IF($A45="","",IFERROR(VLOOKUP(A45,Cadastro!$A$5:$K$54,2,0),""))</f>
        <v/>
      </c>
      <c r="C45" s="5" t="str">
        <f aca="false">IF($A45="","",IFERROR(VLOOKUP(A45,Cadastro!$A$5:$K$54,3,0),""))</f>
        <v/>
      </c>
      <c r="D45" s="15" t="str">
        <f aca="false">IF($A45="","",IFERROR(VLOOKUP(A45,Cadastro!$A$5:$K$54,4,0),""))</f>
        <v/>
      </c>
      <c r="E45" s="22" t="n">
        <f aca="false">IF($A45="",0,IFERROR(VLOOKUP(A45,Cadastro!$A$5:$K$54,5,0),0))</f>
        <v>0</v>
      </c>
      <c r="F45" s="22" t="n">
        <f aca="false">IF($A45="",0,SUMPRODUCT((Movimentações!$B$5:$B$504=A45)*(Movimentações!$D$5:$D$504="E")*(Movimentações!$E$5:$E$504)))</f>
        <v>0</v>
      </c>
      <c r="G45" s="22" t="n">
        <f aca="false">IF($A45="",0,SUMPRODUCT((Movimentações!$B$5:$B$504=A45)*(Movimentações!$D$5:$D$504="S")*(Movimentações!$E$5:$E$504)))</f>
        <v>0</v>
      </c>
      <c r="H45" s="23" t="str">
        <f aca="false">IF($A45="","",E45+F45-G45+SUMPRODUCT((Movimentações!$B$5:$B$504=A45)*(Movimentações!$D$5:$D$504="AJ")*(Movimentações!$E$5:$E$504)))</f>
        <v/>
      </c>
      <c r="I45" s="22" t="n">
        <f aca="false">IF($A45="",0,IFERROR(VLOOKUP(A45,Cadastro!$A$5:$K$54,7,0),0))</f>
        <v>0</v>
      </c>
      <c r="J45" s="22" t="n">
        <f aca="false">IF($A45="",0,IFERROR(VLOOKUP(A45,Cadastro!$A$5:$K$54,8,0),0))</f>
        <v>0</v>
      </c>
      <c r="K45" s="7" t="str">
        <f aca="false">IF($A45="","",IFERROR(SUMPRODUCT((Movimentações!$B$5:$B$504=A45)*(Movimentações!$D$5:$D$504="E")*(Movimentações!$E$5:$E$504)*(Movimentações!$F$5:$F$504))/SUMPRODUCT((Movimentações!$B$5:$B$504=A45)*(Movimentações!$D$5:$D$504="E")*(Movimentações!$E$5:$E$504)),IFERROR(VLOOKUP(A45,Cadastro!$A$5:$K$54,6,0),0)))</f>
        <v/>
      </c>
      <c r="L45" s="24" t="str">
        <f aca="false">IF($A45="","",H45*K45)</f>
        <v/>
      </c>
      <c r="M45" s="25" t="str">
        <f aca="false">IF($A45="","",IFERROR(L45/$L$55,0))</f>
        <v/>
      </c>
      <c r="N45" s="15" t="str">
        <f aca="false">IF($A45="","",IF(H45&lt;=0,"⛔ Sem estoque",IF(H45&lt;=I45,"⚠️ Estoque baixo","✅ OK")))</f>
        <v/>
      </c>
    </row>
    <row r="46" customFormat="false" ht="18" hidden="false" customHeight="true" outlineLevel="0" collapsed="false">
      <c r="A46" s="19" t="str">
        <f aca="false">IF(Cadastro!A46="","",Cadastro!A46)</f>
        <v/>
      </c>
      <c r="B46" s="9" t="str">
        <f aca="false">IF($A46="","",IFERROR(VLOOKUP(A46,Cadastro!$A$5:$K$54,2,0),""))</f>
        <v/>
      </c>
      <c r="C46" s="9" t="str">
        <f aca="false">IF($A46="","",IFERROR(VLOOKUP(A46,Cadastro!$A$5:$K$54,3,0),""))</f>
        <v/>
      </c>
      <c r="D46" s="19" t="str">
        <f aca="false">IF($A46="","",IFERROR(VLOOKUP(A46,Cadastro!$A$5:$K$54,4,0),""))</f>
        <v/>
      </c>
      <c r="E46" s="26" t="n">
        <f aca="false">IF($A46="",0,IFERROR(VLOOKUP(A46,Cadastro!$A$5:$K$54,5,0),0))</f>
        <v>0</v>
      </c>
      <c r="F46" s="26" t="n">
        <f aca="false">IF($A46="",0,SUMPRODUCT((Movimentações!$B$5:$B$504=A46)*(Movimentações!$D$5:$D$504="E")*(Movimentações!$E$5:$E$504)))</f>
        <v>0</v>
      </c>
      <c r="G46" s="26" t="n">
        <f aca="false">IF($A46="",0,SUMPRODUCT((Movimentações!$B$5:$B$504=A46)*(Movimentações!$D$5:$D$504="S")*(Movimentações!$E$5:$E$504)))</f>
        <v>0</v>
      </c>
      <c r="H46" s="27" t="str">
        <f aca="false">IF($A46="","",E46+F46-G46+SUMPRODUCT((Movimentações!$B$5:$B$504=A46)*(Movimentações!$D$5:$D$504="AJ")*(Movimentações!$E$5:$E$504)))</f>
        <v/>
      </c>
      <c r="I46" s="26" t="n">
        <f aca="false">IF($A46="",0,IFERROR(VLOOKUP(A46,Cadastro!$A$5:$K$54,7,0),0))</f>
        <v>0</v>
      </c>
      <c r="J46" s="26" t="n">
        <f aca="false">IF($A46="",0,IFERROR(VLOOKUP(A46,Cadastro!$A$5:$K$54,8,0),0))</f>
        <v>0</v>
      </c>
      <c r="K46" s="11" t="str">
        <f aca="false">IF($A46="","",IFERROR(SUMPRODUCT((Movimentações!$B$5:$B$504=A46)*(Movimentações!$D$5:$D$504="E")*(Movimentações!$E$5:$E$504)*(Movimentações!$F$5:$F$504))/SUMPRODUCT((Movimentações!$B$5:$B$504=A46)*(Movimentações!$D$5:$D$504="E")*(Movimentações!$E$5:$E$504)),IFERROR(VLOOKUP(A46,Cadastro!$A$5:$K$54,6,0),0)))</f>
        <v/>
      </c>
      <c r="L46" s="28" t="str">
        <f aca="false">IF($A46="","",H46*K46)</f>
        <v/>
      </c>
      <c r="M46" s="29" t="str">
        <f aca="false">IF($A46="","",IFERROR(L46/$L$55,0))</f>
        <v/>
      </c>
      <c r="N46" s="19" t="str">
        <f aca="false">IF($A46="","",IF(H46&lt;=0,"⛔ Sem estoque",IF(H46&lt;=I46,"⚠️ Estoque baixo","✅ OK")))</f>
        <v/>
      </c>
    </row>
    <row r="47" customFormat="false" ht="18" hidden="false" customHeight="true" outlineLevel="0" collapsed="false">
      <c r="A47" s="15" t="str">
        <f aca="false">IF(Cadastro!A47="","",Cadastro!A47)</f>
        <v/>
      </c>
      <c r="B47" s="5" t="str">
        <f aca="false">IF($A47="","",IFERROR(VLOOKUP(A47,Cadastro!$A$5:$K$54,2,0),""))</f>
        <v/>
      </c>
      <c r="C47" s="5" t="str">
        <f aca="false">IF($A47="","",IFERROR(VLOOKUP(A47,Cadastro!$A$5:$K$54,3,0),""))</f>
        <v/>
      </c>
      <c r="D47" s="15" t="str">
        <f aca="false">IF($A47="","",IFERROR(VLOOKUP(A47,Cadastro!$A$5:$K$54,4,0),""))</f>
        <v/>
      </c>
      <c r="E47" s="22" t="n">
        <f aca="false">IF($A47="",0,IFERROR(VLOOKUP(A47,Cadastro!$A$5:$K$54,5,0),0))</f>
        <v>0</v>
      </c>
      <c r="F47" s="22" t="n">
        <f aca="false">IF($A47="",0,SUMPRODUCT((Movimentações!$B$5:$B$504=A47)*(Movimentações!$D$5:$D$504="E")*(Movimentações!$E$5:$E$504)))</f>
        <v>0</v>
      </c>
      <c r="G47" s="22" t="n">
        <f aca="false">IF($A47="",0,SUMPRODUCT((Movimentações!$B$5:$B$504=A47)*(Movimentações!$D$5:$D$504="S")*(Movimentações!$E$5:$E$504)))</f>
        <v>0</v>
      </c>
      <c r="H47" s="23" t="str">
        <f aca="false">IF($A47="","",E47+F47-G47+SUMPRODUCT((Movimentações!$B$5:$B$504=A47)*(Movimentações!$D$5:$D$504="AJ")*(Movimentações!$E$5:$E$504)))</f>
        <v/>
      </c>
      <c r="I47" s="22" t="n">
        <f aca="false">IF($A47="",0,IFERROR(VLOOKUP(A47,Cadastro!$A$5:$K$54,7,0),0))</f>
        <v>0</v>
      </c>
      <c r="J47" s="22" t="n">
        <f aca="false">IF($A47="",0,IFERROR(VLOOKUP(A47,Cadastro!$A$5:$K$54,8,0),0))</f>
        <v>0</v>
      </c>
      <c r="K47" s="7" t="str">
        <f aca="false">IF($A47="","",IFERROR(SUMPRODUCT((Movimentações!$B$5:$B$504=A47)*(Movimentações!$D$5:$D$504="E")*(Movimentações!$E$5:$E$504)*(Movimentações!$F$5:$F$504))/SUMPRODUCT((Movimentações!$B$5:$B$504=A47)*(Movimentações!$D$5:$D$504="E")*(Movimentações!$E$5:$E$504)),IFERROR(VLOOKUP(A47,Cadastro!$A$5:$K$54,6,0),0)))</f>
        <v/>
      </c>
      <c r="L47" s="24" t="str">
        <f aca="false">IF($A47="","",H47*K47)</f>
        <v/>
      </c>
      <c r="M47" s="25" t="str">
        <f aca="false">IF($A47="","",IFERROR(L47/$L$55,0))</f>
        <v/>
      </c>
      <c r="N47" s="15" t="str">
        <f aca="false">IF($A47="","",IF(H47&lt;=0,"⛔ Sem estoque",IF(H47&lt;=I47,"⚠️ Estoque baixo","✅ OK")))</f>
        <v/>
      </c>
    </row>
    <row r="48" customFormat="false" ht="18" hidden="false" customHeight="true" outlineLevel="0" collapsed="false">
      <c r="A48" s="19" t="str">
        <f aca="false">IF(Cadastro!A48="","",Cadastro!A48)</f>
        <v/>
      </c>
      <c r="B48" s="9" t="str">
        <f aca="false">IF($A48="","",IFERROR(VLOOKUP(A48,Cadastro!$A$5:$K$54,2,0),""))</f>
        <v/>
      </c>
      <c r="C48" s="9" t="str">
        <f aca="false">IF($A48="","",IFERROR(VLOOKUP(A48,Cadastro!$A$5:$K$54,3,0),""))</f>
        <v/>
      </c>
      <c r="D48" s="19" t="str">
        <f aca="false">IF($A48="","",IFERROR(VLOOKUP(A48,Cadastro!$A$5:$K$54,4,0),""))</f>
        <v/>
      </c>
      <c r="E48" s="26" t="n">
        <f aca="false">IF($A48="",0,IFERROR(VLOOKUP(A48,Cadastro!$A$5:$K$54,5,0),0))</f>
        <v>0</v>
      </c>
      <c r="F48" s="26" t="n">
        <f aca="false">IF($A48="",0,SUMPRODUCT((Movimentações!$B$5:$B$504=A48)*(Movimentações!$D$5:$D$504="E")*(Movimentações!$E$5:$E$504)))</f>
        <v>0</v>
      </c>
      <c r="G48" s="26" t="n">
        <f aca="false">IF($A48="",0,SUMPRODUCT((Movimentações!$B$5:$B$504=A48)*(Movimentações!$D$5:$D$504="S")*(Movimentações!$E$5:$E$504)))</f>
        <v>0</v>
      </c>
      <c r="H48" s="27" t="str">
        <f aca="false">IF($A48="","",E48+F48-G48+SUMPRODUCT((Movimentações!$B$5:$B$504=A48)*(Movimentações!$D$5:$D$504="AJ")*(Movimentações!$E$5:$E$504)))</f>
        <v/>
      </c>
      <c r="I48" s="26" t="n">
        <f aca="false">IF($A48="",0,IFERROR(VLOOKUP(A48,Cadastro!$A$5:$K$54,7,0),0))</f>
        <v>0</v>
      </c>
      <c r="J48" s="26" t="n">
        <f aca="false">IF($A48="",0,IFERROR(VLOOKUP(A48,Cadastro!$A$5:$K$54,8,0),0))</f>
        <v>0</v>
      </c>
      <c r="K48" s="11" t="str">
        <f aca="false">IF($A48="","",IFERROR(SUMPRODUCT((Movimentações!$B$5:$B$504=A48)*(Movimentações!$D$5:$D$504="E")*(Movimentações!$E$5:$E$504)*(Movimentações!$F$5:$F$504))/SUMPRODUCT((Movimentações!$B$5:$B$504=A48)*(Movimentações!$D$5:$D$504="E")*(Movimentações!$E$5:$E$504)),IFERROR(VLOOKUP(A48,Cadastro!$A$5:$K$54,6,0),0)))</f>
        <v/>
      </c>
      <c r="L48" s="28" t="str">
        <f aca="false">IF($A48="","",H48*K48)</f>
        <v/>
      </c>
      <c r="M48" s="29" t="str">
        <f aca="false">IF($A48="","",IFERROR(L48/$L$55,0))</f>
        <v/>
      </c>
      <c r="N48" s="19" t="str">
        <f aca="false">IF($A48="","",IF(H48&lt;=0,"⛔ Sem estoque",IF(H48&lt;=I48,"⚠️ Estoque baixo","✅ OK")))</f>
        <v/>
      </c>
    </row>
    <row r="49" customFormat="false" ht="18" hidden="false" customHeight="true" outlineLevel="0" collapsed="false">
      <c r="A49" s="15" t="str">
        <f aca="false">IF(Cadastro!A49="","",Cadastro!A49)</f>
        <v/>
      </c>
      <c r="B49" s="5" t="str">
        <f aca="false">IF($A49="","",IFERROR(VLOOKUP(A49,Cadastro!$A$5:$K$54,2,0),""))</f>
        <v/>
      </c>
      <c r="C49" s="5" t="str">
        <f aca="false">IF($A49="","",IFERROR(VLOOKUP(A49,Cadastro!$A$5:$K$54,3,0),""))</f>
        <v/>
      </c>
      <c r="D49" s="15" t="str">
        <f aca="false">IF($A49="","",IFERROR(VLOOKUP(A49,Cadastro!$A$5:$K$54,4,0),""))</f>
        <v/>
      </c>
      <c r="E49" s="22" t="n">
        <f aca="false">IF($A49="",0,IFERROR(VLOOKUP(A49,Cadastro!$A$5:$K$54,5,0),0))</f>
        <v>0</v>
      </c>
      <c r="F49" s="22" t="n">
        <f aca="false">IF($A49="",0,SUMPRODUCT((Movimentações!$B$5:$B$504=A49)*(Movimentações!$D$5:$D$504="E")*(Movimentações!$E$5:$E$504)))</f>
        <v>0</v>
      </c>
      <c r="G49" s="22" t="n">
        <f aca="false">IF($A49="",0,SUMPRODUCT((Movimentações!$B$5:$B$504=A49)*(Movimentações!$D$5:$D$504="S")*(Movimentações!$E$5:$E$504)))</f>
        <v>0</v>
      </c>
      <c r="H49" s="23" t="str">
        <f aca="false">IF($A49="","",E49+F49-G49+SUMPRODUCT((Movimentações!$B$5:$B$504=A49)*(Movimentações!$D$5:$D$504="AJ")*(Movimentações!$E$5:$E$504)))</f>
        <v/>
      </c>
      <c r="I49" s="22" t="n">
        <f aca="false">IF($A49="",0,IFERROR(VLOOKUP(A49,Cadastro!$A$5:$K$54,7,0),0))</f>
        <v>0</v>
      </c>
      <c r="J49" s="22" t="n">
        <f aca="false">IF($A49="",0,IFERROR(VLOOKUP(A49,Cadastro!$A$5:$K$54,8,0),0))</f>
        <v>0</v>
      </c>
      <c r="K49" s="7" t="str">
        <f aca="false">IF($A49="","",IFERROR(SUMPRODUCT((Movimentações!$B$5:$B$504=A49)*(Movimentações!$D$5:$D$504="E")*(Movimentações!$E$5:$E$504)*(Movimentações!$F$5:$F$504))/SUMPRODUCT((Movimentações!$B$5:$B$504=A49)*(Movimentações!$D$5:$D$504="E")*(Movimentações!$E$5:$E$504)),IFERROR(VLOOKUP(A49,Cadastro!$A$5:$K$54,6,0),0)))</f>
        <v/>
      </c>
      <c r="L49" s="24" t="str">
        <f aca="false">IF($A49="","",H49*K49)</f>
        <v/>
      </c>
      <c r="M49" s="25" t="str">
        <f aca="false">IF($A49="","",IFERROR(L49/$L$55,0))</f>
        <v/>
      </c>
      <c r="N49" s="15" t="str">
        <f aca="false">IF($A49="","",IF(H49&lt;=0,"⛔ Sem estoque",IF(H49&lt;=I49,"⚠️ Estoque baixo","✅ OK")))</f>
        <v/>
      </c>
    </row>
    <row r="50" customFormat="false" ht="18" hidden="false" customHeight="true" outlineLevel="0" collapsed="false">
      <c r="A50" s="19" t="str">
        <f aca="false">IF(Cadastro!A50="","",Cadastro!A50)</f>
        <v/>
      </c>
      <c r="B50" s="9" t="str">
        <f aca="false">IF($A50="","",IFERROR(VLOOKUP(A50,Cadastro!$A$5:$K$54,2,0),""))</f>
        <v/>
      </c>
      <c r="C50" s="9" t="str">
        <f aca="false">IF($A50="","",IFERROR(VLOOKUP(A50,Cadastro!$A$5:$K$54,3,0),""))</f>
        <v/>
      </c>
      <c r="D50" s="19" t="str">
        <f aca="false">IF($A50="","",IFERROR(VLOOKUP(A50,Cadastro!$A$5:$K$54,4,0),""))</f>
        <v/>
      </c>
      <c r="E50" s="26" t="n">
        <f aca="false">IF($A50="",0,IFERROR(VLOOKUP(A50,Cadastro!$A$5:$K$54,5,0),0))</f>
        <v>0</v>
      </c>
      <c r="F50" s="26" t="n">
        <f aca="false">IF($A50="",0,SUMPRODUCT((Movimentações!$B$5:$B$504=A50)*(Movimentações!$D$5:$D$504="E")*(Movimentações!$E$5:$E$504)))</f>
        <v>0</v>
      </c>
      <c r="G50" s="26" t="n">
        <f aca="false">IF($A50="",0,SUMPRODUCT((Movimentações!$B$5:$B$504=A50)*(Movimentações!$D$5:$D$504="S")*(Movimentações!$E$5:$E$504)))</f>
        <v>0</v>
      </c>
      <c r="H50" s="27" t="str">
        <f aca="false">IF($A50="","",E50+F50-G50+SUMPRODUCT((Movimentações!$B$5:$B$504=A50)*(Movimentações!$D$5:$D$504="AJ")*(Movimentações!$E$5:$E$504)))</f>
        <v/>
      </c>
      <c r="I50" s="26" t="n">
        <f aca="false">IF($A50="",0,IFERROR(VLOOKUP(A50,Cadastro!$A$5:$K$54,7,0),0))</f>
        <v>0</v>
      </c>
      <c r="J50" s="26" t="n">
        <f aca="false">IF($A50="",0,IFERROR(VLOOKUP(A50,Cadastro!$A$5:$K$54,8,0),0))</f>
        <v>0</v>
      </c>
      <c r="K50" s="11" t="str">
        <f aca="false">IF($A50="","",IFERROR(SUMPRODUCT((Movimentações!$B$5:$B$504=A50)*(Movimentações!$D$5:$D$504="E")*(Movimentações!$E$5:$E$504)*(Movimentações!$F$5:$F$504))/SUMPRODUCT((Movimentações!$B$5:$B$504=A50)*(Movimentações!$D$5:$D$504="E")*(Movimentações!$E$5:$E$504)),IFERROR(VLOOKUP(A50,Cadastro!$A$5:$K$54,6,0),0)))</f>
        <v/>
      </c>
      <c r="L50" s="28" t="str">
        <f aca="false">IF($A50="","",H50*K50)</f>
        <v/>
      </c>
      <c r="M50" s="29" t="str">
        <f aca="false">IF($A50="","",IFERROR(L50/$L$55,0))</f>
        <v/>
      </c>
      <c r="N50" s="19" t="str">
        <f aca="false">IF($A50="","",IF(H50&lt;=0,"⛔ Sem estoque",IF(H50&lt;=I50,"⚠️ Estoque baixo","✅ OK")))</f>
        <v/>
      </c>
    </row>
    <row r="51" customFormat="false" ht="18" hidden="false" customHeight="true" outlineLevel="0" collapsed="false">
      <c r="A51" s="15" t="str">
        <f aca="false">IF(Cadastro!A51="","",Cadastro!A51)</f>
        <v/>
      </c>
      <c r="B51" s="5" t="str">
        <f aca="false">IF($A51="","",IFERROR(VLOOKUP(A51,Cadastro!$A$5:$K$54,2,0),""))</f>
        <v/>
      </c>
      <c r="C51" s="5" t="str">
        <f aca="false">IF($A51="","",IFERROR(VLOOKUP(A51,Cadastro!$A$5:$K$54,3,0),""))</f>
        <v/>
      </c>
      <c r="D51" s="15" t="str">
        <f aca="false">IF($A51="","",IFERROR(VLOOKUP(A51,Cadastro!$A$5:$K$54,4,0),""))</f>
        <v/>
      </c>
      <c r="E51" s="22" t="n">
        <f aca="false">IF($A51="",0,IFERROR(VLOOKUP(A51,Cadastro!$A$5:$K$54,5,0),0))</f>
        <v>0</v>
      </c>
      <c r="F51" s="22" t="n">
        <f aca="false">IF($A51="",0,SUMPRODUCT((Movimentações!$B$5:$B$504=A51)*(Movimentações!$D$5:$D$504="E")*(Movimentações!$E$5:$E$504)))</f>
        <v>0</v>
      </c>
      <c r="G51" s="22" t="n">
        <f aca="false">IF($A51="",0,SUMPRODUCT((Movimentações!$B$5:$B$504=A51)*(Movimentações!$D$5:$D$504="S")*(Movimentações!$E$5:$E$504)))</f>
        <v>0</v>
      </c>
      <c r="H51" s="23" t="str">
        <f aca="false">IF($A51="","",E51+F51-G51+SUMPRODUCT((Movimentações!$B$5:$B$504=A51)*(Movimentações!$D$5:$D$504="AJ")*(Movimentações!$E$5:$E$504)))</f>
        <v/>
      </c>
      <c r="I51" s="22" t="n">
        <f aca="false">IF($A51="",0,IFERROR(VLOOKUP(A51,Cadastro!$A$5:$K$54,7,0),0))</f>
        <v>0</v>
      </c>
      <c r="J51" s="22" t="n">
        <f aca="false">IF($A51="",0,IFERROR(VLOOKUP(A51,Cadastro!$A$5:$K$54,8,0),0))</f>
        <v>0</v>
      </c>
      <c r="K51" s="7" t="str">
        <f aca="false">IF($A51="","",IFERROR(SUMPRODUCT((Movimentações!$B$5:$B$504=A51)*(Movimentações!$D$5:$D$504="E")*(Movimentações!$E$5:$E$504)*(Movimentações!$F$5:$F$504))/SUMPRODUCT((Movimentações!$B$5:$B$504=A51)*(Movimentações!$D$5:$D$504="E")*(Movimentações!$E$5:$E$504)),IFERROR(VLOOKUP(A51,Cadastro!$A$5:$K$54,6,0),0)))</f>
        <v/>
      </c>
      <c r="L51" s="24" t="str">
        <f aca="false">IF($A51="","",H51*K51)</f>
        <v/>
      </c>
      <c r="M51" s="25" t="str">
        <f aca="false">IF($A51="","",IFERROR(L51/$L$55,0))</f>
        <v/>
      </c>
      <c r="N51" s="15" t="str">
        <f aca="false">IF($A51="","",IF(H51&lt;=0,"⛔ Sem estoque",IF(H51&lt;=I51,"⚠️ Estoque baixo","✅ OK")))</f>
        <v/>
      </c>
    </row>
    <row r="52" customFormat="false" ht="18" hidden="false" customHeight="true" outlineLevel="0" collapsed="false">
      <c r="A52" s="19" t="str">
        <f aca="false">IF(Cadastro!A52="","",Cadastro!A52)</f>
        <v/>
      </c>
      <c r="B52" s="9" t="str">
        <f aca="false">IF($A52="","",IFERROR(VLOOKUP(A52,Cadastro!$A$5:$K$54,2,0),""))</f>
        <v/>
      </c>
      <c r="C52" s="9" t="str">
        <f aca="false">IF($A52="","",IFERROR(VLOOKUP(A52,Cadastro!$A$5:$K$54,3,0),""))</f>
        <v/>
      </c>
      <c r="D52" s="19" t="str">
        <f aca="false">IF($A52="","",IFERROR(VLOOKUP(A52,Cadastro!$A$5:$K$54,4,0),""))</f>
        <v/>
      </c>
      <c r="E52" s="26" t="n">
        <f aca="false">IF($A52="",0,IFERROR(VLOOKUP(A52,Cadastro!$A$5:$K$54,5,0),0))</f>
        <v>0</v>
      </c>
      <c r="F52" s="26" t="n">
        <f aca="false">IF($A52="",0,SUMPRODUCT((Movimentações!$B$5:$B$504=A52)*(Movimentações!$D$5:$D$504="E")*(Movimentações!$E$5:$E$504)))</f>
        <v>0</v>
      </c>
      <c r="G52" s="26" t="n">
        <f aca="false">IF($A52="",0,SUMPRODUCT((Movimentações!$B$5:$B$504=A52)*(Movimentações!$D$5:$D$504="S")*(Movimentações!$E$5:$E$504)))</f>
        <v>0</v>
      </c>
      <c r="H52" s="27" t="str">
        <f aca="false">IF($A52="","",E52+F52-G52+SUMPRODUCT((Movimentações!$B$5:$B$504=A52)*(Movimentações!$D$5:$D$504="AJ")*(Movimentações!$E$5:$E$504)))</f>
        <v/>
      </c>
      <c r="I52" s="26" t="n">
        <f aca="false">IF($A52="",0,IFERROR(VLOOKUP(A52,Cadastro!$A$5:$K$54,7,0),0))</f>
        <v>0</v>
      </c>
      <c r="J52" s="26" t="n">
        <f aca="false">IF($A52="",0,IFERROR(VLOOKUP(A52,Cadastro!$A$5:$K$54,8,0),0))</f>
        <v>0</v>
      </c>
      <c r="K52" s="11" t="str">
        <f aca="false">IF($A52="","",IFERROR(SUMPRODUCT((Movimentações!$B$5:$B$504=A52)*(Movimentações!$D$5:$D$504="E")*(Movimentações!$E$5:$E$504)*(Movimentações!$F$5:$F$504))/SUMPRODUCT((Movimentações!$B$5:$B$504=A52)*(Movimentações!$D$5:$D$504="E")*(Movimentações!$E$5:$E$504)),IFERROR(VLOOKUP(A52,Cadastro!$A$5:$K$54,6,0),0)))</f>
        <v/>
      </c>
      <c r="L52" s="28" t="str">
        <f aca="false">IF($A52="","",H52*K52)</f>
        <v/>
      </c>
      <c r="M52" s="29" t="str">
        <f aca="false">IF($A52="","",IFERROR(L52/$L$55,0))</f>
        <v/>
      </c>
      <c r="N52" s="19" t="str">
        <f aca="false">IF($A52="","",IF(H52&lt;=0,"⛔ Sem estoque",IF(H52&lt;=I52,"⚠️ Estoque baixo","✅ OK")))</f>
        <v/>
      </c>
    </row>
    <row r="53" customFormat="false" ht="18" hidden="false" customHeight="true" outlineLevel="0" collapsed="false">
      <c r="A53" s="15" t="str">
        <f aca="false">IF(Cadastro!A53="","",Cadastro!A53)</f>
        <v/>
      </c>
      <c r="B53" s="5" t="str">
        <f aca="false">IF($A53="","",IFERROR(VLOOKUP(A53,Cadastro!$A$5:$K$54,2,0),""))</f>
        <v/>
      </c>
      <c r="C53" s="5" t="str">
        <f aca="false">IF($A53="","",IFERROR(VLOOKUP(A53,Cadastro!$A$5:$K$54,3,0),""))</f>
        <v/>
      </c>
      <c r="D53" s="15" t="str">
        <f aca="false">IF($A53="","",IFERROR(VLOOKUP(A53,Cadastro!$A$5:$K$54,4,0),""))</f>
        <v/>
      </c>
      <c r="E53" s="22" t="n">
        <f aca="false">IF($A53="",0,IFERROR(VLOOKUP(A53,Cadastro!$A$5:$K$54,5,0),0))</f>
        <v>0</v>
      </c>
      <c r="F53" s="22" t="n">
        <f aca="false">IF($A53="",0,SUMPRODUCT((Movimentações!$B$5:$B$504=A53)*(Movimentações!$D$5:$D$504="E")*(Movimentações!$E$5:$E$504)))</f>
        <v>0</v>
      </c>
      <c r="G53" s="22" t="n">
        <f aca="false">IF($A53="",0,SUMPRODUCT((Movimentações!$B$5:$B$504=A53)*(Movimentações!$D$5:$D$504="S")*(Movimentações!$E$5:$E$504)))</f>
        <v>0</v>
      </c>
      <c r="H53" s="23" t="str">
        <f aca="false">IF($A53="","",E53+F53-G53+SUMPRODUCT((Movimentações!$B$5:$B$504=A53)*(Movimentações!$D$5:$D$504="AJ")*(Movimentações!$E$5:$E$504)))</f>
        <v/>
      </c>
      <c r="I53" s="22" t="n">
        <f aca="false">IF($A53="",0,IFERROR(VLOOKUP(A53,Cadastro!$A$5:$K$54,7,0),0))</f>
        <v>0</v>
      </c>
      <c r="J53" s="22" t="n">
        <f aca="false">IF($A53="",0,IFERROR(VLOOKUP(A53,Cadastro!$A$5:$K$54,8,0),0))</f>
        <v>0</v>
      </c>
      <c r="K53" s="7" t="str">
        <f aca="false">IF($A53="","",IFERROR(SUMPRODUCT((Movimentações!$B$5:$B$504=A53)*(Movimentações!$D$5:$D$504="E")*(Movimentações!$E$5:$E$504)*(Movimentações!$F$5:$F$504))/SUMPRODUCT((Movimentações!$B$5:$B$504=A53)*(Movimentações!$D$5:$D$504="E")*(Movimentações!$E$5:$E$504)),IFERROR(VLOOKUP(A53,Cadastro!$A$5:$K$54,6,0),0)))</f>
        <v/>
      </c>
      <c r="L53" s="24" t="str">
        <f aca="false">IF($A53="","",H53*K53)</f>
        <v/>
      </c>
      <c r="M53" s="25" t="str">
        <f aca="false">IF($A53="","",IFERROR(L53/$L$55,0))</f>
        <v/>
      </c>
      <c r="N53" s="15" t="str">
        <f aca="false">IF($A53="","",IF(H53&lt;=0,"⛔ Sem estoque",IF(H53&lt;=I53,"⚠️ Estoque baixo","✅ OK")))</f>
        <v/>
      </c>
    </row>
    <row r="54" customFormat="false" ht="18" hidden="false" customHeight="true" outlineLevel="0" collapsed="false">
      <c r="A54" s="19" t="str">
        <f aca="false">IF(Cadastro!A54="","",Cadastro!A54)</f>
        <v/>
      </c>
      <c r="B54" s="9" t="str">
        <f aca="false">IF($A54="","",IFERROR(VLOOKUP(A54,Cadastro!$A$5:$K$54,2,0),""))</f>
        <v/>
      </c>
      <c r="C54" s="9" t="str">
        <f aca="false">IF($A54="","",IFERROR(VLOOKUP(A54,Cadastro!$A$5:$K$54,3,0),""))</f>
        <v/>
      </c>
      <c r="D54" s="19" t="str">
        <f aca="false">IF($A54="","",IFERROR(VLOOKUP(A54,Cadastro!$A$5:$K$54,4,0),""))</f>
        <v/>
      </c>
      <c r="E54" s="26" t="n">
        <f aca="false">IF($A54="",0,IFERROR(VLOOKUP(A54,Cadastro!$A$5:$K$54,5,0),0))</f>
        <v>0</v>
      </c>
      <c r="F54" s="26" t="n">
        <f aca="false">IF($A54="",0,SUMPRODUCT((Movimentações!$B$5:$B$504=A54)*(Movimentações!$D$5:$D$504="E")*(Movimentações!$E$5:$E$504)))</f>
        <v>0</v>
      </c>
      <c r="G54" s="26" t="n">
        <f aca="false">IF($A54="",0,SUMPRODUCT((Movimentações!$B$5:$B$504=A54)*(Movimentações!$D$5:$D$504="S")*(Movimentações!$E$5:$E$504)))</f>
        <v>0</v>
      </c>
      <c r="H54" s="27" t="str">
        <f aca="false">IF($A54="","",E54+F54-G54+SUMPRODUCT((Movimentações!$B$5:$B$504=A54)*(Movimentações!$D$5:$D$504="AJ")*(Movimentações!$E$5:$E$504)))</f>
        <v/>
      </c>
      <c r="I54" s="26" t="n">
        <f aca="false">IF($A54="",0,IFERROR(VLOOKUP(A54,Cadastro!$A$5:$K$54,7,0),0))</f>
        <v>0</v>
      </c>
      <c r="J54" s="26" t="n">
        <f aca="false">IF($A54="",0,IFERROR(VLOOKUP(A54,Cadastro!$A$5:$K$54,8,0),0))</f>
        <v>0</v>
      </c>
      <c r="K54" s="11" t="str">
        <f aca="false">IF($A54="","",IFERROR(SUMPRODUCT((Movimentações!$B$5:$B$504=A54)*(Movimentações!$D$5:$D$504="E")*(Movimentações!$E$5:$E$504)*(Movimentações!$F$5:$F$504))/SUMPRODUCT((Movimentações!$B$5:$B$504=A54)*(Movimentações!$D$5:$D$504="E")*(Movimentações!$E$5:$E$504)),IFERROR(VLOOKUP(A54,Cadastro!$A$5:$K$54,6,0),0)))</f>
        <v/>
      </c>
      <c r="L54" s="28" t="str">
        <f aca="false">IF($A54="","",H54*K54)</f>
        <v/>
      </c>
      <c r="M54" s="29" t="str">
        <f aca="false">IF($A54="","",IFERROR(L54/$L$55,0))</f>
        <v/>
      </c>
      <c r="N54" s="19" t="str">
        <f aca="false">IF($A54="","",IF(H54&lt;=0,"⛔ Sem estoque",IF(H54&lt;=I54,"⚠️ Estoque baixo","✅ OK")))</f>
        <v/>
      </c>
    </row>
    <row r="55" customFormat="false" ht="15" hidden="false" customHeight="false" outlineLevel="0" collapsed="false">
      <c r="A55" s="30" t="s">
        <v>85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1" t="n">
        <f aca="false">SUM(L5:L54)</f>
        <v>12210.2142857143</v>
      </c>
      <c r="M55" s="32"/>
      <c r="N55" s="32"/>
    </row>
  </sheetData>
  <mergeCells count="3">
    <mergeCell ref="A1:N1"/>
    <mergeCell ref="A2:N2"/>
    <mergeCell ref="A55:K55"/>
  </mergeCells>
  <conditionalFormatting sqref="N5:N54">
    <cfRule type="expression" priority="2" aboveAverage="0" equalAverage="0" bottom="0" percent="0" rank="0" text="" dxfId="4">
      <formula>$N5="✅ OK"</formula>
    </cfRule>
    <cfRule type="expression" priority="3" aboveAverage="0" equalAverage="0" bottom="0" percent="0" rank="0" text="" dxfId="5">
      <formula>$N5="⚠️ Estoque baixo"</formula>
    </cfRule>
    <cfRule type="expression" priority="4" aboveAverage="0" equalAverage="0" bottom="0" percent="0" rank="0" text="" dxfId="6">
      <formula>$N5="⛔ Sem estoque"</formula>
    </cfRule>
  </conditionalFormatting>
  <conditionalFormatting sqref="H5:H54">
    <cfRule type="expression" priority="5" aboveAverage="0" equalAverage="0" bottom="0" percent="0" rank="0" text="" dxfId="7">
      <formula>AND($A5&lt;&gt;"",H5&gt;0,H5&lt;=I5)</formula>
    </cfRule>
    <cfRule type="expression" priority="6" aboveAverage="0" equalAverage="0" bottom="0" percent="0" rank="0" text="" dxfId="8">
      <formula>AND($A5&lt;&gt;"",H5&lt;=0)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6" min="3" style="0" width="16"/>
    <col collapsed="false" customWidth="true" hidden="false" outlineLevel="0" max="7" min="7" style="0" width="3"/>
  </cols>
  <sheetData>
    <row r="1" customFormat="false" ht="27.75" hidden="false" customHeight="true" outlineLevel="0" collapsed="false">
      <c r="A1" s="1" t="s">
        <v>86</v>
      </c>
      <c r="B1" s="1"/>
      <c r="C1" s="1"/>
      <c r="D1" s="1"/>
      <c r="E1" s="1"/>
      <c r="F1" s="1"/>
      <c r="G1" s="1"/>
    </row>
    <row r="2" customFormat="false" ht="13.5" hidden="false" customHeight="true" outlineLevel="0" collapsed="false">
      <c r="A2" s="2" t="s">
        <v>87</v>
      </c>
      <c r="B2" s="2"/>
      <c r="C2" s="2"/>
      <c r="D2" s="2"/>
      <c r="E2" s="2"/>
      <c r="F2" s="2"/>
      <c r="G2" s="2"/>
    </row>
    <row r="3" customFormat="false" ht="9.75" hidden="false" customHeight="true" outlineLevel="0" collapsed="false"/>
    <row r="4" customFormat="false" ht="25.5" hidden="false" customHeight="true" outlineLevel="0" collapsed="false">
      <c r="B4" s="33" t="s">
        <v>88</v>
      </c>
      <c r="C4" s="34" t="s">
        <v>89</v>
      </c>
      <c r="D4" s="35" t="s">
        <v>90</v>
      </c>
      <c r="E4" s="36" t="s">
        <v>91</v>
      </c>
    </row>
    <row r="5" customFormat="false" ht="31.5" hidden="false" customHeight="true" outlineLevel="0" collapsed="false">
      <c r="B5" s="37" t="n">
        <f aca="false">COUNTA(Cadastro!A5:A54)</f>
        <v>5</v>
      </c>
      <c r="C5" s="38" t="str">
        <f aca="false">'Saldo Atual'!L54</f>
        <v/>
      </c>
      <c r="D5" s="37" t="n">
        <f aca="false">COUNTIF('Saldo Atual'!N5:N53,"⚠️ Estoque baixo")</f>
        <v>0</v>
      </c>
      <c r="E5" s="37" t="n">
        <f aca="false">COUNTIF('Saldo Atual'!N5:N53,"⛔ Sem estoque")</f>
        <v>0</v>
      </c>
    </row>
    <row r="6" customFormat="false" ht="12" hidden="false" customHeight="true" outlineLevel="0" collapsed="false"/>
    <row r="7" customFormat="false" ht="21.75" hidden="false" customHeight="true" outlineLevel="0" collapsed="false">
      <c r="A7" s="39"/>
      <c r="B7" s="40" t="s">
        <v>92</v>
      </c>
      <c r="C7" s="40"/>
      <c r="D7" s="40"/>
      <c r="E7" s="40"/>
      <c r="F7" s="40"/>
      <c r="G7" s="40"/>
    </row>
    <row r="8" customFormat="false" ht="19.5" hidden="false" customHeight="true" outlineLevel="0" collapsed="false">
      <c r="B8" s="3" t="s">
        <v>2</v>
      </c>
      <c r="C8" s="3" t="s">
        <v>76</v>
      </c>
      <c r="D8" s="3" t="s">
        <v>80</v>
      </c>
      <c r="E8" s="3" t="s">
        <v>8</v>
      </c>
      <c r="F8" s="3" t="s">
        <v>93</v>
      </c>
      <c r="G8" s="3" t="s">
        <v>84</v>
      </c>
    </row>
    <row r="9" customFormat="false" ht="18" hidden="false" customHeight="true" outlineLevel="0" collapsed="false">
      <c r="A9" s="41"/>
      <c r="B9" s="15" t="str">
        <f aca="false">IF('Saldo Atual'!N5="✅ OK","",'Saldo Atual'!A5)</f>
        <v/>
      </c>
      <c r="C9" s="5" t="str">
        <f aca="false">IF('Saldo Atual'!N5="✅ OK","",'Saldo Atual'!B5)</f>
        <v/>
      </c>
      <c r="D9" s="22" t="str">
        <f aca="false">IF('Saldo Atual'!N5="✅ OK","",'Saldo Atual'!H5)</f>
        <v/>
      </c>
      <c r="E9" s="22" t="str">
        <f aca="false">IF('Saldo Atual'!N5="✅ OK","",'Saldo Atual'!I5)</f>
        <v/>
      </c>
      <c r="F9" s="7" t="str">
        <f aca="false">IF('Saldo Atual'!N5="✅ OK","",'Saldo Atual'!K5)</f>
        <v/>
      </c>
      <c r="G9" s="15" t="str">
        <f aca="false">IF('Saldo Atual'!N5="✅ OK","",'Saldo Atual'!N5)</f>
        <v/>
      </c>
    </row>
    <row r="10" customFormat="false" ht="18" hidden="false" customHeight="true" outlineLevel="0" collapsed="false">
      <c r="A10" s="41"/>
      <c r="B10" s="19" t="str">
        <f aca="false">IF('Saldo Atual'!N6="✅ OK","",'Saldo Atual'!A6)</f>
        <v/>
      </c>
      <c r="C10" s="9" t="str">
        <f aca="false">IF('Saldo Atual'!N6="✅ OK","",'Saldo Atual'!B6)</f>
        <v/>
      </c>
      <c r="D10" s="26" t="str">
        <f aca="false">IF('Saldo Atual'!N6="✅ OK","",'Saldo Atual'!H6)</f>
        <v/>
      </c>
      <c r="E10" s="26" t="str">
        <f aca="false">IF('Saldo Atual'!N6="✅ OK","",'Saldo Atual'!I6)</f>
        <v/>
      </c>
      <c r="F10" s="11" t="str">
        <f aca="false">IF('Saldo Atual'!N6="✅ OK","",'Saldo Atual'!K6)</f>
        <v/>
      </c>
      <c r="G10" s="19" t="str">
        <f aca="false">IF('Saldo Atual'!N6="✅ OK","",'Saldo Atual'!N6)</f>
        <v/>
      </c>
    </row>
    <row r="11" customFormat="false" ht="18" hidden="false" customHeight="true" outlineLevel="0" collapsed="false">
      <c r="A11" s="41"/>
      <c r="B11" s="15" t="str">
        <f aca="false">IF('Saldo Atual'!N7="✅ OK","",'Saldo Atual'!A7)</f>
        <v/>
      </c>
      <c r="C11" s="5" t="str">
        <f aca="false">IF('Saldo Atual'!N7="✅ OK","",'Saldo Atual'!B7)</f>
        <v/>
      </c>
      <c r="D11" s="22" t="str">
        <f aca="false">IF('Saldo Atual'!N7="✅ OK","",'Saldo Atual'!H7)</f>
        <v/>
      </c>
      <c r="E11" s="22" t="str">
        <f aca="false">IF('Saldo Atual'!N7="✅ OK","",'Saldo Atual'!I7)</f>
        <v/>
      </c>
      <c r="F11" s="7" t="str">
        <f aca="false">IF('Saldo Atual'!N7="✅ OK","",'Saldo Atual'!K7)</f>
        <v/>
      </c>
      <c r="G11" s="15" t="str">
        <f aca="false">IF('Saldo Atual'!N7="✅ OK","",'Saldo Atual'!N7)</f>
        <v/>
      </c>
    </row>
    <row r="12" customFormat="false" ht="18" hidden="false" customHeight="true" outlineLevel="0" collapsed="false">
      <c r="A12" s="41"/>
      <c r="B12" s="19" t="str">
        <f aca="false">IF('Saldo Atual'!N8="✅ OK","",'Saldo Atual'!A8)</f>
        <v/>
      </c>
      <c r="C12" s="9" t="str">
        <f aca="false">IF('Saldo Atual'!N8="✅ OK","",'Saldo Atual'!B8)</f>
        <v/>
      </c>
      <c r="D12" s="26" t="str">
        <f aca="false">IF('Saldo Atual'!N8="✅ OK","",'Saldo Atual'!H8)</f>
        <v/>
      </c>
      <c r="E12" s="26" t="str">
        <f aca="false">IF('Saldo Atual'!N8="✅ OK","",'Saldo Atual'!I8)</f>
        <v/>
      </c>
      <c r="F12" s="11" t="str">
        <f aca="false">IF('Saldo Atual'!N8="✅ OK","",'Saldo Atual'!K8)</f>
        <v/>
      </c>
      <c r="G12" s="19" t="str">
        <f aca="false">IF('Saldo Atual'!N8="✅ OK","",'Saldo Atual'!N8)</f>
        <v/>
      </c>
    </row>
    <row r="13" customFormat="false" ht="18" hidden="false" customHeight="true" outlineLevel="0" collapsed="false">
      <c r="A13" s="41"/>
      <c r="B13" s="15" t="str">
        <f aca="false">IF('Saldo Atual'!N9="✅ OK","",'Saldo Atual'!A9)</f>
        <v/>
      </c>
      <c r="C13" s="5" t="str">
        <f aca="false">IF('Saldo Atual'!N9="✅ OK","",'Saldo Atual'!B9)</f>
        <v/>
      </c>
      <c r="D13" s="22" t="str">
        <f aca="false">IF('Saldo Atual'!N9="✅ OK","",'Saldo Atual'!H9)</f>
        <v/>
      </c>
      <c r="E13" s="22" t="str">
        <f aca="false">IF('Saldo Atual'!N9="✅ OK","",'Saldo Atual'!I9)</f>
        <v/>
      </c>
      <c r="F13" s="7" t="str">
        <f aca="false">IF('Saldo Atual'!N9="✅ OK","",'Saldo Atual'!K9)</f>
        <v/>
      </c>
      <c r="G13" s="15" t="str">
        <f aca="false">IF('Saldo Atual'!N9="✅ OK","",'Saldo Atual'!N9)</f>
        <v/>
      </c>
    </row>
    <row r="14" customFormat="false" ht="18" hidden="false" customHeight="true" outlineLevel="0" collapsed="false">
      <c r="A14" s="41"/>
      <c r="B14" s="19" t="str">
        <f aca="false">IF('Saldo Atual'!N10="✅ OK","",'Saldo Atual'!A10)</f>
        <v/>
      </c>
      <c r="C14" s="9" t="str">
        <f aca="false">IF('Saldo Atual'!N10="✅ OK","",'Saldo Atual'!B10)</f>
        <v/>
      </c>
      <c r="D14" s="26" t="str">
        <f aca="false">IF('Saldo Atual'!N10="✅ OK","",'Saldo Atual'!H10)</f>
        <v/>
      </c>
      <c r="E14" s="26" t="n">
        <f aca="false">IF('Saldo Atual'!N10="✅ OK","",'Saldo Atual'!I10)</f>
        <v>0</v>
      </c>
      <c r="F14" s="11" t="str">
        <f aca="false">IF('Saldo Atual'!N10="✅ OK","",'Saldo Atual'!K10)</f>
        <v/>
      </c>
      <c r="G14" s="19" t="str">
        <f aca="false">IF('Saldo Atual'!N10="✅ OK","",'Saldo Atual'!N10)</f>
        <v/>
      </c>
    </row>
    <row r="15" customFormat="false" ht="18" hidden="false" customHeight="true" outlineLevel="0" collapsed="false">
      <c r="A15" s="41"/>
      <c r="B15" s="15" t="str">
        <f aca="false">IF('Saldo Atual'!N11="✅ OK","",'Saldo Atual'!A11)</f>
        <v/>
      </c>
      <c r="C15" s="5" t="str">
        <f aca="false">IF('Saldo Atual'!N11="✅ OK","",'Saldo Atual'!B11)</f>
        <v/>
      </c>
      <c r="D15" s="22" t="str">
        <f aca="false">IF('Saldo Atual'!N11="✅ OK","",'Saldo Atual'!H11)</f>
        <v/>
      </c>
      <c r="E15" s="22" t="n">
        <f aca="false">IF('Saldo Atual'!N11="✅ OK","",'Saldo Atual'!I11)</f>
        <v>0</v>
      </c>
      <c r="F15" s="7" t="str">
        <f aca="false">IF('Saldo Atual'!N11="✅ OK","",'Saldo Atual'!K11)</f>
        <v/>
      </c>
      <c r="G15" s="15" t="str">
        <f aca="false">IF('Saldo Atual'!N11="✅ OK","",'Saldo Atual'!N11)</f>
        <v/>
      </c>
    </row>
    <row r="16" customFormat="false" ht="18" hidden="false" customHeight="true" outlineLevel="0" collapsed="false">
      <c r="A16" s="41"/>
      <c r="B16" s="19" t="str">
        <f aca="false">IF('Saldo Atual'!N12="✅ OK","",'Saldo Atual'!A12)</f>
        <v/>
      </c>
      <c r="C16" s="9" t="str">
        <f aca="false">IF('Saldo Atual'!N12="✅ OK","",'Saldo Atual'!B12)</f>
        <v/>
      </c>
      <c r="D16" s="26" t="str">
        <f aca="false">IF('Saldo Atual'!N12="✅ OK","",'Saldo Atual'!H12)</f>
        <v/>
      </c>
      <c r="E16" s="26" t="n">
        <f aca="false">IF('Saldo Atual'!N12="✅ OK","",'Saldo Atual'!I12)</f>
        <v>0</v>
      </c>
      <c r="F16" s="11" t="str">
        <f aca="false">IF('Saldo Atual'!N12="✅ OK","",'Saldo Atual'!K12)</f>
        <v/>
      </c>
      <c r="G16" s="19" t="str">
        <f aca="false">IF('Saldo Atual'!N12="✅ OK","",'Saldo Atual'!N12)</f>
        <v/>
      </c>
    </row>
    <row r="17" customFormat="false" ht="18" hidden="false" customHeight="true" outlineLevel="0" collapsed="false">
      <c r="A17" s="41"/>
      <c r="B17" s="15" t="str">
        <f aca="false">IF('Saldo Atual'!N13="✅ OK","",'Saldo Atual'!A13)</f>
        <v/>
      </c>
      <c r="C17" s="5" t="str">
        <f aca="false">IF('Saldo Atual'!N13="✅ OK","",'Saldo Atual'!B13)</f>
        <v/>
      </c>
      <c r="D17" s="22" t="str">
        <f aca="false">IF('Saldo Atual'!N13="✅ OK","",'Saldo Atual'!H13)</f>
        <v/>
      </c>
      <c r="E17" s="22" t="n">
        <f aca="false">IF('Saldo Atual'!N13="✅ OK","",'Saldo Atual'!I13)</f>
        <v>0</v>
      </c>
      <c r="F17" s="7" t="str">
        <f aca="false">IF('Saldo Atual'!N13="✅ OK","",'Saldo Atual'!K13)</f>
        <v/>
      </c>
      <c r="G17" s="15" t="str">
        <f aca="false">IF('Saldo Atual'!N13="✅ OK","",'Saldo Atual'!N13)</f>
        <v/>
      </c>
    </row>
    <row r="18" customFormat="false" ht="18" hidden="false" customHeight="true" outlineLevel="0" collapsed="false">
      <c r="A18" s="41"/>
      <c r="B18" s="19" t="str">
        <f aca="false">IF('Saldo Atual'!N14="✅ OK","",'Saldo Atual'!A14)</f>
        <v/>
      </c>
      <c r="C18" s="9" t="str">
        <f aca="false">IF('Saldo Atual'!N14="✅ OK","",'Saldo Atual'!B14)</f>
        <v/>
      </c>
      <c r="D18" s="26" t="str">
        <f aca="false">IF('Saldo Atual'!N14="✅ OK","",'Saldo Atual'!H14)</f>
        <v/>
      </c>
      <c r="E18" s="26" t="n">
        <f aca="false">IF('Saldo Atual'!N14="✅ OK","",'Saldo Atual'!I14)</f>
        <v>0</v>
      </c>
      <c r="F18" s="11" t="str">
        <f aca="false">IF('Saldo Atual'!N14="✅ OK","",'Saldo Atual'!K14)</f>
        <v/>
      </c>
      <c r="G18" s="19" t="str">
        <f aca="false">IF('Saldo Atual'!N14="✅ OK","",'Saldo Atual'!N14)</f>
        <v/>
      </c>
    </row>
    <row r="19" customFormat="false" ht="18" hidden="false" customHeight="true" outlineLevel="0" collapsed="false">
      <c r="A19" s="41"/>
      <c r="B19" s="15" t="str">
        <f aca="false">IF('Saldo Atual'!N15="✅ OK","",'Saldo Atual'!A15)</f>
        <v/>
      </c>
      <c r="C19" s="5" t="str">
        <f aca="false">IF('Saldo Atual'!N15="✅ OK","",'Saldo Atual'!B15)</f>
        <v/>
      </c>
      <c r="D19" s="22" t="str">
        <f aca="false">IF('Saldo Atual'!N15="✅ OK","",'Saldo Atual'!H15)</f>
        <v/>
      </c>
      <c r="E19" s="22" t="n">
        <f aca="false">IF('Saldo Atual'!N15="✅ OK","",'Saldo Atual'!I15)</f>
        <v>0</v>
      </c>
      <c r="F19" s="7" t="str">
        <f aca="false">IF('Saldo Atual'!N15="✅ OK","",'Saldo Atual'!K15)</f>
        <v/>
      </c>
      <c r="G19" s="15" t="str">
        <f aca="false">IF('Saldo Atual'!N15="✅ OK","",'Saldo Atual'!N15)</f>
        <v/>
      </c>
    </row>
    <row r="20" customFormat="false" ht="18" hidden="false" customHeight="true" outlineLevel="0" collapsed="false">
      <c r="A20" s="41"/>
      <c r="B20" s="19" t="str">
        <f aca="false">IF('Saldo Atual'!N16="✅ OK","",'Saldo Atual'!A16)</f>
        <v/>
      </c>
      <c r="C20" s="9" t="str">
        <f aca="false">IF('Saldo Atual'!N16="✅ OK","",'Saldo Atual'!B16)</f>
        <v/>
      </c>
      <c r="D20" s="26" t="str">
        <f aca="false">IF('Saldo Atual'!N16="✅ OK","",'Saldo Atual'!H16)</f>
        <v/>
      </c>
      <c r="E20" s="26" t="n">
        <f aca="false">IF('Saldo Atual'!N16="✅ OK","",'Saldo Atual'!I16)</f>
        <v>0</v>
      </c>
      <c r="F20" s="11" t="str">
        <f aca="false">IF('Saldo Atual'!N16="✅ OK","",'Saldo Atual'!K16)</f>
        <v/>
      </c>
      <c r="G20" s="19" t="str">
        <f aca="false">IF('Saldo Atual'!N16="✅ OK","",'Saldo Atual'!N16)</f>
        <v/>
      </c>
    </row>
    <row r="21" customFormat="false" ht="18" hidden="false" customHeight="true" outlineLevel="0" collapsed="false">
      <c r="A21" s="41"/>
      <c r="B21" s="15" t="str">
        <f aca="false">IF('Saldo Atual'!N17="✅ OK","",'Saldo Atual'!A17)</f>
        <v/>
      </c>
      <c r="C21" s="5" t="str">
        <f aca="false">IF('Saldo Atual'!N17="✅ OK","",'Saldo Atual'!B17)</f>
        <v/>
      </c>
      <c r="D21" s="22" t="str">
        <f aca="false">IF('Saldo Atual'!N17="✅ OK","",'Saldo Atual'!H17)</f>
        <v/>
      </c>
      <c r="E21" s="22" t="n">
        <f aca="false">IF('Saldo Atual'!N17="✅ OK","",'Saldo Atual'!I17)</f>
        <v>0</v>
      </c>
      <c r="F21" s="7" t="str">
        <f aca="false">IF('Saldo Atual'!N17="✅ OK","",'Saldo Atual'!K17)</f>
        <v/>
      </c>
      <c r="G21" s="15" t="str">
        <f aca="false">IF('Saldo Atual'!N17="✅ OK","",'Saldo Atual'!N17)</f>
        <v/>
      </c>
    </row>
    <row r="22" customFormat="false" ht="18" hidden="false" customHeight="true" outlineLevel="0" collapsed="false">
      <c r="A22" s="41"/>
      <c r="B22" s="19" t="str">
        <f aca="false">IF('Saldo Atual'!N18="✅ OK","",'Saldo Atual'!A18)</f>
        <v/>
      </c>
      <c r="C22" s="9" t="str">
        <f aca="false">IF('Saldo Atual'!N18="✅ OK","",'Saldo Atual'!B18)</f>
        <v/>
      </c>
      <c r="D22" s="26" t="str">
        <f aca="false">IF('Saldo Atual'!N18="✅ OK","",'Saldo Atual'!H18)</f>
        <v/>
      </c>
      <c r="E22" s="26" t="n">
        <f aca="false">IF('Saldo Atual'!N18="✅ OK","",'Saldo Atual'!I18)</f>
        <v>0</v>
      </c>
      <c r="F22" s="11" t="str">
        <f aca="false">IF('Saldo Atual'!N18="✅ OK","",'Saldo Atual'!K18)</f>
        <v/>
      </c>
      <c r="G22" s="19" t="str">
        <f aca="false">IF('Saldo Atual'!N18="✅ OK","",'Saldo Atual'!N18)</f>
        <v/>
      </c>
    </row>
    <row r="23" customFormat="false" ht="18" hidden="false" customHeight="true" outlineLevel="0" collapsed="false">
      <c r="A23" s="41"/>
      <c r="B23" s="15" t="str">
        <f aca="false">IF('Saldo Atual'!N19="✅ OK","",'Saldo Atual'!A19)</f>
        <v/>
      </c>
      <c r="C23" s="5" t="str">
        <f aca="false">IF('Saldo Atual'!N19="✅ OK","",'Saldo Atual'!B19)</f>
        <v/>
      </c>
      <c r="D23" s="22" t="str">
        <f aca="false">IF('Saldo Atual'!N19="✅ OK","",'Saldo Atual'!H19)</f>
        <v/>
      </c>
      <c r="E23" s="22" t="n">
        <f aca="false">IF('Saldo Atual'!N19="✅ OK","",'Saldo Atual'!I19)</f>
        <v>0</v>
      </c>
      <c r="F23" s="7" t="str">
        <f aca="false">IF('Saldo Atual'!N19="✅ OK","",'Saldo Atual'!K19)</f>
        <v/>
      </c>
      <c r="G23" s="15" t="str">
        <f aca="false">IF('Saldo Atual'!N19="✅ OK","",'Saldo Atual'!N19)</f>
        <v/>
      </c>
    </row>
    <row r="25" customFormat="false" ht="27.75" hidden="false" customHeight="true" outlineLevel="0" collapsed="false">
      <c r="A25" s="12" t="s">
        <v>94</v>
      </c>
      <c r="B25" s="12"/>
      <c r="C25" s="12"/>
      <c r="D25" s="12"/>
      <c r="E25" s="12"/>
      <c r="F25" s="12"/>
      <c r="G25" s="12"/>
    </row>
  </sheetData>
  <mergeCells count="4">
    <mergeCell ref="A1:G1"/>
    <mergeCell ref="A2:G2"/>
    <mergeCell ref="B7:G7"/>
    <mergeCell ref="A25:G25"/>
  </mergeCells>
  <conditionalFormatting sqref="G9:G23">
    <cfRule type="expression" priority="2" aboveAverage="0" equalAverage="0" bottom="0" percent="0" rank="0" text="" dxfId="5">
      <formula>$G9="⚠️ Estoque baixo"</formula>
    </cfRule>
    <cfRule type="expression" priority="3" aboveAverage="0" equalAverage="0" bottom="0" percent="0" rank="0" text="" dxfId="6">
      <formula>$G9="⛔ Sem estoque"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4" min="3" style="0" width="18"/>
    <col collapsed="false" customWidth="true" hidden="false" outlineLevel="0" max="6" min="5" style="0" width="20"/>
    <col collapsed="false" customWidth="true" hidden="false" outlineLevel="0" max="7" min="7" style="0" width="3"/>
  </cols>
  <sheetData>
    <row r="1" customFormat="false" ht="27.75" hidden="false" customHeight="true" outlineLevel="0" collapsed="false">
      <c r="A1" s="1" t="s">
        <v>95</v>
      </c>
      <c r="B1" s="1"/>
      <c r="C1" s="1"/>
      <c r="D1" s="1"/>
      <c r="E1" s="1"/>
      <c r="F1" s="1"/>
      <c r="G1" s="1"/>
    </row>
    <row r="2" customFormat="false" ht="13.5" hidden="false" customHeight="true" outlineLevel="0" collapsed="false">
      <c r="A2" s="2" t="s">
        <v>96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21.75" hidden="false" customHeight="true" outlineLevel="0" collapsed="false"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</row>
    <row r="5" customFormat="false" ht="18" hidden="false" customHeight="true" outlineLevel="0" collapsed="false">
      <c r="B5" s="42" t="s">
        <v>102</v>
      </c>
      <c r="C5" s="22" t="n">
        <f aca="false">SUMPRODUCT((MONTH(Movimentações!$A$5:$A$504)=1)*(YEAR(Movimentações!$A$5:$A$504)=2025)*(Movimentações!$D$5:$D$504="E")*(Movimentações!$E$5:$E$504))</f>
        <v>640</v>
      </c>
      <c r="D5" s="7" t="n">
        <f aca="false">SUMPRODUCT((MONTH(Movimentações!$A$5:$A$504)=1)*(YEAR(Movimentações!$A$5:$A$504)=2025)*(Movimentações!$D$5:$D$504="E")*(Movimentações!$E$5:$E$504)*(Movimentações!$F$5:$F$504))</f>
        <v>9470</v>
      </c>
      <c r="E5" s="22" t="n">
        <f aca="false">SUMPRODUCT((MONTH(Movimentações!$A$5:$A$504)=1)*(YEAR(Movimentações!$A$5:$A$504)=2025)*(Movimentações!$D$5:$D$504="S")*(Movimentações!$E$5:$E$504))</f>
        <v>136</v>
      </c>
      <c r="F5" s="7" t="n">
        <f aca="false">SUMPRODUCT((MONTH(Movimentações!$A$5:$A$504)=1)*(YEAR(Movimentações!$A$5:$A$504)=2025)*(Movimentações!$D$5:$D$504="S")*(Movimentações!$E$5:$E$504)*(Movimentações!$F$5:$F$504))</f>
        <v>0</v>
      </c>
    </row>
    <row r="6" customFormat="false" ht="18" hidden="false" customHeight="true" outlineLevel="0" collapsed="false">
      <c r="B6" s="43" t="s">
        <v>103</v>
      </c>
      <c r="C6" s="26" t="n">
        <f aca="false">SUMPRODUCT((MONTH(Movimentações!$A$5:$A$504)=2)*(YEAR(Movimentações!$A$5:$A$504)=2025)*(Movimentações!$D$5:$D$504="E")*(Movimentações!$E$5:$E$504))</f>
        <v>300</v>
      </c>
      <c r="D6" s="11" t="n">
        <f aca="false">SUMPRODUCT((MONTH(Movimentações!$A$5:$A$504)=2)*(YEAR(Movimentações!$A$5:$A$504)=2025)*(Movimentações!$D$5:$D$504="E")*(Movimentações!$E$5:$E$504)*(Movimentações!$F$5:$F$504))</f>
        <v>240</v>
      </c>
      <c r="E6" s="26" t="n">
        <f aca="false">SUMPRODUCT((MONTH(Movimentações!$A$5:$A$504)=2)*(YEAR(Movimentações!$A$5:$A$504)=2025)*(Movimentações!$D$5:$D$504="S")*(Movimentações!$E$5:$E$504))</f>
        <v>27</v>
      </c>
      <c r="F6" s="11" t="n">
        <f aca="false">SUMPRODUCT((MONTH(Movimentações!$A$5:$A$504)=2)*(YEAR(Movimentações!$A$5:$A$504)=2025)*(Movimentações!$D$5:$D$504="S")*(Movimentações!$E$5:$E$504)*(Movimentações!$F$5:$F$504))</f>
        <v>0</v>
      </c>
    </row>
    <row r="7" customFormat="false" ht="18" hidden="false" customHeight="true" outlineLevel="0" collapsed="false">
      <c r="B7" s="42" t="s">
        <v>104</v>
      </c>
      <c r="C7" s="22" t="n">
        <f aca="false">SUMPRODUCT((MONTH(Movimentações!$A$5:$A$504)=3)*(YEAR(Movimentações!$A$5:$A$504)=2025)*(Movimentações!$D$5:$D$504="E")*(Movimentações!$E$5:$E$504))</f>
        <v>0</v>
      </c>
      <c r="D7" s="7" t="n">
        <f aca="false">SUMPRODUCT((MONTH(Movimentações!$A$5:$A$504)=3)*(YEAR(Movimentações!$A$5:$A$504)=2025)*(Movimentações!$D$5:$D$504="E")*(Movimentações!$E$5:$E$504)*(Movimentações!$F$5:$F$504))</f>
        <v>0</v>
      </c>
      <c r="E7" s="22" t="n">
        <f aca="false">SUMPRODUCT((MONTH(Movimentações!$A$5:$A$504)=3)*(YEAR(Movimentações!$A$5:$A$504)=2025)*(Movimentações!$D$5:$D$504="S")*(Movimentações!$E$5:$E$504))</f>
        <v>0</v>
      </c>
      <c r="F7" s="7" t="n">
        <f aca="false">SUMPRODUCT((MONTH(Movimentações!$A$5:$A$504)=3)*(YEAR(Movimentações!$A$5:$A$504)=2025)*(Movimentações!$D$5:$D$504="S")*(Movimentações!$E$5:$E$504)*(Movimentações!$F$5:$F$504))</f>
        <v>0</v>
      </c>
    </row>
    <row r="8" customFormat="false" ht="18" hidden="false" customHeight="true" outlineLevel="0" collapsed="false">
      <c r="B8" s="43" t="s">
        <v>105</v>
      </c>
      <c r="C8" s="26" t="n">
        <f aca="false">SUMPRODUCT((MONTH(Movimentações!$A$5:$A$504)=4)*(YEAR(Movimentações!$A$5:$A$504)=2025)*(Movimentações!$D$5:$D$504="E")*(Movimentações!$E$5:$E$504))</f>
        <v>0</v>
      </c>
      <c r="D8" s="11" t="n">
        <f aca="false">SUMPRODUCT((MONTH(Movimentações!$A$5:$A$504)=4)*(YEAR(Movimentações!$A$5:$A$504)=2025)*(Movimentações!$D$5:$D$504="E")*(Movimentações!$E$5:$E$504)*(Movimentações!$F$5:$F$504))</f>
        <v>0</v>
      </c>
      <c r="E8" s="26" t="n">
        <f aca="false">SUMPRODUCT((MONTH(Movimentações!$A$5:$A$504)=4)*(YEAR(Movimentações!$A$5:$A$504)=2025)*(Movimentações!$D$5:$D$504="S")*(Movimentações!$E$5:$E$504))</f>
        <v>0</v>
      </c>
      <c r="F8" s="11" t="n">
        <f aca="false">SUMPRODUCT((MONTH(Movimentações!$A$5:$A$504)=4)*(YEAR(Movimentações!$A$5:$A$504)=2025)*(Movimentações!$D$5:$D$504="S")*(Movimentações!$E$5:$E$504)*(Movimentações!$F$5:$F$504))</f>
        <v>0</v>
      </c>
    </row>
    <row r="9" customFormat="false" ht="18" hidden="false" customHeight="true" outlineLevel="0" collapsed="false">
      <c r="B9" s="42" t="s">
        <v>106</v>
      </c>
      <c r="C9" s="22" t="n">
        <f aca="false">SUMPRODUCT((MONTH(Movimentações!$A$5:$A$504)=5)*(YEAR(Movimentações!$A$5:$A$504)=2025)*(Movimentações!$D$5:$D$504="E")*(Movimentações!$E$5:$E$504))</f>
        <v>0</v>
      </c>
      <c r="D9" s="7" t="n">
        <f aca="false">SUMPRODUCT((MONTH(Movimentações!$A$5:$A$504)=5)*(YEAR(Movimentações!$A$5:$A$504)=2025)*(Movimentações!$D$5:$D$504="E")*(Movimentações!$E$5:$E$504)*(Movimentações!$F$5:$F$504))</f>
        <v>0</v>
      </c>
      <c r="E9" s="22" t="n">
        <f aca="false">SUMPRODUCT((MONTH(Movimentações!$A$5:$A$504)=5)*(YEAR(Movimentações!$A$5:$A$504)=2025)*(Movimentações!$D$5:$D$504="S")*(Movimentações!$E$5:$E$504))</f>
        <v>0</v>
      </c>
      <c r="F9" s="7" t="n">
        <f aca="false">SUMPRODUCT((MONTH(Movimentações!$A$5:$A$504)=5)*(YEAR(Movimentações!$A$5:$A$504)=2025)*(Movimentações!$D$5:$D$504="S")*(Movimentações!$E$5:$E$504)*(Movimentações!$F$5:$F$504))</f>
        <v>0</v>
      </c>
    </row>
    <row r="10" customFormat="false" ht="18" hidden="false" customHeight="true" outlineLevel="0" collapsed="false">
      <c r="B10" s="43" t="s">
        <v>107</v>
      </c>
      <c r="C10" s="26" t="n">
        <f aca="false">SUMPRODUCT((MONTH(Movimentações!$A$5:$A$504)=6)*(YEAR(Movimentações!$A$5:$A$504)=2025)*(Movimentações!$D$5:$D$504="E")*(Movimentações!$E$5:$E$504))</f>
        <v>0</v>
      </c>
      <c r="D10" s="11" t="n">
        <f aca="false">SUMPRODUCT((MONTH(Movimentações!$A$5:$A$504)=6)*(YEAR(Movimentações!$A$5:$A$504)=2025)*(Movimentações!$D$5:$D$504="E")*(Movimentações!$E$5:$E$504)*(Movimentações!$F$5:$F$504))</f>
        <v>0</v>
      </c>
      <c r="E10" s="26" t="n">
        <f aca="false">SUMPRODUCT((MONTH(Movimentações!$A$5:$A$504)=6)*(YEAR(Movimentações!$A$5:$A$504)=2025)*(Movimentações!$D$5:$D$504="S")*(Movimentações!$E$5:$E$504))</f>
        <v>0</v>
      </c>
      <c r="F10" s="11" t="n">
        <f aca="false">SUMPRODUCT((MONTH(Movimentações!$A$5:$A$504)=6)*(YEAR(Movimentações!$A$5:$A$504)=2025)*(Movimentações!$D$5:$D$504="S")*(Movimentações!$E$5:$E$504)*(Movimentações!$F$5:$F$504))</f>
        <v>0</v>
      </c>
    </row>
    <row r="11" customFormat="false" ht="18" hidden="false" customHeight="true" outlineLevel="0" collapsed="false">
      <c r="B11" s="42" t="s">
        <v>108</v>
      </c>
      <c r="C11" s="22" t="n">
        <f aca="false">SUMPRODUCT((MONTH(Movimentações!$A$5:$A$504)=7)*(YEAR(Movimentações!$A$5:$A$504)=2025)*(Movimentações!$D$5:$D$504="E")*(Movimentações!$E$5:$E$504))</f>
        <v>0</v>
      </c>
      <c r="D11" s="7" t="n">
        <f aca="false">SUMPRODUCT((MONTH(Movimentações!$A$5:$A$504)=7)*(YEAR(Movimentações!$A$5:$A$504)=2025)*(Movimentações!$D$5:$D$504="E")*(Movimentações!$E$5:$E$504)*(Movimentações!$F$5:$F$504))</f>
        <v>0</v>
      </c>
      <c r="E11" s="22" t="n">
        <f aca="false">SUMPRODUCT((MONTH(Movimentações!$A$5:$A$504)=7)*(YEAR(Movimentações!$A$5:$A$504)=2025)*(Movimentações!$D$5:$D$504="S")*(Movimentações!$E$5:$E$504))</f>
        <v>0</v>
      </c>
      <c r="F11" s="7" t="n">
        <f aca="false">SUMPRODUCT((MONTH(Movimentações!$A$5:$A$504)=7)*(YEAR(Movimentações!$A$5:$A$504)=2025)*(Movimentações!$D$5:$D$504="S")*(Movimentações!$E$5:$E$504)*(Movimentações!$F$5:$F$504))</f>
        <v>0</v>
      </c>
    </row>
    <row r="12" customFormat="false" ht="18" hidden="false" customHeight="true" outlineLevel="0" collapsed="false">
      <c r="B12" s="43" t="s">
        <v>109</v>
      </c>
      <c r="C12" s="26" t="n">
        <f aca="false">SUMPRODUCT((MONTH(Movimentações!$A$5:$A$504)=8)*(YEAR(Movimentações!$A$5:$A$504)=2025)*(Movimentações!$D$5:$D$504="E")*(Movimentações!$E$5:$E$504))</f>
        <v>0</v>
      </c>
      <c r="D12" s="11" t="n">
        <f aca="false">SUMPRODUCT((MONTH(Movimentações!$A$5:$A$504)=8)*(YEAR(Movimentações!$A$5:$A$504)=2025)*(Movimentações!$D$5:$D$504="E")*(Movimentações!$E$5:$E$504)*(Movimentações!$F$5:$F$504))</f>
        <v>0</v>
      </c>
      <c r="E12" s="26" t="n">
        <f aca="false">SUMPRODUCT((MONTH(Movimentações!$A$5:$A$504)=8)*(YEAR(Movimentações!$A$5:$A$504)=2025)*(Movimentações!$D$5:$D$504="S")*(Movimentações!$E$5:$E$504))</f>
        <v>0</v>
      </c>
      <c r="F12" s="11" t="n">
        <f aca="false">SUMPRODUCT((MONTH(Movimentações!$A$5:$A$504)=8)*(YEAR(Movimentações!$A$5:$A$504)=2025)*(Movimentações!$D$5:$D$504="S")*(Movimentações!$E$5:$E$504)*(Movimentações!$F$5:$F$504))</f>
        <v>0</v>
      </c>
    </row>
    <row r="13" customFormat="false" ht="18" hidden="false" customHeight="true" outlineLevel="0" collapsed="false">
      <c r="B13" s="42" t="s">
        <v>110</v>
      </c>
      <c r="C13" s="22" t="n">
        <f aca="false">SUMPRODUCT((MONTH(Movimentações!$A$5:$A$504)=9)*(YEAR(Movimentações!$A$5:$A$504)=2025)*(Movimentações!$D$5:$D$504="E")*(Movimentações!$E$5:$E$504))</f>
        <v>0</v>
      </c>
      <c r="D13" s="7" t="n">
        <f aca="false">SUMPRODUCT((MONTH(Movimentações!$A$5:$A$504)=9)*(YEAR(Movimentações!$A$5:$A$504)=2025)*(Movimentações!$D$5:$D$504="E")*(Movimentações!$E$5:$E$504)*(Movimentações!$F$5:$F$504))</f>
        <v>0</v>
      </c>
      <c r="E13" s="22" t="n">
        <f aca="false">SUMPRODUCT((MONTH(Movimentações!$A$5:$A$504)=9)*(YEAR(Movimentações!$A$5:$A$504)=2025)*(Movimentações!$D$5:$D$504="S")*(Movimentações!$E$5:$E$504))</f>
        <v>0</v>
      </c>
      <c r="F13" s="7" t="n">
        <f aca="false">SUMPRODUCT((MONTH(Movimentações!$A$5:$A$504)=9)*(YEAR(Movimentações!$A$5:$A$504)=2025)*(Movimentações!$D$5:$D$504="S")*(Movimentações!$E$5:$E$504)*(Movimentações!$F$5:$F$504))</f>
        <v>0</v>
      </c>
    </row>
    <row r="14" customFormat="false" ht="18" hidden="false" customHeight="true" outlineLevel="0" collapsed="false">
      <c r="B14" s="43" t="s">
        <v>111</v>
      </c>
      <c r="C14" s="26" t="n">
        <f aca="false">SUMPRODUCT((MONTH(Movimentações!$A$5:$A$504)=10)*(YEAR(Movimentações!$A$5:$A$504)=2025)*(Movimentações!$D$5:$D$504="E")*(Movimentações!$E$5:$E$504))</f>
        <v>0</v>
      </c>
      <c r="D14" s="11" t="n">
        <f aca="false">SUMPRODUCT((MONTH(Movimentações!$A$5:$A$504)=10)*(YEAR(Movimentações!$A$5:$A$504)=2025)*(Movimentações!$D$5:$D$504="E")*(Movimentações!$E$5:$E$504)*(Movimentações!$F$5:$F$504))</f>
        <v>0</v>
      </c>
      <c r="E14" s="26" t="n">
        <f aca="false">SUMPRODUCT((MONTH(Movimentações!$A$5:$A$504)=10)*(YEAR(Movimentações!$A$5:$A$504)=2025)*(Movimentações!$D$5:$D$504="S")*(Movimentações!$E$5:$E$504))</f>
        <v>0</v>
      </c>
      <c r="F14" s="11" t="n">
        <f aca="false">SUMPRODUCT((MONTH(Movimentações!$A$5:$A$504)=10)*(YEAR(Movimentações!$A$5:$A$504)=2025)*(Movimentações!$D$5:$D$504="S")*(Movimentações!$E$5:$E$504)*(Movimentações!$F$5:$F$504))</f>
        <v>0</v>
      </c>
    </row>
    <row r="15" customFormat="false" ht="18" hidden="false" customHeight="true" outlineLevel="0" collapsed="false">
      <c r="B15" s="42" t="s">
        <v>112</v>
      </c>
      <c r="C15" s="22" t="n">
        <f aca="false">SUMPRODUCT((MONTH(Movimentações!$A$5:$A$504)=11)*(YEAR(Movimentações!$A$5:$A$504)=2025)*(Movimentações!$D$5:$D$504="E")*(Movimentações!$E$5:$E$504))</f>
        <v>0</v>
      </c>
      <c r="D15" s="7" t="n">
        <f aca="false">SUMPRODUCT((MONTH(Movimentações!$A$5:$A$504)=11)*(YEAR(Movimentações!$A$5:$A$504)=2025)*(Movimentações!$D$5:$D$504="E")*(Movimentações!$E$5:$E$504)*(Movimentações!$F$5:$F$504))</f>
        <v>0</v>
      </c>
      <c r="E15" s="22" t="n">
        <f aca="false">SUMPRODUCT((MONTH(Movimentações!$A$5:$A$504)=11)*(YEAR(Movimentações!$A$5:$A$504)=2025)*(Movimentações!$D$5:$D$504="S")*(Movimentações!$E$5:$E$504))</f>
        <v>0</v>
      </c>
      <c r="F15" s="7" t="n">
        <f aca="false">SUMPRODUCT((MONTH(Movimentações!$A$5:$A$504)=11)*(YEAR(Movimentações!$A$5:$A$504)=2025)*(Movimentações!$D$5:$D$504="S")*(Movimentações!$E$5:$E$504)*(Movimentações!$F$5:$F$504))</f>
        <v>0</v>
      </c>
    </row>
    <row r="16" customFormat="false" ht="18" hidden="false" customHeight="true" outlineLevel="0" collapsed="false">
      <c r="B16" s="43" t="s">
        <v>113</v>
      </c>
      <c r="C16" s="26" t="n">
        <f aca="false">SUMPRODUCT((MONTH(Movimentações!$A$5:$A$504)=12)*(YEAR(Movimentações!$A$5:$A$504)=2025)*(Movimentações!$D$5:$D$504="E")*(Movimentações!$E$5:$E$504))</f>
        <v>0</v>
      </c>
      <c r="D16" s="11" t="n">
        <f aca="false">SUMPRODUCT((MONTH(Movimentações!$A$5:$A$504)=12)*(YEAR(Movimentações!$A$5:$A$504)=2025)*(Movimentações!$D$5:$D$504="E")*(Movimentações!$E$5:$E$504)*(Movimentações!$F$5:$F$504))</f>
        <v>0</v>
      </c>
      <c r="E16" s="26" t="n">
        <f aca="false">SUMPRODUCT((MONTH(Movimentações!$A$5:$A$504)=12)*(YEAR(Movimentações!$A$5:$A$504)=2025)*(Movimentações!$D$5:$D$504="S")*(Movimentações!$E$5:$E$504))</f>
        <v>0</v>
      </c>
      <c r="F16" s="11" t="n">
        <f aca="false">SUMPRODUCT((MONTH(Movimentações!$A$5:$A$504)=12)*(YEAR(Movimentações!$A$5:$A$504)=2025)*(Movimentações!$D$5:$D$504="S")*(Movimentações!$E$5:$E$504)*(Movimentações!$F$5:$F$504))</f>
        <v>0</v>
      </c>
    </row>
    <row r="17" customFormat="false" ht="15" hidden="false" customHeight="false" outlineLevel="0" collapsed="false">
      <c r="B17" s="44" t="s">
        <v>114</v>
      </c>
      <c r="C17" s="45" t="n">
        <f aca="false">SUM(C5:C16)</f>
        <v>940</v>
      </c>
      <c r="D17" s="46" t="n">
        <f aca="false">SUM(D5:D16)</f>
        <v>9710</v>
      </c>
      <c r="E17" s="45" t="n">
        <f aca="false">SUM(E5:E16)</f>
        <v>163</v>
      </c>
      <c r="F17" s="46" t="n">
        <f aca="false">SUM(F5:F16)</f>
        <v>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62"/>
    <col collapsed="false" customWidth="true" hidden="false" outlineLevel="0" max="4" min="4" style="0" width="3"/>
  </cols>
  <sheetData>
    <row r="1" customFormat="false" ht="27.75" hidden="false" customHeight="true" outlineLevel="0" collapsed="false">
      <c r="A1" s="1" t="s">
        <v>115</v>
      </c>
      <c r="B1" s="1"/>
      <c r="C1" s="1"/>
      <c r="D1" s="1"/>
    </row>
    <row r="2" customFormat="false" ht="13.5" hidden="false" customHeight="true" outlineLevel="0" collapsed="false">
      <c r="A2" s="2" t="s">
        <v>116</v>
      </c>
      <c r="B2" s="2"/>
      <c r="C2" s="2"/>
      <c r="D2" s="2"/>
    </row>
    <row r="3" customFormat="false" ht="6" hidden="false" customHeight="true" outlineLevel="0" collapsed="false"/>
    <row r="4" customFormat="false" ht="7.5" hidden="false" customHeight="true" outlineLevel="0" collapsed="false"/>
    <row r="5" customFormat="false" ht="19.5" hidden="false" customHeight="true" outlineLevel="0" collapsed="false">
      <c r="B5" s="3" t="s">
        <v>117</v>
      </c>
      <c r="C5" s="3" t="s">
        <v>118</v>
      </c>
    </row>
    <row r="6" customFormat="false" ht="51.75" hidden="false" customHeight="true" outlineLevel="0" collapsed="false">
      <c r="B6" s="47" t="s">
        <v>119</v>
      </c>
      <c r="C6" s="48" t="s">
        <v>120</v>
      </c>
    </row>
    <row r="7" customFormat="false" ht="51.75" hidden="false" customHeight="true" outlineLevel="0" collapsed="false">
      <c r="B7" s="49" t="s">
        <v>121</v>
      </c>
      <c r="C7" s="50" t="s">
        <v>122</v>
      </c>
    </row>
    <row r="8" customFormat="false" ht="51.75" hidden="false" customHeight="true" outlineLevel="0" collapsed="false">
      <c r="B8" s="47" t="s">
        <v>123</v>
      </c>
      <c r="C8" s="48" t="s">
        <v>124</v>
      </c>
    </row>
    <row r="9" customFormat="false" ht="51.75" hidden="false" customHeight="true" outlineLevel="0" collapsed="false">
      <c r="B9" s="49" t="s">
        <v>125</v>
      </c>
      <c r="C9" s="50" t="s">
        <v>126</v>
      </c>
    </row>
    <row r="10" customFormat="false" ht="51.75" hidden="false" customHeight="true" outlineLevel="0" collapsed="false">
      <c r="B10" s="47" t="s">
        <v>127</v>
      </c>
      <c r="C10" s="48" t="s">
        <v>128</v>
      </c>
    </row>
    <row r="11" customFormat="false" ht="51.75" hidden="false" customHeight="true" outlineLevel="0" collapsed="false">
      <c r="B11" s="49" t="s">
        <v>129</v>
      </c>
      <c r="C11" s="50" t="s">
        <v>130</v>
      </c>
    </row>
    <row r="12" customFormat="false" ht="51.75" hidden="false" customHeight="true" outlineLevel="0" collapsed="false">
      <c r="B12" s="47" t="s">
        <v>131</v>
      </c>
      <c r="C12" s="48" t="s">
        <v>132</v>
      </c>
    </row>
    <row r="13" customFormat="false" ht="51.75" hidden="false" customHeight="true" outlineLevel="0" collapsed="false">
      <c r="B13" s="49" t="s">
        <v>133</v>
      </c>
      <c r="C13" s="50" t="s">
        <v>134</v>
      </c>
    </row>
    <row r="14" customFormat="false" ht="51.75" hidden="false" customHeight="true" outlineLevel="0" collapsed="false">
      <c r="B14" s="47" t="s">
        <v>135</v>
      </c>
      <c r="C14" s="48" t="s">
        <v>136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2026-06-19T18:53:16Z</dcterms:created>
  <dc:creator>openpyxl</dc:creator>
  <dc:description/>
  <dc:language>en-US</dc:language>
  <cp:lastModifiedBy/>
  <dcterms:modified xsi:type="dcterms:W3CDTF">2026-06-19T18:53:25Z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