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EstaPastaDeTrabalho"/>
  <mc:AlternateContent xmlns:mc="http://schemas.openxmlformats.org/markup-compatibility/2006">
    <mc:Choice Requires="x15">
      <x15ac:absPath xmlns:x15ac="http://schemas.microsoft.com/office/spreadsheetml/2010/11/ac" url="https://awahl-my.sharepoint.com/personal/fburckas_awahl_com_br/Documents/Awahl/Modelos/"/>
    </mc:Choice>
  </mc:AlternateContent>
  <xr:revisionPtr revIDLastSave="0" documentId="8_{F2BE20F5-3947-4B46-AF53-3D1D5FFBDC60}" xr6:coauthVersionLast="47" xr6:coauthVersionMax="47" xr10:uidLastSave="{00000000-0000-0000-0000-000000000000}"/>
  <bookViews>
    <workbookView xWindow="-28920" yWindow="-1425" windowWidth="29040" windowHeight="15720" xr2:uid="{3D232037-CD79-4236-87AE-6E630DEADB52}"/>
  </bookViews>
  <sheets>
    <sheet name="Disclaimer" sheetId="5" r:id="rId1"/>
    <sheet name="Autor" sheetId="6" r:id="rId2"/>
    <sheet name="Cálculo" sheetId="2" r:id="rId3"/>
    <sheet name="IRPF 2026" sheetId="4" r:id="rId4"/>
    <sheet name="Apoio - Tributação Locação" sheetId="1" r:id="rId5"/>
  </sheets>
  <definedNames>
    <definedName name="Comercial">'Apoio - Tributação Locação'!$C$28:$C$29</definedName>
    <definedName name="Residencial">'Apoio - Tributação Locação'!$B$28:$B$29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 l="1"/>
  <c r="E37" i="2"/>
  <c r="B49" i="4"/>
  <c r="B48" i="4"/>
  <c r="D16" i="4"/>
  <c r="D15" i="4"/>
  <c r="D14" i="4"/>
  <c r="D13" i="4"/>
  <c r="C8" i="4" s="1"/>
  <c r="D33" i="2"/>
  <c r="C33" i="2"/>
  <c r="C6" i="4" s="1"/>
  <c r="K27" i="2"/>
  <c r="L27" i="2" s="1"/>
  <c r="K26" i="2"/>
  <c r="L26" i="2" s="1"/>
  <c r="K25" i="2"/>
  <c r="L25" i="2" s="1"/>
  <c r="K24" i="2"/>
  <c r="L24" i="2" s="1"/>
  <c r="K23" i="2"/>
  <c r="L23" i="2" s="1"/>
  <c r="K22" i="2"/>
  <c r="L22" i="2" s="1"/>
  <c r="K21" i="2"/>
  <c r="L21" i="2" s="1"/>
  <c r="K20" i="2"/>
  <c r="L20" i="2" s="1"/>
  <c r="K19" i="2"/>
  <c r="L19" i="2" s="1"/>
  <c r="K18" i="2"/>
  <c r="L18" i="2" s="1"/>
  <c r="K17" i="2"/>
  <c r="L17" i="2" s="1"/>
  <c r="K16" i="2"/>
  <c r="L16" i="2" s="1"/>
  <c r="K15" i="2"/>
  <c r="L15" i="2" s="1"/>
  <c r="K14" i="2"/>
  <c r="L14" i="2" s="1"/>
  <c r="K13" i="2"/>
  <c r="L13" i="2" s="1"/>
  <c r="K12" i="2"/>
  <c r="L12" i="2" s="1"/>
  <c r="K11" i="2"/>
  <c r="L11" i="2" s="1"/>
  <c r="K10" i="2"/>
  <c r="L10" i="2" s="1"/>
  <c r="K9" i="2"/>
  <c r="L9" i="2" s="1"/>
  <c r="K8" i="2"/>
  <c r="L8" i="2" s="1"/>
  <c r="C3" i="2"/>
  <c r="C2" i="2"/>
  <c r="H17" i="1"/>
  <c r="H16" i="1"/>
  <c r="H14" i="1"/>
  <c r="E6" i="1"/>
  <c r="E33" i="2" l="1"/>
  <c r="F34" i="4"/>
  <c r="D23" i="4" s="1"/>
  <c r="D28" i="4"/>
  <c r="C48" i="4" s="1"/>
  <c r="F35" i="4"/>
  <c r="C9" i="4"/>
  <c r="C4" i="2"/>
  <c r="H27" i="2" s="1"/>
  <c r="I27" i="2" s="1"/>
  <c r="J27" i="2" s="1"/>
  <c r="D21" i="4" l="1"/>
  <c r="D20" i="4"/>
  <c r="H23" i="2"/>
  <c r="I23" i="2" s="1"/>
  <c r="J23" i="2" s="1"/>
  <c r="H8" i="2"/>
  <c r="I8" i="2" s="1"/>
  <c r="J8" i="2" s="1"/>
  <c r="H26" i="2"/>
  <c r="I26" i="2" s="1"/>
  <c r="J26" i="2" s="1"/>
  <c r="H9" i="2"/>
  <c r="I9" i="2" s="1"/>
  <c r="J9" i="2" s="1"/>
  <c r="H13" i="2"/>
  <c r="I13" i="2" s="1"/>
  <c r="J13" i="2" s="1"/>
  <c r="M13" i="2" s="1"/>
  <c r="H20" i="2"/>
  <c r="I20" i="2" s="1"/>
  <c r="J20" i="2" s="1"/>
  <c r="H24" i="2"/>
  <c r="I24" i="2" s="1"/>
  <c r="J24" i="2" s="1"/>
  <c r="H16" i="2"/>
  <c r="I16" i="2" s="1"/>
  <c r="J16" i="2" s="1"/>
  <c r="H17" i="2"/>
  <c r="I17" i="2" s="1"/>
  <c r="J17" i="2" s="1"/>
  <c r="H14" i="2"/>
  <c r="I14" i="2" s="1"/>
  <c r="J14" i="2" s="1"/>
  <c r="H21" i="2"/>
  <c r="I21" i="2" s="1"/>
  <c r="J21" i="2" s="1"/>
  <c r="H25" i="2"/>
  <c r="I25" i="2" s="1"/>
  <c r="J25" i="2" s="1"/>
  <c r="H18" i="2"/>
  <c r="I18" i="2" s="1"/>
  <c r="J18" i="2" s="1"/>
  <c r="H12" i="2"/>
  <c r="I12" i="2" s="1"/>
  <c r="J12" i="2" s="1"/>
  <c r="M12" i="2" s="1"/>
  <c r="H15" i="2"/>
  <c r="I15" i="2" s="1"/>
  <c r="J15" i="2" s="1"/>
  <c r="H10" i="2"/>
  <c r="I10" i="2" s="1"/>
  <c r="J10" i="2" s="1"/>
  <c r="M10" i="2" s="1"/>
  <c r="H11" i="2"/>
  <c r="I11" i="2" s="1"/>
  <c r="J11" i="2" s="1"/>
  <c r="M11" i="2" s="1"/>
  <c r="H22" i="2"/>
  <c r="I22" i="2" s="1"/>
  <c r="J22" i="2" s="1"/>
  <c r="H19" i="2"/>
  <c r="I19" i="2" s="1"/>
  <c r="J19" i="2" s="1"/>
  <c r="D22" i="4" l="1"/>
  <c r="D24" i="4" s="1"/>
  <c r="D25" i="4" s="1"/>
  <c r="M14" i="2"/>
  <c r="M15" i="2"/>
  <c r="M9" i="2"/>
  <c r="M8" i="2"/>
  <c r="D34" i="2" s="1"/>
  <c r="C34" i="2" l="1"/>
  <c r="D30" i="4"/>
  <c r="D29" i="4"/>
  <c r="M16" i="2"/>
  <c r="E34" i="2" l="1"/>
  <c r="C53" i="4"/>
  <c r="C57" i="4"/>
  <c r="C37" i="2" s="1"/>
  <c r="M17" i="2"/>
  <c r="M18" i="2" l="1"/>
  <c r="M19" i="2" l="1"/>
  <c r="M20" i="2" l="1"/>
  <c r="M21" i="2" l="1"/>
  <c r="M22" i="2" l="1"/>
  <c r="M23" i="2" l="1"/>
  <c r="M24" i="2" l="1"/>
  <c r="M25" i="2" l="1"/>
  <c r="M26" i="2" l="1"/>
  <c r="F28" i="2" l="1"/>
  <c r="M27" i="2"/>
  <c r="K33" i="2"/>
  <c r="K35" i="2" s="1"/>
  <c r="K34" i="2" l="1"/>
  <c r="K36" i="2" s="1"/>
  <c r="M28" i="2"/>
  <c r="K39" i="2" l="1"/>
  <c r="K40" i="2"/>
  <c r="D36" i="2" s="1"/>
  <c r="E36" i="2" s="1"/>
  <c r="K38" i="2"/>
  <c r="K37" i="2" l="1"/>
  <c r="D35" i="2"/>
  <c r="K41" i="2"/>
  <c r="K42" i="2" s="1"/>
  <c r="E35" i="2" l="1"/>
  <c r="D39" i="2"/>
  <c r="D40" i="2" s="1"/>
  <c r="D41" i="2" l="1"/>
  <c r="C7" i="4" s="1"/>
  <c r="C49" i="4" s="1"/>
  <c r="C50" i="4" s="1"/>
  <c r="C51" i="4" s="1"/>
  <c r="C52" i="4" s="1"/>
  <c r="C54" i="4" s="1"/>
  <c r="C58" i="4" s="1"/>
  <c r="C59" i="4" l="1"/>
  <c r="C61" i="4" s="1"/>
  <c r="C38" i="2"/>
  <c r="C39" i="2" l="1"/>
  <c r="E38" i="2"/>
  <c r="C60" i="4"/>
  <c r="C40" i="2" l="1"/>
  <c r="E39" i="2"/>
  <c r="C41" i="2"/>
  <c r="E4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Burckas</author>
  </authors>
  <commentList>
    <comment ref="H4" authorId="0" shapeId="0" xr:uid="{25DE3424-921B-4FE0-AA8A-7F0C93162C4B}">
      <text>
        <r>
          <rPr>
            <b/>
            <sz val="9"/>
            <color indexed="81"/>
            <rFont val="Segoe UI"/>
            <family val="2"/>
          </rPr>
          <t>Francisco Burckas:</t>
        </r>
        <r>
          <rPr>
            <sz val="9"/>
            <color indexed="81"/>
            <rFont val="Segoe UI"/>
            <family val="2"/>
          </rPr>
          <t xml:space="preserve">
A Alíquota de 26,5% ainda não está definida. Pode ser alterada se necessário.</t>
        </r>
      </text>
    </comment>
    <comment ref="E7" authorId="0" shapeId="0" xr:uid="{CC473A20-64A5-47B9-8A1B-8C016CE7495B}">
      <text>
        <r>
          <rPr>
            <b/>
            <sz val="9"/>
            <color indexed="81"/>
            <rFont val="Segoe UI"/>
            <family val="2"/>
          </rPr>
          <t>Francisco Burckas:</t>
        </r>
        <r>
          <rPr>
            <sz val="9"/>
            <color indexed="81"/>
            <rFont val="Segoe UI"/>
            <family val="2"/>
          </rPr>
          <t xml:space="preserve">
Curta Duração:
Aluguéis com menos de 90 dias.</t>
        </r>
      </text>
    </comment>
  </commentList>
</comments>
</file>

<file path=xl/sharedStrings.xml><?xml version="1.0" encoding="utf-8"?>
<sst xmlns="http://schemas.openxmlformats.org/spreadsheetml/2006/main" count="195" uniqueCount="162">
  <si>
    <t>⚠️ DISCLAIMER — TERMO DE ISENÇÃO DE RESPONSABILIDADE</t>
  </si>
  <si>
    <t>Modelo de Tributação Imobiliária — Pessoa Física e Pessoa Jurídica</t>
  </si>
  <si>
    <t>Baseado na Lei Complementar 214/2025 (IBS/CBS) e Lei nº 15.270/2025 (IRPF/IRPFM)</t>
  </si>
  <si>
    <t>1. NATUREZA E FINALIDADE</t>
  </si>
  <si>
    <t>Esta planilha tem caráter exclusivamente informativo, educacional e de simulação. NÃO constitui assessoria jurídica, contábil, tributária ou financeira. Os cálculos aqui apresentados são estimativas simplificadas e não substituem, em hipótese alguma, a consulta a profissionais habilitados (contadores, advogados tributários, planejadores financeiros). O uso desta planilha é de inteira responsabilidade do usuário.</t>
  </si>
  <si>
    <t>2. ISENÇÃO DE RESPONSABILIDADE</t>
  </si>
  <si>
    <t>O autor/desenvolvedor desta planilha não se responsabiliza por quaisquer prejuízos, perdas, multas, autuações fiscais, penalidades ou danos de qualquer natureza (diretos, indiretos, incidentais, consequenciais ou punitivos) decorrentes do uso, interpretação ou aplicação das informações e cálculos contidos nesta planilha. O usuário assume integral responsabilidade por qualquer decisão tomada com base nos resultados aqui apresentados.</t>
  </si>
  <si>
    <t>3. LEGISLAÇÃO E VIGÊNCIA</t>
  </si>
  <si>
    <t>Esta planilha foi elaborada com base na legislação vigente na data de sua criação, incluindo a Lei Complementar 214/2025 (Reforma Tributária — IBS/CBS) e a Lei nº 15.270/2025 (IRPF e IRPFM). A legislação tributária brasileira está sujeita a alterações frequentes por meio de leis, decretos, instruções normativas, atos declaratórios e decisões judiciais. Alíquotas, faixas, redutores e regras podem ser modificados a qualquer momento sem aviso prévio. A alíquota de referência do IBS/CBS utilizada (26,5%) é estimada e poderá ser diferente quando da efetiva implementação do novo sistema tributário.</t>
  </si>
  <si>
    <t>4. LIMITAÇÕES DO MODELO DE CÁLCULO — IBS/CBS (REFORMA TRIBUTÁRIA)</t>
  </si>
  <si>
    <t>O modelo apresenta as seguintes limitações em relação ao cálculo do IBS/CBS:
• Utiliza a alíquota de referência de 26,5%, que é estimativa e sujeita a definição final pelo Governo Federal;
• Não considera créditos de IBS/CBS sobre insumos relacionados à atividade imobiliária;
• Não contempla regras de transição entre o sistema atual e o novo sistema tributário (período de 2026 a 2033);
• Não considera a possibilidade de regimes específicos ou benefícios fiscais municipais/estaduais;
• O redutor social de R$ 600/mês por imóvel residencial pode ser atualizado por regulamentação;
• Os critérios de incidência (receita acima de R$ 240 mil ou mais de 3 imóveis) podem ter interpretações distintas em regulamentação futura;
• Não contempla hipóteses de imunidade, isenção ou não incidência específicas;
• Exclusões da base de cálculo (condomínio, IPTU) foram consideradas de forma simplificada.</t>
  </si>
  <si>
    <t>5. LIMITAÇÕES DO MODELO DE CÁLCULO — IRPF E IRPFM</t>
  </si>
  <si>
    <t>O modelo apresenta as seguintes limitações em relação ao cálculo do Imposto de Renda:
• Utiliza exclusivamente o desconto simplificado mensal (R$ 607,20), não considerando deduções legais (INSS, dependentes, saúde, educação, pensão alimentícia);
• Não contempla rendimentos de outras fontes (salários, aplicações financeiras, ganho de capital, etc.);
• O IRPFM (Tributação Mínima) é calculado de forma simplificada, sem considerar o redutor de PJ (IRPJ+CSLL já pagos pela empresa);
• Não contempla dividendos isentos, rendimentos no exterior ou outras exclusões previstas em lei;
• O modelo não calcula a declaração completa de ajuste anual, apenas estimativas mensais extrapoladas para 12 meses;
• A tabela progressiva e as faixas de redução podem ser atualizadas por legislação posterior;
• Não considera carnê-leão, DARF ou outras obrigações acessórias.</t>
  </si>
  <si>
    <t>6. LIMITAÇÕES DO MODELO DE CÁLCULO — PESSOA JURÍDICA</t>
  </si>
  <si>
    <t>O modelo apresenta as seguintes limitações em relação à tributação de Pessoa Jurídica:
• Considera exclusivamente o regime de Lucro Presumido com percentual de presunção de 32% para atividades imobiliárias;
• Não contempla o regime de Lucro Real, Simples Nacional ou outros regimes tributários;
• Não calcula PIS/COFINS no regime atual (apenas IBS/CBS do novo sistema);
• Não considera despesas dedutíveis, depreciação, amortização ou compensação de prejuízos fiscais;
• O adicional de IRPJ (10% sobre o excedente de R$ 20 mil/mês) é calculado de forma simplificada;
• A distribuição de dividendos é uma premissa do usuário e pode não refletir a realidade da empresa;
• Não contempla obrigações acessórias, contribuições sindicais, taxas ou outros tributos incidentes.</t>
  </si>
  <si>
    <t>7. PREMISSAS E SIMPLIFICAÇÕES GERAIS</t>
  </si>
  <si>
    <t>Além das limitações específicas acima, este modelo:
• Não substitui o planejamento tributário profissional, devendo ser utilizado apenas como ferramenta auxiliar de simulação;
• Não considera a situação fiscal individual do usuário (dívidas, parcelamentos, compensações, liminares);
• Não contempla tributação sobre ganho de capital na venda de imóveis;
• Não considera ITBI, IPTU, taxas de registro ou cartório;
• Não trata de operações com imóveis rurais, fundos imobiliários (FIIs) ou sociedades patrimoniais;
• Os resultados podem divergir significativamente da apuração real dependendo de particularidades do caso concreto;
• Erros de fórmula, arredondamento ou interpretação legislativa podem estar presentes.</t>
  </si>
  <si>
    <t>8. SEM GARANTIAS</t>
  </si>
  <si>
    <t>Esta planilha é fornecida "NO ESTADO EM QUE SE ENCONTRA" ("AS IS"), sem garantias de qualquer tipo, expressas ou implícitas, incluindo, mas não se limitando a, garantias de precisão, completude, atualidade, adequação a um fim específico ou não violação de direitos. O autor não garante que os cálculos estejam livres de erros ou que os resultados sejam compatíveis com a interpretação da Receita Federal do Brasil ou de qualquer outro órgão governamental.</t>
  </si>
  <si>
    <t>9. RECOMENDAÇÃO</t>
  </si>
  <si>
    <t>Recomenda-se expressamente que o usuário consulte um(a) contador(a) registrado(a) no CRC e/ou um(a) advogado(a) tributário(a) inscrito(a) na OAB antes de tomar qualquer decisão baseada nos cálculos desta planilha. A legislação tributária é complexa e sua aplicação depende de análise caso a caso.</t>
  </si>
  <si>
    <t>Ao utilizar esta planilha, o usuário declara estar ciente e de acordo com todos os termos acima.</t>
  </si>
  <si>
    <t>contato@awahl.com.br</t>
  </si>
  <si>
    <t>https://www.linkedin.com/in/fburckas/</t>
  </si>
  <si>
    <t>Imóveis - Pessoa Física</t>
  </si>
  <si>
    <t>Aluguel Anual - Pessoa Física</t>
  </si>
  <si>
    <t>IBS/CBS</t>
  </si>
  <si>
    <t>Tipo de Locador PF</t>
  </si>
  <si>
    <t>→ Preencha a tabela com os dados dos aluguéis (média mensal)</t>
  </si>
  <si>
    <t>Imóvel</t>
  </si>
  <si>
    <t>PF/PJ</t>
  </si>
  <si>
    <t>Tipo de Imóvel</t>
  </si>
  <si>
    <t>Tipo de Aluguel</t>
  </si>
  <si>
    <t>Valor Mensal</t>
  </si>
  <si>
    <t>Redutor</t>
  </si>
  <si>
    <t>IBS/CBS Efetivo</t>
  </si>
  <si>
    <t>Redutor Social</t>
  </si>
  <si>
    <t>Base de Cálculo</t>
  </si>
  <si>
    <t>Casa de Praia</t>
  </si>
  <si>
    <t>Pessoa Física</t>
  </si>
  <si>
    <t>Residencial</t>
  </si>
  <si>
    <t>Curta Duração</t>
  </si>
  <si>
    <t>Apartamento</t>
  </si>
  <si>
    <t>Longa Duração</t>
  </si>
  <si>
    <t>Casa de Campo</t>
  </si>
  <si>
    <t>Pessoa Jurídica</t>
  </si>
  <si>
    <t>Galpão</t>
  </si>
  <si>
    <t>Comercial</t>
  </si>
  <si>
    <t>Sala Comercial</t>
  </si>
  <si>
    <t>TOTAL</t>
  </si>
  <si>
    <t>% de Distribuição dos Dividendos</t>
  </si>
  <si>
    <t>→ Insira o % do resultado da Pessoa Jurídica que será pago para Pessoa Física via dividendo.</t>
  </si>
  <si>
    <t>PF+PJ</t>
  </si>
  <si>
    <t>Cálculo - IRPJ</t>
  </si>
  <si>
    <t>Faturamento Anual</t>
  </si>
  <si>
    <t>Lucro Presumido (32%)</t>
  </si>
  <si>
    <t>IRPJ</t>
  </si>
  <si>
    <t>n.a.</t>
  </si>
  <si>
    <t>Adicional Lucro Presumido (10%)</t>
  </si>
  <si>
    <t>LC 224/2025</t>
  </si>
  <si>
    <t>CSLL</t>
  </si>
  <si>
    <t>Lurcro Presumido + Adicional</t>
  </si>
  <si>
    <t>IRPF</t>
  </si>
  <si>
    <t>IRPJ - Lucro Presumido</t>
  </si>
  <si>
    <t xml:space="preserve">IRPFM </t>
  </si>
  <si>
    <t>Base</t>
  </si>
  <si>
    <t>Total Tributos</t>
  </si>
  <si>
    <t>Adicional</t>
  </si>
  <si>
    <t>Alíquota Efetiva</t>
  </si>
  <si>
    <t>CSLL - Lucro Presumido</t>
  </si>
  <si>
    <t>Resultado</t>
  </si>
  <si>
    <t>IRPJ + CSLL - Lucro Presumido</t>
  </si>
  <si>
    <t>CALCULADORA IRPF 2026</t>
  </si>
  <si>
    <t>Cálculo simplificado do Imposto de Renda Pessoa Física — Ano-calendário 2026</t>
  </si>
  <si>
    <t>Fonte: Receita Federal do Brasil — Lei nº 15.270/2025</t>
  </si>
  <si>
    <t>DADOS DE ENTRADA</t>
  </si>
  <si>
    <t>Renda Bruta Mensal (PF)</t>
  </si>
  <si>
    <t>Renda Bruta Mensal (Dividendos)</t>
  </si>
  <si>
    <t>Desconto Simplificado Mensal</t>
  </si>
  <si>
    <t>Base de Cálculo Mensal</t>
  </si>
  <si>
    <t>TABELA PROGRESSIVA MENSAL (vigente a partir de jan/2026)</t>
  </si>
  <si>
    <t>Faixa</t>
  </si>
  <si>
    <t>De</t>
  </si>
  <si>
    <t>Até</t>
  </si>
  <si>
    <t>Alíquota</t>
  </si>
  <si>
    <t>Parcela a Deduzir (R$)</t>
  </si>
  <si>
    <t>CÁLCULO DO IRPF MENSAL</t>
  </si>
  <si>
    <t>Alíquota aplicável</t>
  </si>
  <si>
    <t>Parcela a deduzir</t>
  </si>
  <si>
    <t>IRPF pela tabela progressiva (Base × Alíquota – Parcela)</t>
  </si>
  <si>
    <t>Base de Redução</t>
  </si>
  <si>
    <t>Redução do imposto (Lei 15.270/2025)</t>
  </si>
  <si>
    <t>IRPF MENSAL DEVIDO</t>
  </si>
  <si>
    <t>RESUMO ANUAL</t>
  </si>
  <si>
    <t>Renda Bruta Anual (12 meses)</t>
  </si>
  <si>
    <t>IRPF Anual Estimado (12 meses)</t>
  </si>
  <si>
    <t>Alíquota Efetiva Mensal</t>
  </si>
  <si>
    <t>TABELA DE REDUÇÃO MENSAL (Lei 15.270/2025)</t>
  </si>
  <si>
    <t>Faixa de Renda Bruta</t>
  </si>
  <si>
    <t>Limite Renda (R$)</t>
  </si>
  <si>
    <t>Redução Máx (R$)</t>
  </si>
  <si>
    <t>Coeficiente</t>
  </si>
  <si>
    <t>Até R$ 5.000,00</t>
  </si>
  <si>
    <t>De R$ 5.000,01 a R$ 7.350,00</t>
  </si>
  <si>
    <t>OBSERVAÇÕES:</t>
  </si>
  <si>
    <t>• Este modelo usa o desconto simplificado mensal (R$ 607,20) no lugar das deduções legais (INSS, dependentes etc.).</t>
  </si>
  <si>
    <t>• Não considera deduções por dependentes, saúde, educação, pensão alimentícia ou INSS.</t>
  </si>
  <si>
    <t>• Para rendas acima de R$ 50.000/mês (R$ 600 mil/ano), aplica-se também o IRPFM (tributação mínima) — veja seção abaixo.</t>
  </si>
  <si>
    <t>CÁLCULO DO IRPFM — Tributação Mínima (Lei 15.270/2025, Art. 16-A)</t>
  </si>
  <si>
    <t>Faixa de Renda Anual</t>
  </si>
  <si>
    <t>Regra</t>
  </si>
  <si>
    <t>Alíquota Mínima</t>
  </si>
  <si>
    <t>Limite Inferior (R$)</t>
  </si>
  <si>
    <t>Limite Superior (R$)</t>
  </si>
  <si>
    <t>Até R$ 600.000,00</t>
  </si>
  <si>
    <t>Não se aplica</t>
  </si>
  <si>
    <t>De R$ 600.000,01 a R$ 1.199.999,99</t>
  </si>
  <si>
    <t>Alíquota = (REND / 60.000) – 10</t>
  </si>
  <si>
    <t>0% a 10%</t>
  </si>
  <si>
    <t>A partir de R$ 1.200.000,00</t>
  </si>
  <si>
    <t>Alíquota fixa de 10%</t>
  </si>
  <si>
    <t>Descrição</t>
  </si>
  <si>
    <t>Valor (R$)</t>
  </si>
  <si>
    <t>Renda Bruta Anual (base IRPFM)</t>
  </si>
  <si>
    <t>Alíquota IRPFM aplicável</t>
  </si>
  <si>
    <t>IRPFM bruto (Renda × Alíquota)</t>
  </si>
  <si>
    <t>(-) IRPF já retido/devido no ano</t>
  </si>
  <si>
    <t>IRPFM ADICIONAL DEVIDO</t>
  </si>
  <si>
    <t>Resumo</t>
  </si>
  <si>
    <t>IRPF Anual (tabela progressiva)</t>
  </si>
  <si>
    <t>IRPFM Adicional Devido</t>
  </si>
  <si>
    <t>CARGA TRIBUTÁRIA TOTAL ANUAL</t>
  </si>
  <si>
    <t>Alíquota Efetiva Total (incl. IRPFM)</t>
  </si>
  <si>
    <t>Renda Líquida Anual (após todos os impostos)</t>
  </si>
  <si>
    <t>NOTAS SOBRE O IRPFM:</t>
  </si>
  <si>
    <t>• O IRPFM é apurado na declaração anual (exercício 2027, ano-calendário 2026). Fórmula oficial: Alíquota% = (REND / 60.000) – 10.</t>
  </si>
  <si>
    <t>• O IRPF já retido na fonte sobre salários (até 27,5%) é deduzido do IRPFM. Para assalariados, o IRPF retido normalmente supera o IRPFM.</t>
  </si>
  <si>
    <t>• O IRPFM impacta principalmente quem recebe rendimentos isentos (dividendos, lucros) que compõem a base mas não geram IRPF na fonte.</t>
  </si>
  <si>
    <t>• Este modelo simplificado não contempla: redutor PJ (IRPJ+CSLL), dividendos isentos ou rendimentos no exterior</t>
  </si>
  <si>
    <t>Incidencia de IBS e CBS</t>
  </si>
  <si>
    <t>Receita acima de</t>
  </si>
  <si>
    <t>e</t>
  </si>
  <si>
    <t xml:space="preserve">Mais de </t>
  </si>
  <si>
    <t>imóveis</t>
  </si>
  <si>
    <t>ou</t>
  </si>
  <si>
    <t>do teto, ou seja:</t>
  </si>
  <si>
    <t>Período de Locação</t>
  </si>
  <si>
    <t>até</t>
  </si>
  <si>
    <t>dias</t>
  </si>
  <si>
    <t xml:space="preserve">- Serviço de Hospedagem </t>
  </si>
  <si>
    <t xml:space="preserve">acima de </t>
  </si>
  <si>
    <t>- Locação Normal</t>
  </si>
  <si>
    <t>Alíquota IVA dual</t>
  </si>
  <si>
    <t xml:space="preserve">Locação residencial longa (bens imóveis): redução de </t>
  </si>
  <si>
    <t xml:space="preserve">na alíquota </t>
  </si>
  <si>
    <t>por mês por imóvel residencial</t>
  </si>
  <si>
    <t xml:space="preserve">Locação residencial temporária (bens imóveis): redução de </t>
  </si>
  <si>
    <t xml:space="preserve">Locação comercial longa (bens imóveis): redução de </t>
  </si>
  <si>
    <t>Exclusão de Base de Cálculo: Valores como condomínio e tributos do imóvel (IPTU) não entram na base do IBS/CBS. O imposto incide sobre o valor líquido do aluguel.</t>
  </si>
  <si>
    <t>Base Lucro Presumido</t>
  </si>
  <si>
    <t>Adicional Base</t>
  </si>
  <si>
    <t>Adicional IRPJ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</si>
</sst>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R$&quot;\ #,##0.00_);\(&quot;R$&quot;\ #,##0.00\)"/>
    <numFmt numFmtId="43" formatCode="_(* #,##0.00_);_(* \(#,##0.00\);_(* &quot;-&quot;??_);_(@_)"/>
    <numFmt numFmtId="164" formatCode="0.0%"/>
    <numFmt numFmtId="165" formatCode="_(* #,##0_);_(* \(#,##0\);_(* &quot;-&quot;??_);_(@_)"/>
    <numFmt numFmtId="166" formatCode="_(* #,##0.000000_);_(* \(#,##0.000000\);_(* &quot;-&quot;??_);_(@_)"/>
  </numFmts>
  <fonts count="25">
    <font>
      <sz val="11"/>
      <color theme="1"/>
      <name val="Aptos Narrow"/>
      <family val="2"/>
      <scheme val="minor"/>
    </font>
    <font>
      <sz val="10"/>
      <color theme="1"/>
      <name val="Aptos Narrow"/>
      <family val="2"/>
      <scheme val="minor"/>
    </font>
    <font>
      <sz val="10"/>
      <color theme="1"/>
      <name val="Aptos Narrow"/>
      <family val="2"/>
      <scheme val="minor"/>
    </font>
    <font>
      <sz val="10"/>
      <color theme="1"/>
      <name val="Aptos Narrow"/>
      <family val="2"/>
      <scheme val="minor"/>
    </font>
    <font>
      <b/>
      <sz val="10"/>
      <color theme="0"/>
      <name val="Aptos Narrow"/>
      <family val="2"/>
      <scheme val="minor"/>
    </font>
    <font>
      <b/>
      <sz val="10"/>
      <color theme="1"/>
      <name val="Aptos Narrow"/>
      <family val="2"/>
      <scheme val="minor"/>
    </font>
    <font>
      <sz val="10"/>
      <color theme="0"/>
      <name val="Aptos Narrow"/>
      <family val="2"/>
      <scheme val="minor"/>
    </font>
    <font>
      <b/>
      <sz val="10"/>
      <color theme="7"/>
      <name val="Aptos Narrow"/>
      <family val="2"/>
      <scheme val="minor"/>
    </font>
    <font>
      <sz val="10"/>
      <color theme="7"/>
      <name val="Aptos Narrow"/>
      <family val="2"/>
      <scheme val="minor"/>
    </font>
    <font>
      <b/>
      <sz val="10"/>
      <color rgb="FFFFFFFF"/>
      <name val="Aptos Narrow"/>
      <family val="2"/>
      <scheme val="minor"/>
    </font>
    <font>
      <i/>
      <sz val="10"/>
      <color rgb="FF808080"/>
      <name val="Aptos Narrow"/>
      <family val="2"/>
      <scheme val="minor"/>
    </font>
    <font>
      <sz val="10"/>
      <color rgb="FF666666"/>
      <name val="Aptos Narrow"/>
      <family val="2"/>
      <scheme val="minor"/>
    </font>
    <font>
      <b/>
      <sz val="10"/>
      <color rgb="FF1F4E79"/>
      <name val="Aptos Narrow"/>
      <family val="2"/>
      <scheme val="minor"/>
    </font>
    <font>
      <sz val="10"/>
      <name val="Aptos Narrow"/>
      <family val="2"/>
      <scheme val="minor"/>
    </font>
    <font>
      <b/>
      <sz val="12"/>
      <color rgb="FF333333"/>
      <name val="Arial"/>
      <family val="2"/>
    </font>
    <font>
      <i/>
      <sz val="10"/>
      <color rgb="FF666666"/>
      <name val="Arial"/>
      <family val="2"/>
    </font>
    <font>
      <b/>
      <sz val="11"/>
      <color rgb="FFC00000"/>
      <name val="Arial"/>
      <family val="2"/>
    </font>
    <font>
      <sz val="10"/>
      <color rgb="FF333333"/>
      <name val="Arial"/>
      <family val="2"/>
    </font>
    <font>
      <b/>
      <sz val="16"/>
      <color rgb="FFFFFFFF"/>
      <name val="Arial"/>
      <family val="2"/>
    </font>
    <font>
      <b/>
      <sz val="11"/>
      <color rgb="FF333333"/>
      <name val="Arial"/>
      <family val="2"/>
    </font>
    <font>
      <sz val="10"/>
      <color rgb="FFFF0000"/>
      <name val="Aptos Narrow"/>
      <family val="2"/>
      <scheme val="minor"/>
    </font>
    <font>
      <sz val="9"/>
      <color indexed="81"/>
      <name val="Segoe UI"/>
      <family val="2"/>
    </font>
    <font>
      <b/>
      <sz val="9"/>
      <color indexed="81"/>
      <name val="Segoe UI"/>
      <family val="2"/>
    </font>
    <font>
      <sz val="11"/>
      <color theme="0" tint="-0.34998626667073579"/>
      <name val="Aptos Narrow"/>
      <family val="2"/>
      <scheme val="minor"/>
    </font>
    <font>
      <u/>
      <sz val="11"/>
      <color theme="10"/>
      <name val="Aptos Narrow"/>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3"/>
        <bgColor indexed="64"/>
      </patternFill>
    </fill>
    <fill>
      <patternFill patternType="solid">
        <fgColor theme="8"/>
        <bgColor indexed="64"/>
      </patternFill>
    </fill>
    <fill>
      <patternFill patternType="solid">
        <fgColor theme="8" tint="-9.9978637043366805E-2"/>
        <bgColor indexed="64"/>
      </patternFill>
    </fill>
    <fill>
      <patternFill patternType="solid">
        <fgColor rgb="FFFFF2F2"/>
        <bgColor indexed="64"/>
      </patternFill>
    </fill>
    <fill>
      <patternFill patternType="solid">
        <fgColor rgb="FFC00000"/>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medium">
        <color rgb="FFC00000"/>
      </left>
      <right style="medium">
        <color rgb="FFC00000"/>
      </right>
      <top/>
      <bottom/>
      <diagonal/>
    </border>
    <border>
      <left style="medium">
        <color rgb="FFC00000"/>
      </left>
      <right style="medium">
        <color rgb="FFC00000"/>
      </right>
      <top style="medium">
        <color rgb="FFC00000"/>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rgb="FFC00000"/>
      </left>
      <right style="medium">
        <color rgb="FFC00000"/>
      </right>
      <top/>
      <bottom style="medium">
        <color rgb="FFC00000"/>
      </bottom>
      <diagonal/>
    </border>
  </borders>
  <cellStyleXfs count="6">
    <xf numFmtId="0" fontId="0" fillId="0" borderId="0"/>
    <xf numFmtId="43"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0" fontId="24" fillId="0" borderId="0" applyNumberFormat="0" applyFill="0" applyBorder="0" applyAlignment="0" applyProtection="0"/>
  </cellStyleXfs>
  <cellXfs count="89">
    <xf numFmtId="0" fontId="0" fillId="0" borderId="0" xfId="0"/>
    <xf numFmtId="0" fontId="0" fillId="2" borderId="0" xfId="0" applyFill="1"/>
    <xf numFmtId="0" fontId="2" fillId="2" borderId="0" xfId="0" applyFont="1" applyFill="1"/>
    <xf numFmtId="0" fontId="2" fillId="2" borderId="0" xfId="0" applyFont="1" applyFill="1" applyAlignment="1">
      <alignment horizontal="center"/>
    </xf>
    <xf numFmtId="0" fontId="7" fillId="2" borderId="0" xfId="0" applyFont="1" applyFill="1"/>
    <xf numFmtId="165" fontId="8" fillId="2" borderId="0" xfId="1" applyNumberFormat="1" applyFont="1" applyFill="1"/>
    <xf numFmtId="0" fontId="6" fillId="3" borderId="0" xfId="0" applyFont="1" applyFill="1" applyAlignment="1">
      <alignment horizontal="center"/>
    </xf>
    <xf numFmtId="0" fontId="8" fillId="2" borderId="0" xfId="0" applyFont="1" applyFill="1" applyAlignment="1">
      <alignment horizontal="right"/>
    </xf>
    <xf numFmtId="43" fontId="4" fillId="3" borderId="0" xfId="1" applyFont="1" applyFill="1"/>
    <xf numFmtId="0" fontId="5" fillId="4" borderId="0" xfId="0" applyFont="1" applyFill="1"/>
    <xf numFmtId="43" fontId="5" fillId="4" borderId="0" xfId="0" applyNumberFormat="1" applyFont="1" applyFill="1"/>
    <xf numFmtId="0" fontId="4" fillId="3" borderId="0" xfId="0" applyFont="1" applyFill="1" applyAlignment="1">
      <alignment horizontal="center"/>
    </xf>
    <xf numFmtId="0" fontId="4" fillId="3" borderId="0" xfId="0" applyFont="1" applyFill="1" applyAlignment="1">
      <alignment horizontal="right"/>
    </xf>
    <xf numFmtId="0" fontId="4" fillId="3" borderId="0" xfId="0" applyFont="1" applyFill="1"/>
    <xf numFmtId="0" fontId="5" fillId="4" borderId="0" xfId="0" applyFont="1" applyFill="1" applyAlignment="1">
      <alignment horizontal="left"/>
    </xf>
    <xf numFmtId="43" fontId="5" fillId="4" borderId="0" xfId="1" applyFont="1" applyFill="1"/>
    <xf numFmtId="43" fontId="4" fillId="3" borderId="0" xfId="1" applyFont="1" applyFill="1" applyAlignment="1">
      <alignment horizontal="right"/>
    </xf>
    <xf numFmtId="43" fontId="5" fillId="4" borderId="0" xfId="1" applyFont="1" applyFill="1" applyAlignment="1">
      <alignment horizontal="right"/>
    </xf>
    <xf numFmtId="0" fontId="12" fillId="2" borderId="0" xfId="3" applyFont="1" applyFill="1" applyAlignment="1">
      <alignment vertical="center"/>
    </xf>
    <xf numFmtId="0" fontId="1" fillId="2" borderId="0" xfId="3" applyFill="1" applyAlignment="1">
      <alignment vertical="center"/>
    </xf>
    <xf numFmtId="0" fontId="1" fillId="2" borderId="0" xfId="3" applyFill="1"/>
    <xf numFmtId="0" fontId="10" fillId="2" borderId="0" xfId="3" applyFont="1" applyFill="1" applyAlignment="1">
      <alignment vertical="center"/>
    </xf>
    <xf numFmtId="0" fontId="5" fillId="2" borderId="0" xfId="3" applyFont="1" applyFill="1" applyAlignment="1">
      <alignment vertical="center"/>
    </xf>
    <xf numFmtId="0" fontId="11" fillId="2" borderId="0" xfId="3" applyFont="1" applyFill="1" applyAlignment="1">
      <alignment vertical="center"/>
    </xf>
    <xf numFmtId="7" fontId="1" fillId="2" borderId="0" xfId="3" applyNumberFormat="1" applyFill="1"/>
    <xf numFmtId="0" fontId="11" fillId="2" borderId="0" xfId="3" applyFont="1" applyFill="1"/>
    <xf numFmtId="0" fontId="9" fillId="2" borderId="2" xfId="3" applyFont="1" applyFill="1" applyBorder="1"/>
    <xf numFmtId="0" fontId="1" fillId="2" borderId="2" xfId="3" applyFill="1" applyBorder="1"/>
    <xf numFmtId="9" fontId="1" fillId="2" borderId="0" xfId="4" applyFont="1" applyFill="1"/>
    <xf numFmtId="0" fontId="12" fillId="2" borderId="0" xfId="3" applyFont="1" applyFill="1"/>
    <xf numFmtId="43" fontId="13" fillId="0" borderId="1" xfId="1" applyFont="1" applyFill="1" applyBorder="1" applyAlignment="1">
      <alignment horizontal="center" vertical="center"/>
    </xf>
    <xf numFmtId="43" fontId="11" fillId="2" borderId="0" xfId="1" applyFont="1" applyFill="1" applyAlignment="1">
      <alignment horizontal="center" vertical="center"/>
    </xf>
    <xf numFmtId="43" fontId="5" fillId="2" borderId="0" xfId="1" applyFont="1" applyFill="1" applyAlignment="1">
      <alignment horizontal="center" vertical="center"/>
    </xf>
    <xf numFmtId="43" fontId="4" fillId="3" borderId="0" xfId="1" applyFont="1" applyFill="1" applyAlignment="1">
      <alignment horizontal="center"/>
    </xf>
    <xf numFmtId="43" fontId="4" fillId="3" borderId="0" xfId="1" applyFont="1" applyFill="1" applyAlignment="1">
      <alignment horizontal="left"/>
    </xf>
    <xf numFmtId="0" fontId="1" fillId="4" borderId="0" xfId="1" applyNumberFormat="1" applyFont="1" applyFill="1" applyAlignment="1">
      <alignment horizontal="center"/>
    </xf>
    <xf numFmtId="43" fontId="1" fillId="4" borderId="0" xfId="1" applyFont="1" applyFill="1"/>
    <xf numFmtId="164" fontId="1" fillId="4" borderId="0" xfId="2" applyNumberFormat="1" applyFont="1" applyFill="1" applyAlignment="1">
      <alignment horizontal="center"/>
    </xf>
    <xf numFmtId="164" fontId="1" fillId="4" borderId="0" xfId="2" applyNumberFormat="1" applyFont="1" applyFill="1" applyAlignment="1">
      <alignment horizontal="right"/>
    </xf>
    <xf numFmtId="0" fontId="1" fillId="4" borderId="0" xfId="1" applyNumberFormat="1" applyFont="1" applyFill="1" applyAlignment="1">
      <alignment horizontal="left"/>
    </xf>
    <xf numFmtId="0" fontId="5" fillId="4" borderId="0" xfId="1" applyNumberFormat="1" applyFont="1" applyFill="1" applyAlignment="1">
      <alignment horizontal="left"/>
    </xf>
    <xf numFmtId="43" fontId="1" fillId="4" borderId="0" xfId="1" applyFont="1" applyFill="1" applyAlignment="1">
      <alignment horizontal="right"/>
    </xf>
    <xf numFmtId="9" fontId="1" fillId="4" borderId="0" xfId="2" applyFont="1" applyFill="1"/>
    <xf numFmtId="166" fontId="1" fillId="4" borderId="0" xfId="1" applyNumberFormat="1" applyFont="1" applyFill="1"/>
    <xf numFmtId="165" fontId="1" fillId="4" borderId="0" xfId="1" applyNumberFormat="1" applyFont="1" applyFill="1"/>
    <xf numFmtId="164" fontId="1" fillId="4" borderId="0" xfId="2" applyNumberFormat="1" applyFont="1" applyFill="1"/>
    <xf numFmtId="10" fontId="1" fillId="4" borderId="0" xfId="2" applyNumberFormat="1" applyFont="1" applyFill="1"/>
    <xf numFmtId="0" fontId="5" fillId="2" borderId="0" xfId="0" applyFont="1" applyFill="1"/>
    <xf numFmtId="43" fontId="5" fillId="5" borderId="0" xfId="1" applyFont="1" applyFill="1"/>
    <xf numFmtId="0" fontId="0" fillId="0" borderId="3" xfId="0" applyBorder="1"/>
    <xf numFmtId="0" fontId="14" fillId="0" borderId="3" xfId="0" applyFont="1" applyBorder="1" applyAlignment="1">
      <alignment horizontal="center"/>
    </xf>
    <xf numFmtId="0" fontId="15" fillId="0" borderId="3" xfId="0" applyFont="1" applyBorder="1" applyAlignment="1">
      <alignment horizontal="center"/>
    </xf>
    <xf numFmtId="0" fontId="17" fillId="0" borderId="3" xfId="0" applyFont="1" applyBorder="1" applyAlignment="1">
      <alignment wrapText="1"/>
    </xf>
    <xf numFmtId="0" fontId="0" fillId="0" borderId="3" xfId="0" applyBorder="1" applyAlignment="1">
      <alignment wrapText="1"/>
    </xf>
    <xf numFmtId="0" fontId="16" fillId="6" borderId="3" xfId="0" applyFont="1" applyFill="1" applyBorder="1" applyAlignment="1">
      <alignment wrapText="1"/>
    </xf>
    <xf numFmtId="0" fontId="18" fillId="7" borderId="4" xfId="0" applyFont="1" applyFill="1" applyBorder="1" applyAlignment="1">
      <alignment horizontal="center"/>
    </xf>
    <xf numFmtId="0" fontId="16" fillId="6" borderId="3" xfId="0" applyFont="1" applyFill="1" applyBorder="1" applyAlignment="1">
      <alignment horizontal="center" wrapText="1"/>
    </xf>
    <xf numFmtId="0" fontId="20" fillId="2" borderId="0" xfId="0" applyFont="1" applyFill="1"/>
    <xf numFmtId="0" fontId="23" fillId="2" borderId="0" xfId="0" applyFont="1" applyFill="1"/>
    <xf numFmtId="165" fontId="23" fillId="2" borderId="0" xfId="1" applyNumberFormat="1" applyFont="1" applyFill="1"/>
    <xf numFmtId="0" fontId="23" fillId="2" borderId="0" xfId="0" quotePrefix="1" applyFont="1" applyFill="1"/>
    <xf numFmtId="164" fontId="23" fillId="2" borderId="0" xfId="0" applyNumberFormat="1" applyFont="1" applyFill="1"/>
    <xf numFmtId="165" fontId="23" fillId="2" borderId="5" xfId="1" applyNumberFormat="1" applyFont="1" applyFill="1" applyBorder="1"/>
    <xf numFmtId="0" fontId="23" fillId="2" borderId="5" xfId="0" applyFont="1" applyFill="1" applyBorder="1"/>
    <xf numFmtId="9" fontId="23" fillId="2" borderId="5" xfId="0" applyNumberFormat="1" applyFont="1" applyFill="1" applyBorder="1"/>
    <xf numFmtId="164" fontId="23" fillId="2" borderId="5" xfId="0" applyNumberFormat="1" applyFont="1" applyFill="1" applyBorder="1"/>
    <xf numFmtId="43" fontId="23" fillId="2" borderId="5" xfId="1" applyFont="1" applyFill="1" applyBorder="1"/>
    <xf numFmtId="0" fontId="23" fillId="8" borderId="0" xfId="0" applyFont="1" applyFill="1"/>
    <xf numFmtId="0" fontId="24" fillId="4" borderId="0" xfId="5" applyFill="1"/>
    <xf numFmtId="0" fontId="0" fillId="4" borderId="0" xfId="0" applyFill="1"/>
    <xf numFmtId="0" fontId="1" fillId="2" borderId="0" xfId="0" applyFont="1" applyFill="1"/>
    <xf numFmtId="164" fontId="1" fillId="0" borderId="0" xfId="2" applyNumberFormat="1" applyFont="1" applyFill="1" applyAlignment="1" applyProtection="1">
      <alignment horizontal="center"/>
      <protection locked="0"/>
    </xf>
    <xf numFmtId="0" fontId="1" fillId="2" borderId="0" xfId="0" applyFont="1" applyFill="1" applyAlignment="1">
      <alignment horizontal="center"/>
    </xf>
    <xf numFmtId="0" fontId="1" fillId="0" borderId="0" xfId="0" applyFont="1" applyProtection="1">
      <protection locked="0"/>
    </xf>
    <xf numFmtId="0" fontId="1" fillId="0" borderId="0" xfId="0" applyFont="1" applyAlignment="1" applyProtection="1">
      <alignment horizontal="center"/>
      <protection locked="0"/>
    </xf>
    <xf numFmtId="43" fontId="1" fillId="0" borderId="0" xfId="1" applyFont="1" applyFill="1" applyProtection="1">
      <protection locked="0"/>
    </xf>
    <xf numFmtId="0" fontId="1" fillId="4" borderId="0" xfId="0" applyFont="1" applyFill="1" applyAlignment="1">
      <alignment horizontal="center"/>
    </xf>
    <xf numFmtId="9" fontId="1" fillId="4" borderId="0" xfId="2" applyFont="1" applyFill="1" applyAlignment="1">
      <alignment horizontal="right"/>
    </xf>
    <xf numFmtId="43" fontId="1" fillId="2" borderId="0" xfId="0" applyNumberFormat="1" applyFont="1" applyFill="1"/>
    <xf numFmtId="0" fontId="1" fillId="4" borderId="0" xfId="0" applyFont="1" applyFill="1" applyAlignment="1">
      <alignment horizontal="left"/>
    </xf>
    <xf numFmtId="43" fontId="1" fillId="5" borderId="0" xfId="1" applyFont="1" applyFill="1"/>
    <xf numFmtId="0" fontId="1" fillId="4" borderId="0" xfId="0" applyFont="1" applyFill="1" applyAlignment="1">
      <alignment horizontal="left" indent="1"/>
    </xf>
    <xf numFmtId="0" fontId="1" fillId="4" borderId="0" xfId="0" applyFont="1" applyFill="1"/>
    <xf numFmtId="43" fontId="1" fillId="4" borderId="0" xfId="0" applyNumberFormat="1" applyFont="1" applyFill="1"/>
    <xf numFmtId="43" fontId="1" fillId="2" borderId="0" xfId="1" applyFont="1" applyFill="1"/>
    <xf numFmtId="164" fontId="1" fillId="2" borderId="0" xfId="2" applyNumberFormat="1" applyFont="1" applyFill="1"/>
    <xf numFmtId="43" fontId="1" fillId="5" borderId="0" xfId="1" applyFont="1" applyFill="1" applyAlignment="1">
      <alignment horizontal="right"/>
    </xf>
    <xf numFmtId="164" fontId="1" fillId="5" borderId="0" xfId="2" applyNumberFormat="1" applyFont="1" applyFill="1"/>
    <xf numFmtId="0" fontId="19" fillId="0" borderId="6" xfId="0" applyFont="1" applyBorder="1" applyAlignment="1">
      <alignment horizontal="center" wrapText="1"/>
    </xf>
  </cellXfs>
  <cellStyles count="6">
    <cellStyle name="Hiperlink" xfId="5" builtinId="8"/>
    <cellStyle name="Normal" xfId="0" builtinId="0"/>
    <cellStyle name="Normal 2" xfId="3" xr:uid="{1B360959-5385-4F58-84FB-89746FEE3A04}"/>
    <cellStyle name="Porcentagem" xfId="2" builtinId="5"/>
    <cellStyle name="Porcentagem 2" xfId="4" xr:uid="{F9E493F9-3DBC-40D5-9D39-8D4C75533876}"/>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linkedin.com/in/fburckas/"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47220</xdr:colOff>
      <xdr:row>5</xdr:row>
      <xdr:rowOff>130268</xdr:rowOff>
    </xdr:from>
    <xdr:to>
      <xdr:col>15</xdr:col>
      <xdr:colOff>297996</xdr:colOff>
      <xdr:row>27</xdr:row>
      <xdr:rowOff>114300</xdr:rowOff>
    </xdr:to>
    <xdr:sp macro="" textlink="">
      <xdr:nvSpPr>
        <xdr:cNvPr id="2" name="Retângulo 1">
          <a:extLst>
            <a:ext uri="{FF2B5EF4-FFF2-40B4-BE49-F238E27FC236}">
              <a16:creationId xmlns:a16="http://schemas.microsoft.com/office/drawing/2014/main" id="{7C4002CE-95F2-F053-9E91-BDAAD04C3399}"/>
            </a:ext>
          </a:extLst>
        </xdr:cNvPr>
        <xdr:cNvSpPr/>
      </xdr:nvSpPr>
      <xdr:spPr>
        <a:xfrm>
          <a:off x="3095220" y="1035143"/>
          <a:ext cx="6346776" cy="3965482"/>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108000">
            <a:lnSpc>
              <a:spcPct val="90000"/>
            </a:lnSpc>
            <a:spcBef>
              <a:spcPts val="600"/>
            </a:spcBef>
            <a:spcAft>
              <a:spcPts val="600"/>
            </a:spcAft>
            <a:buClr>
              <a:schemeClr val="accent4"/>
            </a:buClr>
          </a:pPr>
          <a:r>
            <a:rPr lang="pt-BR" sz="1200">
              <a:solidFill>
                <a:schemeClr val="tx1"/>
              </a:solidFill>
            </a:rPr>
            <a:t>Executivo de Finanças Corporativas, sócio da </a:t>
          </a:r>
          <a:r>
            <a:rPr lang="pt-BR" sz="1200" b="1">
              <a:solidFill>
                <a:schemeClr val="tx1"/>
              </a:solidFill>
            </a:rPr>
            <a:t>AWAHL</a:t>
          </a:r>
          <a:r>
            <a:rPr lang="pt-BR" sz="1200">
              <a:solidFill>
                <a:schemeClr val="tx1"/>
              </a:solidFill>
            </a:rPr>
            <a:t> com mais de </a:t>
          </a:r>
          <a:r>
            <a:rPr lang="pt-BR" sz="1200" b="1">
              <a:solidFill>
                <a:schemeClr val="tx1"/>
              </a:solidFill>
            </a:rPr>
            <a:t>20 anos de experiência </a:t>
          </a:r>
          <a:r>
            <a:rPr lang="pt-BR" sz="1200">
              <a:solidFill>
                <a:schemeClr val="tx1"/>
              </a:solidFill>
            </a:rPr>
            <a:t>em consultoria, sólidos conhecimentos em </a:t>
          </a:r>
          <a:r>
            <a:rPr lang="pt-BR" sz="1200" i="1">
              <a:solidFill>
                <a:schemeClr val="tx1"/>
              </a:solidFill>
            </a:rPr>
            <a:t>valuation</a:t>
          </a:r>
          <a:r>
            <a:rPr lang="pt-BR" sz="1200">
              <a:solidFill>
                <a:schemeClr val="tx1"/>
              </a:solidFill>
            </a:rPr>
            <a:t>, estudo de viabilidade, planejamento e modelagem financeira em mais de </a:t>
          </a:r>
          <a:r>
            <a:rPr lang="pt-BR" sz="1200" b="1">
              <a:solidFill>
                <a:schemeClr val="tx1"/>
              </a:solidFill>
            </a:rPr>
            <a:t>R$ 160 bilhões</a:t>
          </a:r>
          <a:r>
            <a:rPr lang="pt-BR" sz="1200">
              <a:solidFill>
                <a:schemeClr val="tx1"/>
              </a:solidFill>
            </a:rPr>
            <a:t> em valor de ativos avaliados e/ou assessorados.</a:t>
          </a:r>
        </a:p>
        <a:p>
          <a:pPr marL="108000">
            <a:lnSpc>
              <a:spcPct val="90000"/>
            </a:lnSpc>
            <a:spcBef>
              <a:spcPts val="600"/>
            </a:spcBef>
            <a:spcAft>
              <a:spcPts val="600"/>
            </a:spcAft>
            <a:buClr>
              <a:schemeClr val="accent4"/>
            </a:buClr>
          </a:pPr>
          <a:r>
            <a:rPr lang="pt-BR" sz="1200">
              <a:solidFill>
                <a:schemeClr val="tx1"/>
              </a:solidFill>
            </a:rPr>
            <a:t>Foi Gerente Sênior da área de </a:t>
          </a:r>
          <a:r>
            <a:rPr lang="pt-BR" sz="1200" i="1">
              <a:solidFill>
                <a:schemeClr val="tx1"/>
              </a:solidFill>
            </a:rPr>
            <a:t>Strategy and Transactions </a:t>
          </a:r>
          <a:r>
            <a:rPr lang="pt-BR" sz="1200">
              <a:solidFill>
                <a:schemeClr val="tx1"/>
              </a:solidFill>
            </a:rPr>
            <a:t>da EY Parthenon. Com visão de dono, é sócio da Santa Fé Agropecuária, conduziu sua própria consultoria (Crívah Finance) por quase 10 anos, além de ter investido e conduzido a reestruturação da Happy Life (empresa de transporte acessivo) e da Vocare (locadora de veículos).</a:t>
          </a:r>
        </a:p>
        <a:p>
          <a:pPr marL="108000">
            <a:lnSpc>
              <a:spcPct val="90000"/>
            </a:lnSpc>
            <a:spcBef>
              <a:spcPts val="600"/>
            </a:spcBef>
            <a:spcAft>
              <a:spcPts val="600"/>
            </a:spcAft>
            <a:buClr>
              <a:schemeClr val="accent4"/>
            </a:buClr>
          </a:pPr>
          <a:r>
            <a:rPr lang="pt-BR" sz="1200">
              <a:solidFill>
                <a:schemeClr val="tx1"/>
              </a:solidFill>
            </a:rPr>
            <a:t>Vivência em diferentes setores, incluindo TI, Agronegócio, Hotelaria, Serviços Financeiros, Real Estate, Saúde, Locação de Veículos, Óleo e Gás, Energia, Serviços em Geral e outros.</a:t>
          </a:r>
        </a:p>
        <a:p>
          <a:pPr marL="108000">
            <a:lnSpc>
              <a:spcPct val="90000"/>
            </a:lnSpc>
            <a:spcBef>
              <a:spcPts val="600"/>
            </a:spcBef>
            <a:spcAft>
              <a:spcPts val="600"/>
            </a:spcAft>
            <a:buClr>
              <a:schemeClr val="accent4"/>
            </a:buClr>
          </a:pPr>
          <a:r>
            <a:rPr lang="pt-BR" sz="1200">
              <a:solidFill>
                <a:schemeClr val="tx1"/>
              </a:solidFill>
            </a:rPr>
            <a:t>Entusiasta da economia comportamental e do processo de tomada de decisão, é hábil em apoiar investidores e executivos em tomadas de decisões estratégicas e financeiras.</a:t>
          </a:r>
        </a:p>
        <a:p>
          <a:pPr marL="108000">
            <a:lnSpc>
              <a:spcPct val="90000"/>
            </a:lnSpc>
            <a:spcBef>
              <a:spcPts val="600"/>
            </a:spcBef>
            <a:spcAft>
              <a:spcPts val="600"/>
            </a:spcAft>
            <a:buClr>
              <a:schemeClr val="accent4"/>
            </a:buClr>
          </a:pPr>
          <a:r>
            <a:rPr lang="pt-BR" sz="1200">
              <a:solidFill>
                <a:schemeClr val="tx1"/>
              </a:solidFill>
            </a:rPr>
            <a:t>Como docente universitário, ministrou disciplinas de Planejamento e Controle Financeiro, Fundamentos do Mercado de Capitais, Custos e Controladoria, Contabilidade e Análise Financeira.</a:t>
          </a:r>
        </a:p>
        <a:p>
          <a:pPr marL="108000">
            <a:lnSpc>
              <a:spcPct val="90000"/>
            </a:lnSpc>
            <a:spcBef>
              <a:spcPts val="600"/>
            </a:spcBef>
            <a:spcAft>
              <a:spcPts val="600"/>
            </a:spcAft>
            <a:buClr>
              <a:schemeClr val="accent4"/>
            </a:buClr>
          </a:pPr>
          <a:r>
            <a:rPr lang="pt-BR" sz="1200">
              <a:solidFill>
                <a:schemeClr val="tx1"/>
              </a:solidFill>
            </a:rPr>
            <a:t>Certificado pela EFFAS (</a:t>
          </a:r>
          <a:r>
            <a:rPr lang="pt-BR" sz="1200" i="1">
              <a:solidFill>
                <a:schemeClr val="tx1"/>
              </a:solidFill>
            </a:rPr>
            <a:t>European Federation of Financial Analysts Societies</a:t>
          </a:r>
          <a:r>
            <a:rPr lang="pt-BR" sz="1200">
              <a:solidFill>
                <a:schemeClr val="tx1"/>
              </a:solidFill>
            </a:rPr>
            <a:t>), é pós-graduado em Análise Financeira (Universidade do Porto) e em Docência em Turismo e Hotelaria (SENAC), com graduações em Administração de Empresas (PUC-SP) e Hotelaria (SENAC). Possui formação em Conselho de Administração e Governança Corporativa em Empresa Familiares pelo IBGC.</a:t>
          </a:r>
        </a:p>
      </xdr:txBody>
    </xdr:sp>
    <xdr:clientData/>
  </xdr:twoCellAnchor>
  <xdr:twoCellAnchor>
    <xdr:from>
      <xdr:col>5</xdr:col>
      <xdr:colOff>39601</xdr:colOff>
      <xdr:row>2</xdr:row>
      <xdr:rowOff>0</xdr:rowOff>
    </xdr:from>
    <xdr:to>
      <xdr:col>15</xdr:col>
      <xdr:colOff>297997</xdr:colOff>
      <xdr:row>3</xdr:row>
      <xdr:rowOff>136482</xdr:rowOff>
    </xdr:to>
    <xdr:sp macro="" textlink="">
      <xdr:nvSpPr>
        <xdr:cNvPr id="3" name="Forma Livre: Forma 2">
          <a:extLst>
            <a:ext uri="{FF2B5EF4-FFF2-40B4-BE49-F238E27FC236}">
              <a16:creationId xmlns:a16="http://schemas.microsoft.com/office/drawing/2014/main" id="{9C342B27-8245-1B07-5B0B-3D3B87F0B36C}"/>
            </a:ext>
          </a:extLst>
        </xdr:cNvPr>
        <xdr:cNvSpPr>
          <a:spLocks noChangeAspect="1"/>
        </xdr:cNvSpPr>
      </xdr:nvSpPr>
      <xdr:spPr>
        <a:xfrm>
          <a:off x="3087601" y="361950"/>
          <a:ext cx="6354396" cy="317457"/>
        </a:xfrm>
        <a:custGeom>
          <a:avLst/>
          <a:gdLst>
            <a:gd name="csX0" fmla="*/ 0 w 9597945"/>
            <a:gd name="csY0" fmla="*/ 0 h 571398"/>
            <a:gd name="csX1" fmla="*/ 9597945 w 9597945"/>
            <a:gd name="csY1" fmla="*/ 0 h 571398"/>
            <a:gd name="csX2" fmla="*/ 9597945 w 9597945"/>
            <a:gd name="csY2" fmla="*/ 571398 h 571398"/>
            <a:gd name="csX3" fmla="*/ 158278 w 9597945"/>
            <a:gd name="csY3" fmla="*/ 571398 h 571398"/>
          </a:gdLst>
          <a:ahLst/>
          <a:cxnLst>
            <a:cxn ang="0">
              <a:pos x="csX0" y="csY0"/>
            </a:cxn>
            <a:cxn ang="0">
              <a:pos x="csX1" y="csY1"/>
            </a:cxn>
            <a:cxn ang="0">
              <a:pos x="csX2" y="csY2"/>
            </a:cxn>
            <a:cxn ang="0">
              <a:pos x="csX3" y="csY3"/>
            </a:cxn>
          </a:cxnLst>
          <a:rect l="l" t="t" r="r" b="b"/>
          <a:pathLst>
            <a:path w="9597945" h="571398">
              <a:moveTo>
                <a:pt x="0" y="0"/>
              </a:moveTo>
              <a:lnTo>
                <a:pt x="9597945" y="0"/>
              </a:lnTo>
              <a:lnTo>
                <a:pt x="9597945" y="571398"/>
              </a:lnTo>
              <a:lnTo>
                <a:pt x="158278" y="571398"/>
              </a:lnTo>
              <a:close/>
            </a:path>
          </a:pathLst>
        </a:custGeom>
        <a:solidFill>
          <a:schemeClr val="accent5">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noAutofit/>
        </a:bodyP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pt-BR" b="1"/>
            <a:t>  Francisco Burckas</a:t>
          </a:r>
        </a:p>
      </xdr:txBody>
    </xdr:sp>
    <xdr:clientData/>
  </xdr:twoCellAnchor>
  <xdr:twoCellAnchor editAs="oneCell">
    <xdr:from>
      <xdr:col>1</xdr:col>
      <xdr:colOff>0</xdr:colOff>
      <xdr:row>2</xdr:row>
      <xdr:rowOff>0</xdr:rowOff>
    </xdr:from>
    <xdr:to>
      <xdr:col>4</xdr:col>
      <xdr:colOff>211757</xdr:colOff>
      <xdr:row>13</xdr:row>
      <xdr:rowOff>55548</xdr:rowOff>
    </xdr:to>
    <xdr:pic>
      <xdr:nvPicPr>
        <xdr:cNvPr id="4" name="Imagem 3">
          <a:extLst>
            <a:ext uri="{FF2B5EF4-FFF2-40B4-BE49-F238E27FC236}">
              <a16:creationId xmlns:a16="http://schemas.microsoft.com/office/drawing/2014/main" id="{4D551A84-326D-A79B-C2AD-16AEB6080403}"/>
            </a:ext>
          </a:extLst>
        </xdr:cNvPr>
        <xdr:cNvPicPr>
          <a:picLocks noChangeAspect="1"/>
        </xdr:cNvPicPr>
      </xdr:nvPicPr>
      <xdr:blipFill>
        <a:blip xmlns:r="http://schemas.openxmlformats.org/officeDocument/2006/relationships" r:embed="rId1"/>
        <a:srcRect t="34280" b="17868"/>
        <a:stretch>
          <a:fillRect/>
        </a:stretch>
      </xdr:blipFill>
      <xdr:spPr>
        <a:xfrm>
          <a:off x="2438400" y="1085850"/>
          <a:ext cx="2046272" cy="2046273"/>
        </a:xfrm>
        <a:prstGeom prst="ellipse">
          <a:avLst/>
        </a:prstGeom>
      </xdr:spPr>
    </xdr:pic>
    <xdr:clientData/>
  </xdr:twoCellAnchor>
  <xdr:twoCellAnchor>
    <xdr:from>
      <xdr:col>5</xdr:col>
      <xdr:colOff>0</xdr:colOff>
      <xdr:row>3</xdr:row>
      <xdr:rowOff>129540</xdr:rowOff>
    </xdr:from>
    <xdr:to>
      <xdr:col>10</xdr:col>
      <xdr:colOff>259715</xdr:colOff>
      <xdr:row>5</xdr:row>
      <xdr:rowOff>34915</xdr:rowOff>
    </xdr:to>
    <xdr:sp macro="" textlink="">
      <xdr:nvSpPr>
        <xdr:cNvPr id="5" name="CaixaDeTexto 3">
          <a:extLst>
            <a:ext uri="{FF2B5EF4-FFF2-40B4-BE49-F238E27FC236}">
              <a16:creationId xmlns:a16="http://schemas.microsoft.com/office/drawing/2014/main" id="{8919808A-3209-3536-4DBD-B63248036E4D}"/>
            </a:ext>
          </a:extLst>
        </xdr:cNvPr>
        <xdr:cNvSpPr txBox="1"/>
      </xdr:nvSpPr>
      <xdr:spPr>
        <a:xfrm>
          <a:off x="3048000" y="672465"/>
          <a:ext cx="3307715" cy="267325"/>
        </a:xfrm>
        <a:prstGeom prst="rect">
          <a:avLst/>
        </a:prstGeom>
        <a:noFill/>
      </xdr:spPr>
      <xdr:txBody>
        <a:bodyPr wrap="square">
          <a:sp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BR" sz="1100">
              <a:solidFill>
                <a:schemeClr val="accent4"/>
              </a:solidFill>
              <a:effectLst/>
            </a:rPr>
            <a:t>Certified European Financial Analyst (CEFA)</a:t>
          </a:r>
          <a:endParaRPr lang="pt-BR" sz="1100">
            <a:solidFill>
              <a:schemeClr val="accent4"/>
            </a:solidFill>
          </a:endParaRPr>
        </a:p>
      </xdr:txBody>
    </xdr:sp>
    <xdr:clientData/>
  </xdr:twoCellAnchor>
  <xdr:twoCellAnchor editAs="oneCell">
    <xdr:from>
      <xdr:col>3</xdr:col>
      <xdr:colOff>390525</xdr:colOff>
      <xdr:row>12</xdr:row>
      <xdr:rowOff>28575</xdr:rowOff>
    </xdr:from>
    <xdr:to>
      <xdr:col>4</xdr:col>
      <xdr:colOff>307142</xdr:colOff>
      <xdr:row>15</xdr:row>
      <xdr:rowOff>17582</xdr:rowOff>
    </xdr:to>
    <xdr:pic>
      <xdr:nvPicPr>
        <xdr:cNvPr id="6" name="Picture 10">
          <a:hlinkClick xmlns:r="http://schemas.openxmlformats.org/officeDocument/2006/relationships" r:id="rId2"/>
          <a:extLst>
            <a:ext uri="{FF2B5EF4-FFF2-40B4-BE49-F238E27FC236}">
              <a16:creationId xmlns:a16="http://schemas.microsoft.com/office/drawing/2014/main" id="{F7EBFBB5-2191-BEE9-304F-9D2BAD814632}"/>
            </a:ext>
          </a:extLst>
        </xdr:cNvPr>
        <xdr:cNvPicPr>
          <a:picLocks noChangeAspect="1" noChangeArrowheads="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2219325" y="2200275"/>
          <a:ext cx="526217" cy="531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Francisco Burckas">
      <a:dk1>
        <a:sysClr val="windowText" lastClr="000000"/>
      </a:dk1>
      <a:lt1>
        <a:sysClr val="window" lastClr="FFFFFF"/>
      </a:lt1>
      <a:dk2>
        <a:srgbClr val="0E2841"/>
      </a:dk2>
      <a:lt2>
        <a:srgbClr val="E8E8E8"/>
      </a:lt2>
      <a:accent1>
        <a:srgbClr val="1F1F20"/>
      </a:accent1>
      <a:accent2>
        <a:srgbClr val="2B4C7E"/>
      </a:accent2>
      <a:accent3>
        <a:srgbClr val="567EBB"/>
      </a:accent3>
      <a:accent4>
        <a:srgbClr val="606D80"/>
      </a:accent4>
      <a:accent5>
        <a:srgbClr val="DCE0E6"/>
      </a:accent5>
      <a:accent6>
        <a:srgbClr val="FFD952"/>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F951432D-3B74-4C29-BD0B-134D8264D66A}">
  <we:reference id="29673e3c-d826-4f00-92ee-162334a52b1a" version="1.0.0.8" store="EXCatalog" storeType="EXCatalog"/>
  <we:alternateReferences>
    <we:reference id="WA200009404" version="1.0.0.8" store="pt-BR" storeType="OMEX"/>
  </we:alternateReferences>
  <we:properties>
    <we:property name="claude.fileId" value="&quot;58b0ffd7-5985-45ba-a2d6-745178303520&quot;"/>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linkedin.com/in/fburckas/" TargetMode="External"/><Relationship Id="rId1" Type="http://schemas.openxmlformats.org/officeDocument/2006/relationships/hyperlink" Target="mailto:contato@awahl.com.br"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4F4F-6B4D-49C7-BC53-1CE59D0AB440}">
  <sheetPr codeName="Planilha1">
    <tabColor rgb="FFC00000"/>
  </sheetPr>
  <dimension ref="B1:B36"/>
  <sheetViews>
    <sheetView showGridLines="0" tabSelected="1" zoomScaleNormal="100" workbookViewId="0"/>
  </sheetViews>
  <sheetFormatPr defaultRowHeight="14.4"/>
  <cols>
    <col min="1" max="1" width="1.44140625" customWidth="1"/>
    <col min="2" max="2" width="162.33203125" customWidth="1"/>
    <col min="3" max="3" width="1.44140625" customWidth="1"/>
  </cols>
  <sheetData>
    <row r="1" spans="2:2" ht="15" thickBot="1"/>
    <row r="2" spans="2:2" ht="21">
      <c r="B2" s="55" t="s">
        <v>0</v>
      </c>
    </row>
    <row r="3" spans="2:2">
      <c r="B3" s="49"/>
    </row>
    <row r="4" spans="2:2" ht="15.6">
      <c r="B4" s="50" t="s">
        <v>1</v>
      </c>
    </row>
    <row r="5" spans="2:2">
      <c r="B5" s="51" t="s">
        <v>2</v>
      </c>
    </row>
    <row r="6" spans="2:2">
      <c r="B6" s="49"/>
    </row>
    <row r="7" spans="2:2">
      <c r="B7" s="54" t="s">
        <v>3</v>
      </c>
    </row>
    <row r="8" spans="2:2" ht="40.200000000000003">
      <c r="B8" s="52" t="s">
        <v>4</v>
      </c>
    </row>
    <row r="9" spans="2:2" ht="7.95" customHeight="1">
      <c r="B9" s="53"/>
    </row>
    <row r="10" spans="2:2">
      <c r="B10" s="54" t="s">
        <v>5</v>
      </c>
    </row>
    <row r="11" spans="2:2" ht="40.200000000000003">
      <c r="B11" s="52" t="s">
        <v>6</v>
      </c>
    </row>
    <row r="12" spans="2:2" ht="7.95" customHeight="1">
      <c r="B12" s="53"/>
    </row>
    <row r="13" spans="2:2">
      <c r="B13" s="54" t="s">
        <v>7</v>
      </c>
    </row>
    <row r="14" spans="2:2" ht="53.4">
      <c r="B14" s="52" t="s">
        <v>8</v>
      </c>
    </row>
    <row r="15" spans="2:2" ht="7.95" customHeight="1">
      <c r="B15" s="53"/>
    </row>
    <row r="16" spans="2:2">
      <c r="B16" s="54" t="s">
        <v>9</v>
      </c>
    </row>
    <row r="17" spans="2:2" ht="119.4">
      <c r="B17" s="52" t="s">
        <v>10</v>
      </c>
    </row>
    <row r="18" spans="2:2" ht="7.95" customHeight="1">
      <c r="B18" s="53"/>
    </row>
    <row r="19" spans="2:2">
      <c r="B19" s="54" t="s">
        <v>11</v>
      </c>
    </row>
    <row r="20" spans="2:2" ht="106.2">
      <c r="B20" s="52" t="s">
        <v>12</v>
      </c>
    </row>
    <row r="21" spans="2:2" ht="7.95" customHeight="1">
      <c r="B21" s="53"/>
    </row>
    <row r="22" spans="2:2">
      <c r="B22" s="54" t="s">
        <v>13</v>
      </c>
    </row>
    <row r="23" spans="2:2" ht="106.2">
      <c r="B23" s="52" t="s">
        <v>14</v>
      </c>
    </row>
    <row r="24" spans="2:2" ht="7.95" customHeight="1">
      <c r="B24" s="53"/>
    </row>
    <row r="25" spans="2:2">
      <c r="B25" s="54" t="s">
        <v>15</v>
      </c>
    </row>
    <row r="26" spans="2:2" ht="106.2">
      <c r="B26" s="52" t="s">
        <v>16</v>
      </c>
    </row>
    <row r="27" spans="2:2" ht="7.95" customHeight="1">
      <c r="B27" s="53"/>
    </row>
    <row r="28" spans="2:2">
      <c r="B28" s="54" t="s">
        <v>17</v>
      </c>
    </row>
    <row r="29" spans="2:2" ht="40.200000000000003">
      <c r="B29" s="52" t="s">
        <v>18</v>
      </c>
    </row>
    <row r="30" spans="2:2" ht="7.95" customHeight="1">
      <c r="B30" s="53"/>
    </row>
    <row r="31" spans="2:2">
      <c r="B31" s="54" t="s">
        <v>19</v>
      </c>
    </row>
    <row r="32" spans="2:2" ht="27">
      <c r="B32" s="52" t="s">
        <v>20</v>
      </c>
    </row>
    <row r="33" spans="2:2" ht="7.95" customHeight="1">
      <c r="B33" s="53"/>
    </row>
    <row r="34" spans="2:2">
      <c r="B34" s="56" t="s">
        <v>21</v>
      </c>
    </row>
    <row r="35" spans="2:2">
      <c r="B35" s="53"/>
    </row>
    <row r="36" spans="2:2" ht="15" thickBot="1">
      <c r="B36" s="88"/>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5CA90-CA91-4991-8FF6-687562CB6E5E}">
  <sheetPr codeName="Planilha5">
    <tabColor theme="9"/>
  </sheetPr>
  <dimension ref="F30:F31"/>
  <sheetViews>
    <sheetView showGridLines="0" workbookViewId="0">
      <selection activeCell="E19" sqref="E19"/>
    </sheetView>
  </sheetViews>
  <sheetFormatPr defaultColWidth="8.88671875" defaultRowHeight="14.4"/>
  <cols>
    <col min="1" max="4" width="8.88671875" style="69"/>
    <col min="5" max="5" width="8.88671875" style="69" customWidth="1"/>
    <col min="6" max="16384" width="8.88671875" style="69"/>
  </cols>
  <sheetData>
    <row r="30" spans="6:6">
      <c r="F30" s="68" t="s">
        <v>22</v>
      </c>
    </row>
    <row r="31" spans="6:6">
      <c r="F31" s="68" t="s">
        <v>23</v>
      </c>
    </row>
  </sheetData>
  <sheetProtection algorithmName="SHA-512" hashValue="TPFdZyhEV3OzC5a5Puzf0/LQHdHVd6r5I/T7gu0GjltEJpi6dx4IvAzb9kAWv9FomVWkRCmxLOv4VZMMvyH5Eg==" saltValue="fK1Hb4ylYqyokyT3pgG2nw==" spinCount="100000" sheet="1" objects="1" scenarios="1"/>
  <hyperlinks>
    <hyperlink ref="F30" r:id="rId1" xr:uid="{339C11E0-6485-4336-AEE8-B0D1EA8C3EA8}"/>
    <hyperlink ref="F31" r:id="rId2" xr:uid="{14F7F128-0CD7-4F04-8182-6E7CB9F29E29}"/>
  </hyperlinks>
  <pageMargins left="0.511811024" right="0.511811024" top="0.78740157499999996" bottom="0.78740157499999996" header="0.31496062000000002" footer="0.3149606200000000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5CC2-D52B-4F28-8564-8E88D002E309}">
  <sheetPr codeName="Planilha2">
    <tabColor theme="3"/>
  </sheetPr>
  <dimension ref="B2:Q42"/>
  <sheetViews>
    <sheetView showGridLines="0" workbookViewId="0"/>
  </sheetViews>
  <sheetFormatPr defaultColWidth="8.88671875" defaultRowHeight="13.8"/>
  <cols>
    <col min="1" max="1" width="3" style="2" customWidth="1"/>
    <col min="2" max="2" width="24.88671875" style="2" bestFit="1" customWidth="1"/>
    <col min="3" max="3" width="16.6640625" style="2" bestFit="1" customWidth="1"/>
    <col min="4" max="4" width="12.5546875" style="2" bestFit="1" customWidth="1"/>
    <col min="5" max="5" width="13.109375" style="2" bestFit="1" customWidth="1"/>
    <col min="6" max="6" width="13.5546875" style="2" bestFit="1" customWidth="1"/>
    <col min="7" max="7" width="2.6640625" style="2" customWidth="1"/>
    <col min="8" max="8" width="9.6640625" style="3" customWidth="1"/>
    <col min="9" max="9" width="7" style="2" bestFit="1" customWidth="1"/>
    <col min="10" max="10" width="12.6640625" style="2" bestFit="1" customWidth="1"/>
    <col min="11" max="11" width="14.33203125" style="2" bestFit="1" customWidth="1"/>
    <col min="12" max="12" width="13.33203125" style="2" bestFit="1" customWidth="1"/>
    <col min="13" max="13" width="10.5546875" style="2" bestFit="1" customWidth="1"/>
    <col min="14" max="14" width="1.5546875" style="2" customWidth="1"/>
    <col min="15" max="16384" width="8.88671875" style="2"/>
  </cols>
  <sheetData>
    <row r="2" spans="2:13">
      <c r="B2" s="4" t="s">
        <v>24</v>
      </c>
      <c r="C2" s="5">
        <f>COUNTIF(C8:C27,"Pessoa Física")</f>
        <v>2</v>
      </c>
      <c r="D2" s="70"/>
      <c r="E2" s="70"/>
      <c r="F2" s="70"/>
      <c r="G2" s="70"/>
      <c r="H2" s="70"/>
      <c r="I2" s="70"/>
      <c r="J2" s="70"/>
      <c r="K2" s="70"/>
      <c r="L2" s="70"/>
      <c r="M2" s="70"/>
    </row>
    <row r="3" spans="2:13">
      <c r="B3" s="4" t="s">
        <v>25</v>
      </c>
      <c r="C3" s="5">
        <f>SUMIF(C8:C27,"Pessoa Física",F8:F27)*12</f>
        <v>1200000</v>
      </c>
      <c r="D3" s="70"/>
      <c r="E3" s="70"/>
      <c r="F3" s="70"/>
      <c r="G3" s="70"/>
      <c r="H3" s="6" t="s">
        <v>26</v>
      </c>
      <c r="I3" s="70"/>
      <c r="J3" s="70"/>
      <c r="K3" s="70"/>
      <c r="L3" s="70"/>
      <c r="M3" s="70"/>
    </row>
    <row r="4" spans="2:13">
      <c r="B4" s="4" t="s">
        <v>27</v>
      </c>
      <c r="C4" s="7" t="str">
        <f>IF(C3&gt;'Apoio - Tributação Locação'!E6,"Locador Profissional",IF(AND(C2&gt;'Apoio - Tributação Locação'!C4,Cálculo!C3&gt;'Apoio - Tributação Locação'!C3),"Locador Profissional","Locador Comum"))</f>
        <v>Locador Profissional</v>
      </c>
      <c r="D4" s="70"/>
      <c r="E4" s="70"/>
      <c r="F4" s="70"/>
      <c r="G4" s="70"/>
      <c r="H4" s="71">
        <v>0.26500000000000001</v>
      </c>
      <c r="I4" s="70"/>
      <c r="J4" s="70"/>
      <c r="K4" s="70"/>
      <c r="L4" s="70"/>
      <c r="M4" s="70"/>
    </row>
    <row r="5" spans="2:13" ht="4.95" customHeight="1">
      <c r="B5" s="70"/>
      <c r="C5" s="70"/>
      <c r="D5" s="70"/>
      <c r="E5" s="70"/>
      <c r="F5" s="70"/>
      <c r="G5" s="70"/>
      <c r="H5" s="72"/>
      <c r="I5" s="70"/>
      <c r="J5" s="70"/>
      <c r="K5" s="70"/>
      <c r="L5" s="70"/>
      <c r="M5" s="70"/>
    </row>
    <row r="6" spans="2:13">
      <c r="B6" s="57" t="s">
        <v>28</v>
      </c>
      <c r="C6" s="70"/>
      <c r="D6" s="70"/>
      <c r="E6" s="70"/>
      <c r="F6" s="70"/>
      <c r="G6" s="70"/>
      <c r="H6" s="72"/>
      <c r="I6" s="70"/>
      <c r="J6" s="70"/>
      <c r="K6" s="70"/>
      <c r="L6" s="70"/>
      <c r="M6" s="70"/>
    </row>
    <row r="7" spans="2:13">
      <c r="B7" s="13" t="s">
        <v>29</v>
      </c>
      <c r="C7" s="13" t="s">
        <v>30</v>
      </c>
      <c r="D7" s="13" t="s">
        <v>31</v>
      </c>
      <c r="E7" s="11" t="s">
        <v>32</v>
      </c>
      <c r="F7" s="12" t="s">
        <v>33</v>
      </c>
      <c r="G7" s="70"/>
      <c r="H7" s="11" t="s">
        <v>26</v>
      </c>
      <c r="I7" s="12" t="s">
        <v>34</v>
      </c>
      <c r="J7" s="11" t="s">
        <v>35</v>
      </c>
      <c r="K7" s="13" t="s">
        <v>36</v>
      </c>
      <c r="L7" s="13" t="s">
        <v>37</v>
      </c>
      <c r="M7" s="12" t="s">
        <v>26</v>
      </c>
    </row>
    <row r="8" spans="2:13">
      <c r="B8" s="73" t="s">
        <v>38</v>
      </c>
      <c r="C8" s="73" t="s">
        <v>39</v>
      </c>
      <c r="D8" s="73" t="s">
        <v>40</v>
      </c>
      <c r="E8" s="74" t="s">
        <v>41</v>
      </c>
      <c r="F8" s="75">
        <v>50000</v>
      </c>
      <c r="G8" s="70"/>
      <c r="H8" s="76" t="str">
        <f>IF(OR(C8="Pessoa Jurídica",$C$4="Locador Profissional"),"Sim","Não")</f>
        <v>Sim</v>
      </c>
      <c r="I8" s="77">
        <f>IF(H8="Não","n.a.",IF(E8="Curta Duração",'Apoio - Tributação Locação'!$E$16,'Apoio - Tributação Locação'!$E$14))</f>
        <v>0.4</v>
      </c>
      <c r="J8" s="38">
        <f t="shared" ref="J8:J27" si="0">IFERROR($H$4*(1-I8),"n.a.")</f>
        <v>0.159</v>
      </c>
      <c r="K8" s="41" t="str">
        <f>IF(AND(D8="Residencial",E8&lt;&gt;"Curta Duração"),'Apoio - Tributação Locação'!$C$15,"n.a.")</f>
        <v>n.a.</v>
      </c>
      <c r="L8" s="41">
        <f t="shared" ref="L8:L14" si="1">IF(AND(D8="Residencial",ISNUMBER(K8)),F8-K8,F8)</f>
        <v>50000</v>
      </c>
      <c r="M8" s="41">
        <f>IFERROR(L8*J8,0)</f>
        <v>7950</v>
      </c>
    </row>
    <row r="9" spans="2:13">
      <c r="B9" s="73" t="s">
        <v>42</v>
      </c>
      <c r="C9" s="73" t="s">
        <v>39</v>
      </c>
      <c r="D9" s="73" t="s">
        <v>40</v>
      </c>
      <c r="E9" s="74" t="s">
        <v>43</v>
      </c>
      <c r="F9" s="75">
        <v>50000</v>
      </c>
      <c r="G9" s="70"/>
      <c r="H9" s="76" t="str">
        <f t="shared" ref="H9:H27" si="2">IF(OR(C9="Pessoa Jurídica",$C$4="Locador Profissional"),"Sim","Não")</f>
        <v>Sim</v>
      </c>
      <c r="I9" s="77">
        <f>IF(H9="Não","n.a.",IF(E9="Curta Duração",'Apoio - Tributação Locação'!$E$16,'Apoio - Tributação Locação'!$E$14))</f>
        <v>0.7</v>
      </c>
      <c r="J9" s="38">
        <f t="shared" si="0"/>
        <v>7.9500000000000015E-2</v>
      </c>
      <c r="K9" s="41">
        <f>IF(AND(D9="Residencial",E9&lt;&gt;"Curta Duração"),'Apoio - Tributação Locação'!$C$15,"n.a.")</f>
        <v>600</v>
      </c>
      <c r="L9" s="41">
        <f t="shared" si="1"/>
        <v>49400</v>
      </c>
      <c r="M9" s="41">
        <f t="shared" ref="M9:M27" si="3">IFERROR(L9*J9,0)</f>
        <v>3927.3000000000006</v>
      </c>
    </row>
    <row r="10" spans="2:13">
      <c r="B10" s="73" t="s">
        <v>44</v>
      </c>
      <c r="C10" s="73" t="s">
        <v>45</v>
      </c>
      <c r="D10" s="73" t="s">
        <v>40</v>
      </c>
      <c r="E10" s="74" t="s">
        <v>43</v>
      </c>
      <c r="F10" s="75">
        <v>50000</v>
      </c>
      <c r="G10" s="70"/>
      <c r="H10" s="76" t="str">
        <f t="shared" si="2"/>
        <v>Sim</v>
      </c>
      <c r="I10" s="77">
        <f>IF(H10="Não","n.a.",IF(E10="Curta Duração",'Apoio - Tributação Locação'!$E$16,'Apoio - Tributação Locação'!$E$14))</f>
        <v>0.7</v>
      </c>
      <c r="J10" s="38">
        <f t="shared" si="0"/>
        <v>7.9500000000000015E-2</v>
      </c>
      <c r="K10" s="41">
        <f>IF(AND(D10="Residencial",E10&lt;&gt;"Curta Duração"),'Apoio - Tributação Locação'!$C$15,"n.a.")</f>
        <v>600</v>
      </c>
      <c r="L10" s="41">
        <f t="shared" si="1"/>
        <v>49400</v>
      </c>
      <c r="M10" s="41">
        <f t="shared" si="3"/>
        <v>3927.3000000000006</v>
      </c>
    </row>
    <row r="11" spans="2:13">
      <c r="B11" s="73" t="s">
        <v>46</v>
      </c>
      <c r="C11" s="73" t="s">
        <v>45</v>
      </c>
      <c r="D11" s="73" t="s">
        <v>47</v>
      </c>
      <c r="E11" s="74" t="s">
        <v>43</v>
      </c>
      <c r="F11" s="75">
        <v>50000</v>
      </c>
      <c r="G11" s="70"/>
      <c r="H11" s="76" t="str">
        <f t="shared" si="2"/>
        <v>Sim</v>
      </c>
      <c r="I11" s="77">
        <f>IF(H11="Não","n.a.",IF(E11="Curta Duração",'Apoio - Tributação Locação'!$E$16,'Apoio - Tributação Locação'!$E$14))</f>
        <v>0.7</v>
      </c>
      <c r="J11" s="38">
        <f t="shared" si="0"/>
        <v>7.9500000000000015E-2</v>
      </c>
      <c r="K11" s="41" t="str">
        <f>IF(AND(D11="Residencial",E11&lt;&gt;"Curta Duração"),'Apoio - Tributação Locação'!$C$15,"n.a.")</f>
        <v>n.a.</v>
      </c>
      <c r="L11" s="41">
        <f t="shared" si="1"/>
        <v>50000</v>
      </c>
      <c r="M11" s="41">
        <f t="shared" si="3"/>
        <v>3975.0000000000009</v>
      </c>
    </row>
    <row r="12" spans="2:13">
      <c r="B12" s="73" t="s">
        <v>48</v>
      </c>
      <c r="C12" s="73" t="s">
        <v>45</v>
      </c>
      <c r="D12" s="73" t="s">
        <v>47</v>
      </c>
      <c r="E12" s="74" t="s">
        <v>43</v>
      </c>
      <c r="F12" s="75">
        <v>50000</v>
      </c>
      <c r="G12" s="70"/>
      <c r="H12" s="76" t="str">
        <f t="shared" si="2"/>
        <v>Sim</v>
      </c>
      <c r="I12" s="77">
        <f>IF(H12="Não","n.a.",IF(E12="Curta Duração",'Apoio - Tributação Locação'!$E$16,'Apoio - Tributação Locação'!$E$14))</f>
        <v>0.7</v>
      </c>
      <c r="J12" s="38">
        <f t="shared" si="0"/>
        <v>7.9500000000000015E-2</v>
      </c>
      <c r="K12" s="41" t="str">
        <f>IF(AND(D12="Residencial",E12&lt;&gt;"Curta Duração"),'Apoio - Tributação Locação'!$C$15,"n.a.")</f>
        <v>n.a.</v>
      </c>
      <c r="L12" s="41">
        <f t="shared" si="1"/>
        <v>50000</v>
      </c>
      <c r="M12" s="41">
        <f t="shared" si="3"/>
        <v>3975.0000000000009</v>
      </c>
    </row>
    <row r="13" spans="2:13">
      <c r="B13" s="73"/>
      <c r="C13" s="73"/>
      <c r="D13" s="73"/>
      <c r="E13" s="74"/>
      <c r="F13" s="75"/>
      <c r="G13" s="70"/>
      <c r="H13" s="76" t="str">
        <f t="shared" si="2"/>
        <v>Sim</v>
      </c>
      <c r="I13" s="77">
        <f>IF(H13="Não","n.a.",IF(E13="Curta Duração",'Apoio - Tributação Locação'!$E$16,'Apoio - Tributação Locação'!$E$14))</f>
        <v>0.7</v>
      </c>
      <c r="J13" s="38">
        <f t="shared" si="0"/>
        <v>7.9500000000000015E-2</v>
      </c>
      <c r="K13" s="41" t="str">
        <f>IF(AND(D13="Residencial",E13&lt;&gt;"Curta Duração"),'Apoio - Tributação Locação'!$C$15,"n.a.")</f>
        <v>n.a.</v>
      </c>
      <c r="L13" s="41">
        <f t="shared" si="1"/>
        <v>0</v>
      </c>
      <c r="M13" s="41">
        <f t="shared" si="3"/>
        <v>0</v>
      </c>
    </row>
    <row r="14" spans="2:13">
      <c r="B14" s="73"/>
      <c r="C14" s="73"/>
      <c r="D14" s="73"/>
      <c r="E14" s="74"/>
      <c r="F14" s="75"/>
      <c r="G14" s="70"/>
      <c r="H14" s="76" t="str">
        <f t="shared" si="2"/>
        <v>Sim</v>
      </c>
      <c r="I14" s="77">
        <f>IF(H14="Não","n.a.",IF(E14="Curta Duração",'Apoio - Tributação Locação'!$E$16,'Apoio - Tributação Locação'!$E$14))</f>
        <v>0.7</v>
      </c>
      <c r="J14" s="38">
        <f t="shared" si="0"/>
        <v>7.9500000000000015E-2</v>
      </c>
      <c r="K14" s="41" t="str">
        <f>IF(AND(D14="Residencial",E14&lt;&gt;"Curta Duração"),'Apoio - Tributação Locação'!$C$15,"n.a.")</f>
        <v>n.a.</v>
      </c>
      <c r="L14" s="41">
        <f t="shared" si="1"/>
        <v>0</v>
      </c>
      <c r="M14" s="41">
        <f t="shared" si="3"/>
        <v>0</v>
      </c>
    </row>
    <row r="15" spans="2:13">
      <c r="B15" s="73"/>
      <c r="C15" s="73"/>
      <c r="D15" s="73"/>
      <c r="E15" s="74"/>
      <c r="F15" s="75"/>
      <c r="G15" s="70"/>
      <c r="H15" s="76" t="str">
        <f t="shared" si="2"/>
        <v>Sim</v>
      </c>
      <c r="I15" s="77">
        <f>IF(H15="Não","n.a.",IF(E15="Curta Duração",'Apoio - Tributação Locação'!$E$16,'Apoio - Tributação Locação'!$E$14))</f>
        <v>0.7</v>
      </c>
      <c r="J15" s="38">
        <f t="shared" si="0"/>
        <v>7.9500000000000015E-2</v>
      </c>
      <c r="K15" s="41" t="str">
        <f>IF(AND(D15="Residencial",E15&lt;&gt;"Curta Duração"),'Apoio - Tributação Locação'!$C$15,"n.a.")</f>
        <v>n.a.</v>
      </c>
      <c r="L15" s="41">
        <f t="shared" ref="L15:L27" si="4">IF(AND(D15="Residencial",ISNUMBER(K15)),F15-K15,F15)</f>
        <v>0</v>
      </c>
      <c r="M15" s="41">
        <f t="shared" si="3"/>
        <v>0</v>
      </c>
    </row>
    <row r="16" spans="2:13">
      <c r="B16" s="73"/>
      <c r="C16" s="73"/>
      <c r="D16" s="73"/>
      <c r="E16" s="74"/>
      <c r="F16" s="75"/>
      <c r="G16" s="70"/>
      <c r="H16" s="76" t="str">
        <f t="shared" si="2"/>
        <v>Sim</v>
      </c>
      <c r="I16" s="77">
        <f>IF(H16="Não","n.a.",IF(E16="Curta Duração",'Apoio - Tributação Locação'!$E$16,'Apoio - Tributação Locação'!$E$14))</f>
        <v>0.7</v>
      </c>
      <c r="J16" s="38">
        <f t="shared" si="0"/>
        <v>7.9500000000000015E-2</v>
      </c>
      <c r="K16" s="41" t="str">
        <f>IF(AND(D16="Residencial",E16&lt;&gt;"Curta Duração"),'Apoio - Tributação Locação'!$C$15,"n.a.")</f>
        <v>n.a.</v>
      </c>
      <c r="L16" s="41">
        <f t="shared" si="4"/>
        <v>0</v>
      </c>
      <c r="M16" s="41">
        <f t="shared" si="3"/>
        <v>0</v>
      </c>
    </row>
    <row r="17" spans="2:13">
      <c r="B17" s="73"/>
      <c r="C17" s="73"/>
      <c r="D17" s="73"/>
      <c r="E17" s="74"/>
      <c r="F17" s="75"/>
      <c r="G17" s="70"/>
      <c r="H17" s="76" t="str">
        <f t="shared" si="2"/>
        <v>Sim</v>
      </c>
      <c r="I17" s="77">
        <f>IF(H17="Não","n.a.",IF(E17="Curta Duração",'Apoio - Tributação Locação'!$E$16,'Apoio - Tributação Locação'!$E$14))</f>
        <v>0.7</v>
      </c>
      <c r="J17" s="38">
        <f t="shared" si="0"/>
        <v>7.9500000000000015E-2</v>
      </c>
      <c r="K17" s="41" t="str">
        <f>IF(AND(D17="Residencial",E17&lt;&gt;"Curta Duração"),'Apoio - Tributação Locação'!$C$15,"n.a.")</f>
        <v>n.a.</v>
      </c>
      <c r="L17" s="41">
        <f t="shared" si="4"/>
        <v>0</v>
      </c>
      <c r="M17" s="41">
        <f t="shared" si="3"/>
        <v>0</v>
      </c>
    </row>
    <row r="18" spans="2:13">
      <c r="B18" s="73"/>
      <c r="C18" s="73"/>
      <c r="D18" s="73"/>
      <c r="E18" s="74"/>
      <c r="F18" s="75"/>
      <c r="G18" s="70"/>
      <c r="H18" s="76" t="str">
        <f t="shared" si="2"/>
        <v>Sim</v>
      </c>
      <c r="I18" s="77">
        <f>IF(H18="Não","n.a.",IF(E18="Curta Duração",'Apoio - Tributação Locação'!$E$16,'Apoio - Tributação Locação'!$E$14))</f>
        <v>0.7</v>
      </c>
      <c r="J18" s="38">
        <f t="shared" si="0"/>
        <v>7.9500000000000015E-2</v>
      </c>
      <c r="K18" s="41" t="str">
        <f>IF(AND(D18="Residencial",E18&lt;&gt;"Curta Duração"),'Apoio - Tributação Locação'!$C$15,"n.a.")</f>
        <v>n.a.</v>
      </c>
      <c r="L18" s="41">
        <f t="shared" si="4"/>
        <v>0</v>
      </c>
      <c r="M18" s="41">
        <f t="shared" si="3"/>
        <v>0</v>
      </c>
    </row>
    <row r="19" spans="2:13">
      <c r="B19" s="73"/>
      <c r="C19" s="73"/>
      <c r="D19" s="73"/>
      <c r="E19" s="74"/>
      <c r="F19" s="75"/>
      <c r="G19" s="70"/>
      <c r="H19" s="76" t="str">
        <f t="shared" si="2"/>
        <v>Sim</v>
      </c>
      <c r="I19" s="77">
        <f>IF(H19="Não","n.a.",IF(E19="Curta Duração",'Apoio - Tributação Locação'!$E$16,'Apoio - Tributação Locação'!$E$14))</f>
        <v>0.7</v>
      </c>
      <c r="J19" s="38">
        <f t="shared" si="0"/>
        <v>7.9500000000000015E-2</v>
      </c>
      <c r="K19" s="41" t="str">
        <f>IF(AND(D19="Residencial",E19&lt;&gt;"Curta Duração"),'Apoio - Tributação Locação'!$C$15,"n.a.")</f>
        <v>n.a.</v>
      </c>
      <c r="L19" s="41">
        <f t="shared" si="4"/>
        <v>0</v>
      </c>
      <c r="M19" s="41">
        <f t="shared" si="3"/>
        <v>0</v>
      </c>
    </row>
    <row r="20" spans="2:13">
      <c r="B20" s="73"/>
      <c r="C20" s="73"/>
      <c r="D20" s="73"/>
      <c r="E20" s="74"/>
      <c r="F20" s="75"/>
      <c r="G20" s="70"/>
      <c r="H20" s="76" t="str">
        <f t="shared" si="2"/>
        <v>Sim</v>
      </c>
      <c r="I20" s="77">
        <f>IF(H20="Não","n.a.",IF(E20="Curta Duração",'Apoio - Tributação Locação'!$E$16,'Apoio - Tributação Locação'!$E$14))</f>
        <v>0.7</v>
      </c>
      <c r="J20" s="38">
        <f t="shared" si="0"/>
        <v>7.9500000000000015E-2</v>
      </c>
      <c r="K20" s="41" t="str">
        <f>IF(AND(D20="Residencial",E20&lt;&gt;"Curta Duração"),'Apoio - Tributação Locação'!$C$15,"n.a.")</f>
        <v>n.a.</v>
      </c>
      <c r="L20" s="41">
        <f t="shared" si="4"/>
        <v>0</v>
      </c>
      <c r="M20" s="41">
        <f t="shared" si="3"/>
        <v>0</v>
      </c>
    </row>
    <row r="21" spans="2:13">
      <c r="B21" s="73"/>
      <c r="C21" s="73"/>
      <c r="D21" s="73"/>
      <c r="E21" s="74"/>
      <c r="F21" s="75"/>
      <c r="G21" s="70"/>
      <c r="H21" s="76" t="str">
        <f t="shared" si="2"/>
        <v>Sim</v>
      </c>
      <c r="I21" s="77">
        <f>IF(H21="Não","n.a.",IF(E21="Curta Duração",'Apoio - Tributação Locação'!$E$16,'Apoio - Tributação Locação'!$E$14))</f>
        <v>0.7</v>
      </c>
      <c r="J21" s="38">
        <f t="shared" si="0"/>
        <v>7.9500000000000015E-2</v>
      </c>
      <c r="K21" s="41" t="str">
        <f>IF(AND(D21="Residencial",E21&lt;&gt;"Curta Duração"),'Apoio - Tributação Locação'!$C$15,"n.a.")</f>
        <v>n.a.</v>
      </c>
      <c r="L21" s="41">
        <f t="shared" si="4"/>
        <v>0</v>
      </c>
      <c r="M21" s="41">
        <f t="shared" si="3"/>
        <v>0</v>
      </c>
    </row>
    <row r="22" spans="2:13">
      <c r="B22" s="73"/>
      <c r="C22" s="73"/>
      <c r="D22" s="73"/>
      <c r="E22" s="74"/>
      <c r="F22" s="75"/>
      <c r="G22" s="70"/>
      <c r="H22" s="76" t="str">
        <f t="shared" si="2"/>
        <v>Sim</v>
      </c>
      <c r="I22" s="77">
        <f>IF(H22="Não","n.a.",IF(E22="Curta Duração",'Apoio - Tributação Locação'!$E$16,'Apoio - Tributação Locação'!$E$14))</f>
        <v>0.7</v>
      </c>
      <c r="J22" s="38">
        <f t="shared" si="0"/>
        <v>7.9500000000000015E-2</v>
      </c>
      <c r="K22" s="41" t="str">
        <f>IF(AND(D22="Residencial",E22&lt;&gt;"Curta Duração"),'Apoio - Tributação Locação'!$C$15,"n.a.")</f>
        <v>n.a.</v>
      </c>
      <c r="L22" s="41">
        <f t="shared" si="4"/>
        <v>0</v>
      </c>
      <c r="M22" s="41">
        <f t="shared" si="3"/>
        <v>0</v>
      </c>
    </row>
    <row r="23" spans="2:13">
      <c r="B23" s="73"/>
      <c r="C23" s="73"/>
      <c r="D23" s="73"/>
      <c r="E23" s="74"/>
      <c r="F23" s="75"/>
      <c r="G23" s="70"/>
      <c r="H23" s="76" t="str">
        <f t="shared" si="2"/>
        <v>Sim</v>
      </c>
      <c r="I23" s="77">
        <f>IF(H23="Não","n.a.",IF(E23="Curta Duração",'Apoio - Tributação Locação'!$E$16,'Apoio - Tributação Locação'!$E$14))</f>
        <v>0.7</v>
      </c>
      <c r="J23" s="38">
        <f t="shared" si="0"/>
        <v>7.9500000000000015E-2</v>
      </c>
      <c r="K23" s="41" t="str">
        <f>IF(AND(D23="Residencial",E23&lt;&gt;"Curta Duração"),'Apoio - Tributação Locação'!$C$15,"n.a.")</f>
        <v>n.a.</v>
      </c>
      <c r="L23" s="41">
        <f t="shared" si="4"/>
        <v>0</v>
      </c>
      <c r="M23" s="41">
        <f t="shared" si="3"/>
        <v>0</v>
      </c>
    </row>
    <row r="24" spans="2:13">
      <c r="B24" s="73"/>
      <c r="C24" s="73"/>
      <c r="D24" s="73"/>
      <c r="E24" s="74"/>
      <c r="F24" s="75"/>
      <c r="G24" s="70"/>
      <c r="H24" s="76" t="str">
        <f t="shared" si="2"/>
        <v>Sim</v>
      </c>
      <c r="I24" s="77">
        <f>IF(H24="Não","n.a.",IF(E24="Curta Duração",'Apoio - Tributação Locação'!$E$16,'Apoio - Tributação Locação'!$E$14))</f>
        <v>0.7</v>
      </c>
      <c r="J24" s="38">
        <f t="shared" si="0"/>
        <v>7.9500000000000015E-2</v>
      </c>
      <c r="K24" s="41" t="str">
        <f>IF(AND(D24="Residencial",E24&lt;&gt;"Curta Duração"),'Apoio - Tributação Locação'!$C$15,"n.a.")</f>
        <v>n.a.</v>
      </c>
      <c r="L24" s="41">
        <f t="shared" si="4"/>
        <v>0</v>
      </c>
      <c r="M24" s="41">
        <f t="shared" si="3"/>
        <v>0</v>
      </c>
    </row>
    <row r="25" spans="2:13">
      <c r="B25" s="73"/>
      <c r="C25" s="73"/>
      <c r="D25" s="73"/>
      <c r="E25" s="74"/>
      <c r="F25" s="75"/>
      <c r="G25" s="70"/>
      <c r="H25" s="76" t="str">
        <f t="shared" si="2"/>
        <v>Sim</v>
      </c>
      <c r="I25" s="77">
        <f>IF(H25="Não","n.a.",IF(E25="Curta Duração",'Apoio - Tributação Locação'!$E$16,'Apoio - Tributação Locação'!$E$14))</f>
        <v>0.7</v>
      </c>
      <c r="J25" s="38">
        <f t="shared" si="0"/>
        <v>7.9500000000000015E-2</v>
      </c>
      <c r="K25" s="41" t="str">
        <f>IF(AND(D25="Residencial",E25&lt;&gt;"Curta Duração"),'Apoio - Tributação Locação'!$C$15,"n.a.")</f>
        <v>n.a.</v>
      </c>
      <c r="L25" s="41">
        <f t="shared" si="4"/>
        <v>0</v>
      </c>
      <c r="M25" s="41">
        <f t="shared" si="3"/>
        <v>0</v>
      </c>
    </row>
    <row r="26" spans="2:13">
      <c r="B26" s="73"/>
      <c r="C26" s="73"/>
      <c r="D26" s="73"/>
      <c r="E26" s="74"/>
      <c r="F26" s="75"/>
      <c r="G26" s="70"/>
      <c r="H26" s="76" t="str">
        <f t="shared" si="2"/>
        <v>Sim</v>
      </c>
      <c r="I26" s="77">
        <f>IF(H26="Não","n.a.",IF(E26="Curta Duração",'Apoio - Tributação Locação'!$E$16,'Apoio - Tributação Locação'!$E$14))</f>
        <v>0.7</v>
      </c>
      <c r="J26" s="38">
        <f t="shared" si="0"/>
        <v>7.9500000000000015E-2</v>
      </c>
      <c r="K26" s="41" t="str">
        <f>IF(AND(D26="Residencial",E26&lt;&gt;"Curta Duração"),'Apoio - Tributação Locação'!$C$15,"n.a.")</f>
        <v>n.a.</v>
      </c>
      <c r="L26" s="41">
        <f t="shared" si="4"/>
        <v>0</v>
      </c>
      <c r="M26" s="41">
        <f t="shared" si="3"/>
        <v>0</v>
      </c>
    </row>
    <row r="27" spans="2:13">
      <c r="B27" s="73"/>
      <c r="C27" s="73"/>
      <c r="D27" s="73"/>
      <c r="E27" s="74"/>
      <c r="F27" s="75"/>
      <c r="G27" s="70"/>
      <c r="H27" s="76" t="str">
        <f t="shared" si="2"/>
        <v>Sim</v>
      </c>
      <c r="I27" s="77">
        <f>IF(H27="Não","n.a.",IF(E27="Curta Duração",'Apoio - Tributação Locação'!$E$16,'Apoio - Tributação Locação'!$E$14))</f>
        <v>0.7</v>
      </c>
      <c r="J27" s="38">
        <f t="shared" si="0"/>
        <v>7.9500000000000015E-2</v>
      </c>
      <c r="K27" s="41" t="str">
        <f>IF(AND(D27="Residencial",E27&lt;&gt;"Curta Duração"),'Apoio - Tributação Locação'!$C$15,"n.a.")</f>
        <v>n.a.</v>
      </c>
      <c r="L27" s="41">
        <f t="shared" si="4"/>
        <v>0</v>
      </c>
      <c r="M27" s="41">
        <f t="shared" si="3"/>
        <v>0</v>
      </c>
    </row>
    <row r="28" spans="2:13">
      <c r="B28" s="8" t="s">
        <v>49</v>
      </c>
      <c r="C28" s="8"/>
      <c r="D28" s="8"/>
      <c r="E28" s="8"/>
      <c r="F28" s="8">
        <f>SUM(F8:F27)</f>
        <v>250000</v>
      </c>
      <c r="G28" s="70"/>
      <c r="H28" s="8" t="s">
        <v>49</v>
      </c>
      <c r="I28" s="8"/>
      <c r="J28" s="8"/>
      <c r="K28" s="8"/>
      <c r="L28" s="8"/>
      <c r="M28" s="8">
        <f>SUM(M8:M27)</f>
        <v>23754.600000000002</v>
      </c>
    </row>
    <row r="29" spans="2:13" ht="4.95" customHeight="1">
      <c r="B29" s="70"/>
      <c r="C29" s="70"/>
      <c r="D29" s="70"/>
      <c r="E29" s="70"/>
      <c r="F29" s="70"/>
      <c r="G29" s="70"/>
      <c r="H29" s="72"/>
      <c r="I29" s="70"/>
      <c r="J29" s="70"/>
      <c r="K29" s="70"/>
      <c r="L29" s="70"/>
      <c r="M29" s="70"/>
    </row>
    <row r="30" spans="2:13">
      <c r="B30" s="47" t="s">
        <v>50</v>
      </c>
      <c r="C30" s="70"/>
      <c r="D30" s="71">
        <v>1</v>
      </c>
      <c r="E30" s="57" t="s">
        <v>51</v>
      </c>
      <c r="F30" s="70"/>
      <c r="G30" s="70"/>
      <c r="H30" s="70"/>
      <c r="I30" s="70"/>
      <c r="J30" s="70"/>
      <c r="K30" s="70"/>
      <c r="L30" s="70"/>
      <c r="M30" s="70"/>
    </row>
    <row r="31" spans="2:13" ht="4.95" customHeight="1">
      <c r="B31" s="70"/>
      <c r="C31" s="70"/>
      <c r="D31" s="70"/>
      <c r="E31" s="70"/>
      <c r="F31" s="70"/>
      <c r="G31" s="70"/>
      <c r="H31" s="70"/>
      <c r="I31" s="70"/>
      <c r="J31" s="70"/>
      <c r="K31" s="70"/>
      <c r="L31" s="70"/>
      <c r="M31" s="70"/>
    </row>
    <row r="32" spans="2:13">
      <c r="B32" s="8"/>
      <c r="C32" s="16" t="s">
        <v>39</v>
      </c>
      <c r="D32" s="16" t="s">
        <v>45</v>
      </c>
      <c r="E32" s="16" t="s">
        <v>52</v>
      </c>
      <c r="F32" s="70"/>
      <c r="G32" s="70"/>
      <c r="H32" s="8" t="s">
        <v>53</v>
      </c>
      <c r="I32" s="8"/>
      <c r="J32" s="8"/>
      <c r="K32" s="8"/>
      <c r="L32" s="70"/>
      <c r="M32" s="70"/>
    </row>
    <row r="33" spans="2:17">
      <c r="B33" s="14" t="s">
        <v>54</v>
      </c>
      <c r="C33" s="15">
        <f>SUMIF(C8:C27,"Pessoa Física",F8:F27)*12</f>
        <v>1200000</v>
      </c>
      <c r="D33" s="15">
        <f>SUMIF(C8:C27,"Pessoa Jurídica",F8:F27)*12</f>
        <v>1800000</v>
      </c>
      <c r="E33" s="48">
        <f>SUM(C33:D33)</f>
        <v>3000000</v>
      </c>
      <c r="F33" s="78"/>
      <c r="G33" s="70"/>
      <c r="H33" s="9" t="s">
        <v>54</v>
      </c>
      <c r="I33" s="9"/>
      <c r="J33" s="9"/>
      <c r="K33" s="17">
        <f>SUMIF(C8:C27,"Pessoa Jurídica",F8:F27)*12</f>
        <v>1800000</v>
      </c>
      <c r="L33" s="70"/>
      <c r="M33" s="70"/>
      <c r="N33" s="70"/>
      <c r="O33" s="70"/>
      <c r="P33" s="70"/>
      <c r="Q33" s="70"/>
    </row>
    <row r="34" spans="2:17">
      <c r="B34" s="79" t="s">
        <v>26</v>
      </c>
      <c r="C34" s="36">
        <f>-SUMIF(C8:C27,"Pessoa Física",M8:M27)*12</f>
        <v>-142527.6</v>
      </c>
      <c r="D34" s="36">
        <f>-SUMIF(C8:C27,"Pessoa Jurídica",M8:M27)*12</f>
        <v>-142527.60000000003</v>
      </c>
      <c r="E34" s="80">
        <f t="shared" ref="E34:E40" si="5">SUM(C34:D34)</f>
        <v>-285055.20000000007</v>
      </c>
      <c r="F34" s="78"/>
      <c r="G34" s="70"/>
      <c r="H34" s="81" t="s">
        <v>55</v>
      </c>
      <c r="I34" s="82"/>
      <c r="J34" s="82"/>
      <c r="K34" s="83">
        <f>'Apoio - Tributação Locação'!C21*K33</f>
        <v>576000</v>
      </c>
      <c r="L34" s="70"/>
      <c r="M34" s="78"/>
      <c r="N34" s="70"/>
      <c r="O34" s="70"/>
      <c r="P34" s="70"/>
      <c r="Q34" s="70"/>
    </row>
    <row r="35" spans="2:17">
      <c r="B35" s="79" t="s">
        <v>56</v>
      </c>
      <c r="C35" s="41" t="s">
        <v>57</v>
      </c>
      <c r="D35" s="36">
        <f>-K37</f>
        <v>-120000</v>
      </c>
      <c r="E35" s="80">
        <f t="shared" si="5"/>
        <v>-120000</v>
      </c>
      <c r="F35" s="78"/>
      <c r="G35" s="70"/>
      <c r="H35" s="81" t="s">
        <v>58</v>
      </c>
      <c r="I35" s="82"/>
      <c r="J35" s="82"/>
      <c r="K35" s="83">
        <f>'Apoio - Tributação Locação'!C22*(MAX(Cálculo!K33-'Apoio - Tributação Locação'!$E$22,0))*'Apoio - Tributação Locação'!C21</f>
        <v>0</v>
      </c>
      <c r="L35" s="70" t="s">
        <v>59</v>
      </c>
      <c r="M35" s="70"/>
      <c r="N35" s="70"/>
      <c r="O35" s="70"/>
      <c r="P35" s="70"/>
      <c r="Q35" s="70"/>
    </row>
    <row r="36" spans="2:17">
      <c r="B36" s="79" t="s">
        <v>60</v>
      </c>
      <c r="C36" s="41" t="s">
        <v>57</v>
      </c>
      <c r="D36" s="36">
        <f>-K40</f>
        <v>-51840</v>
      </c>
      <c r="E36" s="80">
        <f t="shared" si="5"/>
        <v>-51840</v>
      </c>
      <c r="F36" s="78"/>
      <c r="G36" s="70"/>
      <c r="H36" s="82" t="s">
        <v>61</v>
      </c>
      <c r="I36" s="82"/>
      <c r="J36" s="82"/>
      <c r="K36" s="83">
        <f>SUM(K34:K35)</f>
        <v>576000</v>
      </c>
      <c r="L36" s="70"/>
      <c r="M36" s="70"/>
      <c r="N36" s="70"/>
      <c r="O36" s="84"/>
      <c r="P36" s="84"/>
      <c r="Q36" s="85"/>
    </row>
    <row r="37" spans="2:17">
      <c r="B37" s="79" t="s">
        <v>62</v>
      </c>
      <c r="C37" s="36">
        <f>-'IRPF 2026'!C57</f>
        <v>-317091.48000000004</v>
      </c>
      <c r="D37" s="41" t="s">
        <v>57</v>
      </c>
      <c r="E37" s="86">
        <f t="shared" si="5"/>
        <v>-317091.48000000004</v>
      </c>
      <c r="F37" s="78"/>
      <c r="G37" s="70"/>
      <c r="H37" s="9" t="s">
        <v>63</v>
      </c>
      <c r="I37" s="9"/>
      <c r="J37" s="9"/>
      <c r="K37" s="10">
        <f>SUM(K38:K39)</f>
        <v>120000</v>
      </c>
      <c r="L37" s="70"/>
      <c r="M37" s="78"/>
      <c r="N37" s="70"/>
      <c r="O37" s="84"/>
      <c r="P37" s="84"/>
      <c r="Q37" s="85"/>
    </row>
    <row r="38" spans="2:17">
      <c r="B38" s="79" t="s">
        <v>64</v>
      </c>
      <c r="C38" s="36">
        <f>-'IRPF 2026'!C58</f>
        <v>0</v>
      </c>
      <c r="D38" s="41" t="s">
        <v>57</v>
      </c>
      <c r="E38" s="86">
        <f t="shared" si="5"/>
        <v>0</v>
      </c>
      <c r="F38" s="78"/>
      <c r="G38" s="70"/>
      <c r="H38" s="81" t="s">
        <v>65</v>
      </c>
      <c r="I38" s="81"/>
      <c r="J38" s="81"/>
      <c r="K38" s="83">
        <f>K36*'Apoio - Tributação Locação'!C23</f>
        <v>86400</v>
      </c>
      <c r="L38" s="70"/>
      <c r="M38" s="70"/>
      <c r="N38" s="70"/>
      <c r="O38" s="84"/>
      <c r="P38" s="84"/>
      <c r="Q38" s="85"/>
    </row>
    <row r="39" spans="2:17">
      <c r="B39" s="14" t="s">
        <v>66</v>
      </c>
      <c r="C39" s="15">
        <f>SUM(C34:C38)</f>
        <v>-459619.08000000007</v>
      </c>
      <c r="D39" s="15">
        <f t="shared" ref="D39" si="6">SUM(D34:D38)</f>
        <v>-314367.60000000003</v>
      </c>
      <c r="E39" s="48">
        <f>SUM(E34:E38)</f>
        <v>-773986.68000000017</v>
      </c>
      <c r="F39" s="78"/>
      <c r="G39" s="70"/>
      <c r="H39" s="81" t="s">
        <v>67</v>
      </c>
      <c r="I39" s="81"/>
      <c r="J39" s="81"/>
      <c r="K39" s="83">
        <f>IF(K36&gt;'Apoio - Tributação Locação'!E24,K36-'Apoio - Tributação Locação'!E24,0)*'Apoio - Tributação Locação'!$C$24</f>
        <v>33600</v>
      </c>
      <c r="L39" s="70"/>
      <c r="M39" s="78"/>
      <c r="N39" s="70"/>
      <c r="O39" s="70"/>
      <c r="P39" s="70"/>
      <c r="Q39" s="70"/>
    </row>
    <row r="40" spans="2:17">
      <c r="B40" s="79" t="s">
        <v>68</v>
      </c>
      <c r="C40" s="45">
        <f>-C39/C33</f>
        <v>0.38301590000000008</v>
      </c>
      <c r="D40" s="45">
        <f>-D39/D33</f>
        <v>0.17464866666666667</v>
      </c>
      <c r="E40" s="87">
        <f>-E39/E33</f>
        <v>0.25799556000000007</v>
      </c>
      <c r="F40" s="78"/>
      <c r="G40" s="70"/>
      <c r="H40" s="9" t="s">
        <v>69</v>
      </c>
      <c r="I40" s="9"/>
      <c r="J40" s="9"/>
      <c r="K40" s="10">
        <f>'Apoio - Tributação Locação'!C25*K36</f>
        <v>51840</v>
      </c>
      <c r="L40" s="70"/>
      <c r="M40" s="70"/>
      <c r="N40" s="70"/>
      <c r="O40" s="70"/>
      <c r="P40" s="70"/>
      <c r="Q40" s="70"/>
    </row>
    <row r="41" spans="2:17">
      <c r="B41" s="14" t="s">
        <v>70</v>
      </c>
      <c r="C41" s="15">
        <f>C33+C39</f>
        <v>740380.91999999993</v>
      </c>
      <c r="D41" s="15">
        <f>D33+D39</f>
        <v>1485632.4</v>
      </c>
      <c r="E41" s="48">
        <f>E33+E39</f>
        <v>2226013.3199999998</v>
      </c>
      <c r="F41" s="78"/>
      <c r="G41" s="70"/>
      <c r="H41" s="9" t="s">
        <v>71</v>
      </c>
      <c r="I41" s="9"/>
      <c r="J41" s="9"/>
      <c r="K41" s="10">
        <f>K40+K37</f>
        <v>171840</v>
      </c>
      <c r="L41" s="70"/>
      <c r="M41" s="70"/>
      <c r="N41" s="70"/>
      <c r="O41" s="70"/>
      <c r="P41" s="70"/>
      <c r="Q41" s="70"/>
    </row>
    <row r="42" spans="2:17">
      <c r="B42" s="70"/>
      <c r="C42" s="70"/>
      <c r="D42" s="70"/>
      <c r="E42" s="70"/>
      <c r="F42" s="70"/>
      <c r="G42" s="70"/>
      <c r="H42" s="82" t="s">
        <v>68</v>
      </c>
      <c r="I42" s="82"/>
      <c r="J42" s="82"/>
      <c r="K42" s="46">
        <f>K41/K33</f>
        <v>9.5466666666666672E-2</v>
      </c>
      <c r="L42" s="70"/>
      <c r="M42" s="70"/>
      <c r="N42" s="70"/>
      <c r="O42" s="70"/>
      <c r="P42" s="70"/>
      <c r="Q42" s="70"/>
    </row>
  </sheetData>
  <sheetProtection algorithmName="SHA-512" hashValue="vgaflFLdQMz1sP0udGLRqUE/7QPgSaBxu5LF1I7ZmnX4Dtx5OWx4VOyIMAKYYaeX+9RVDdJ/K9nRtVjPAvCMPg==" saltValue="x1qSL6Gs6LR12QyfHhXLzg==" spinCount="100000" sheet="1" objects="1" scenarios="1"/>
  <dataValidations count="3">
    <dataValidation type="list" allowBlank="1" showInputMessage="1" showErrorMessage="1" sqref="C8:C27" xr:uid="{DA707257-416B-47DF-9FAA-D481B02F17E7}">
      <formula1>"Pessoa Física, Pessoa Jurídica"</formula1>
    </dataValidation>
    <dataValidation type="list" allowBlank="1" showInputMessage="1" showErrorMessage="1" sqref="D8:D27" xr:uid="{63E84EC5-4692-4444-B9FB-61218D489052}">
      <formula1>"Residencial, Comercial"</formula1>
    </dataValidation>
    <dataValidation type="list" allowBlank="1" showInputMessage="1" showErrorMessage="1" sqref="E8:E27" xr:uid="{ACA0695A-A647-4B8A-A2DD-60DF47F14294}">
      <formula1>INDIRECT(D8)</formula1>
    </dataValidation>
  </dataValidations>
  <pageMargins left="0.511811024" right="0.511811024" top="0.78740157499999996" bottom="0.78740157499999996" header="0.31496062000000002" footer="0.31496062000000002"/>
  <ignoredErrors>
    <ignoredError sqref="E39" formula="1"/>
  </ignoredError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A3052-A4C2-4272-997A-7A9B6A974C20}">
  <sheetPr codeName="Planilha3"/>
  <dimension ref="B1:G67"/>
  <sheetViews>
    <sheetView workbookViewId="0">
      <pane ySplit="10" topLeftCell="A17" activePane="bottomLeft" state="frozen"/>
      <selection activeCell="F33" sqref="F33"/>
      <selection pane="bottomLeft"/>
    </sheetView>
  </sheetViews>
  <sheetFormatPr defaultColWidth="8.88671875" defaultRowHeight="13.8"/>
  <cols>
    <col min="1" max="1" width="3.33203125" style="20" customWidth="1"/>
    <col min="2" max="2" width="26.44140625" style="20" customWidth="1"/>
    <col min="3" max="3" width="18.6640625" style="20" customWidth="1"/>
    <col min="4" max="4" width="14.88671875" style="20" bestFit="1" customWidth="1"/>
    <col min="5" max="5" width="15.6640625" style="20" bestFit="1" customWidth="1"/>
    <col min="6" max="6" width="19.44140625" style="20" bestFit="1" customWidth="1"/>
    <col min="7" max="7" width="14.88671875" style="20" bestFit="1" customWidth="1"/>
    <col min="8" max="16384" width="8.88671875" style="20"/>
  </cols>
  <sheetData>
    <row r="1" spans="2:6">
      <c r="B1" s="13" t="s">
        <v>72</v>
      </c>
      <c r="C1" s="13"/>
      <c r="D1" s="13"/>
      <c r="E1" s="13"/>
      <c r="F1" s="13"/>
    </row>
    <row r="2" spans="2:6">
      <c r="B2" s="21" t="s">
        <v>73</v>
      </c>
      <c r="C2" s="19"/>
      <c r="D2" s="19"/>
      <c r="E2" s="19"/>
      <c r="F2" s="19"/>
    </row>
    <row r="3" spans="2:6">
      <c r="B3" s="21" t="s">
        <v>74</v>
      </c>
      <c r="C3" s="19"/>
      <c r="D3" s="19"/>
      <c r="E3" s="19"/>
      <c r="F3" s="19"/>
    </row>
    <row r="4" spans="2:6">
      <c r="B4" s="19"/>
      <c r="C4" s="19"/>
      <c r="D4" s="19"/>
      <c r="E4" s="19"/>
      <c r="F4" s="19"/>
    </row>
    <row r="5" spans="2:6">
      <c r="B5" s="13" t="s">
        <v>75</v>
      </c>
      <c r="C5" s="13"/>
      <c r="D5" s="13"/>
      <c r="E5" s="13"/>
      <c r="F5" s="13"/>
    </row>
    <row r="6" spans="2:6">
      <c r="B6" s="22" t="s">
        <v>76</v>
      </c>
      <c r="C6" s="30">
        <f>Cálculo!C33/12</f>
        <v>100000</v>
      </c>
      <c r="D6" s="21"/>
      <c r="E6" s="19"/>
      <c r="F6" s="19"/>
    </row>
    <row r="7" spans="2:6">
      <c r="B7" s="22" t="s">
        <v>77</v>
      </c>
      <c r="C7" s="30">
        <f>(Cálculo!D30*Cálculo!D41)/12</f>
        <v>123802.7</v>
      </c>
      <c r="D7" s="21"/>
      <c r="E7" s="19"/>
      <c r="F7" s="19"/>
    </row>
    <row r="8" spans="2:6">
      <c r="B8" s="23" t="s">
        <v>78</v>
      </c>
      <c r="C8" s="31">
        <f>D13*25%</f>
        <v>607.19999999999993</v>
      </c>
      <c r="D8" s="19"/>
      <c r="E8" s="19"/>
      <c r="F8" s="19"/>
    </row>
    <row r="9" spans="2:6">
      <c r="B9" s="22" t="s">
        <v>79</v>
      </c>
      <c r="C9" s="32">
        <f>MAX(C6-C8,0)</f>
        <v>99392.8</v>
      </c>
      <c r="D9" s="19"/>
      <c r="E9" s="19"/>
      <c r="F9" s="19"/>
    </row>
    <row r="10" spans="2:6">
      <c r="B10" s="19"/>
      <c r="C10" s="19"/>
      <c r="D10" s="19"/>
      <c r="E10" s="19"/>
      <c r="F10" s="19"/>
    </row>
    <row r="11" spans="2:6">
      <c r="B11" s="34" t="s">
        <v>80</v>
      </c>
      <c r="C11" s="33"/>
      <c r="D11" s="33"/>
      <c r="E11" s="33"/>
      <c r="F11" s="33"/>
    </row>
    <row r="12" spans="2:6">
      <c r="B12" s="33" t="s">
        <v>81</v>
      </c>
      <c r="C12" s="16" t="s">
        <v>82</v>
      </c>
      <c r="D12" s="16" t="s">
        <v>83</v>
      </c>
      <c r="E12" s="33" t="s">
        <v>84</v>
      </c>
      <c r="F12" s="16" t="s">
        <v>85</v>
      </c>
    </row>
    <row r="13" spans="2:6">
      <c r="B13" s="35">
        <v>1</v>
      </c>
      <c r="C13" s="36">
        <v>0</v>
      </c>
      <c r="D13" s="36">
        <f>C14-0.01</f>
        <v>2428.7999999999997</v>
      </c>
      <c r="E13" s="37">
        <v>0</v>
      </c>
      <c r="F13" s="36">
        <v>0</v>
      </c>
    </row>
    <row r="14" spans="2:6">
      <c r="B14" s="35">
        <v>2</v>
      </c>
      <c r="C14" s="36">
        <v>2428.81</v>
      </c>
      <c r="D14" s="36">
        <f>C15-0.01</f>
        <v>2826.6499999999996</v>
      </c>
      <c r="E14" s="37">
        <v>7.4999999999999997E-2</v>
      </c>
      <c r="F14" s="36">
        <v>182.16</v>
      </c>
    </row>
    <row r="15" spans="2:6">
      <c r="B15" s="35">
        <v>3</v>
      </c>
      <c r="C15" s="36">
        <v>2826.66</v>
      </c>
      <c r="D15" s="36">
        <f>C16-0.01</f>
        <v>3751.0499999999997</v>
      </c>
      <c r="E15" s="37">
        <v>0.15</v>
      </c>
      <c r="F15" s="36">
        <v>394.16</v>
      </c>
    </row>
    <row r="16" spans="2:6">
      <c r="B16" s="35">
        <v>4</v>
      </c>
      <c r="C16" s="36">
        <v>3751.06</v>
      </c>
      <c r="D16" s="36">
        <f>C17-0.01</f>
        <v>4664.6799999999994</v>
      </c>
      <c r="E16" s="37">
        <v>0.22500000000000001</v>
      </c>
      <c r="F16" s="36">
        <v>675.49</v>
      </c>
    </row>
    <row r="17" spans="2:6">
      <c r="B17" s="35">
        <v>5</v>
      </c>
      <c r="C17" s="36">
        <v>4664.6899999999996</v>
      </c>
      <c r="D17" s="36"/>
      <c r="E17" s="37">
        <v>0.27500000000000002</v>
      </c>
      <c r="F17" s="36">
        <v>908.73</v>
      </c>
    </row>
    <row r="18" spans="2:6">
      <c r="B18" s="19"/>
      <c r="C18" s="19"/>
      <c r="D18" s="19"/>
      <c r="E18" s="19"/>
      <c r="F18" s="19"/>
    </row>
    <row r="19" spans="2:6">
      <c r="B19" s="34" t="s">
        <v>86</v>
      </c>
      <c r="C19" s="34"/>
      <c r="D19" s="34"/>
      <c r="E19" s="19"/>
      <c r="F19" s="19"/>
    </row>
    <row r="20" spans="2:6">
      <c r="B20" s="39" t="s">
        <v>87</v>
      </c>
      <c r="C20" s="36"/>
      <c r="D20" s="38">
        <f>INDEX(E$13:E$17,MATCH(C9,C$13:C$17,1))</f>
        <v>0.27500000000000002</v>
      </c>
      <c r="E20" s="19"/>
      <c r="F20" s="19"/>
    </row>
    <row r="21" spans="2:6">
      <c r="B21" s="39" t="s">
        <v>88</v>
      </c>
      <c r="C21" s="36"/>
      <c r="D21" s="36">
        <f>INDEX(F$13:F$17,MATCH(C9,C$13:C$17,1))</f>
        <v>908.73</v>
      </c>
      <c r="E21" s="19"/>
      <c r="F21" s="19"/>
    </row>
    <row r="22" spans="2:6">
      <c r="B22" s="39" t="s">
        <v>89</v>
      </c>
      <c r="C22" s="36"/>
      <c r="D22" s="36">
        <f>MAX(C9*D20-D21,0)</f>
        <v>26424.290000000005</v>
      </c>
      <c r="E22" s="19"/>
      <c r="F22" s="19"/>
    </row>
    <row r="23" spans="2:6">
      <c r="B23" s="39" t="s">
        <v>90</v>
      </c>
      <c r="C23" s="36"/>
      <c r="D23" s="41">
        <f>_xlfn.XLOOKUP(C6,C34:C35,F34:F35,0,1,1)</f>
        <v>0</v>
      </c>
      <c r="F23" s="19"/>
    </row>
    <row r="24" spans="2:6">
      <c r="B24" s="39" t="s">
        <v>91</v>
      </c>
      <c r="C24" s="36"/>
      <c r="D24" s="36">
        <f>MIN(D22,D23)</f>
        <v>0</v>
      </c>
    </row>
    <row r="25" spans="2:6">
      <c r="B25" s="40" t="s">
        <v>92</v>
      </c>
      <c r="C25" s="15"/>
      <c r="D25" s="15">
        <f>MAX(D22-D24,0)</f>
        <v>26424.290000000005</v>
      </c>
      <c r="E25" s="19"/>
      <c r="F25" s="19"/>
    </row>
    <row r="26" spans="2:6">
      <c r="B26" s="19"/>
      <c r="C26" s="19"/>
      <c r="D26" s="19"/>
      <c r="E26" s="19"/>
      <c r="F26" s="19"/>
    </row>
    <row r="27" spans="2:6">
      <c r="B27" s="34" t="s">
        <v>93</v>
      </c>
      <c r="C27" s="34"/>
      <c r="D27" s="34"/>
      <c r="E27" s="19"/>
      <c r="F27" s="19"/>
    </row>
    <row r="28" spans="2:6">
      <c r="B28" s="39" t="s">
        <v>94</v>
      </c>
      <c r="C28" s="36"/>
      <c r="D28" s="41">
        <f>C6*12</f>
        <v>1200000</v>
      </c>
      <c r="E28" s="19"/>
      <c r="F28" s="19"/>
    </row>
    <row r="29" spans="2:6">
      <c r="B29" s="39" t="s">
        <v>95</v>
      </c>
      <c r="C29" s="36"/>
      <c r="D29" s="36">
        <f>D25*12</f>
        <v>317091.48000000004</v>
      </c>
      <c r="E29" s="19"/>
      <c r="F29" s="19"/>
    </row>
    <row r="30" spans="2:6">
      <c r="B30" s="39" t="s">
        <v>96</v>
      </c>
      <c r="C30" s="36"/>
      <c r="D30" s="45">
        <f>IF(C6=0,0,D25/C6)</f>
        <v>0.26424290000000006</v>
      </c>
      <c r="E30" s="19"/>
      <c r="F30" s="19"/>
    </row>
    <row r="31" spans="2:6">
      <c r="B31" s="19"/>
      <c r="C31" s="19"/>
      <c r="D31" s="19"/>
      <c r="E31" s="19"/>
      <c r="F31" s="19"/>
    </row>
    <row r="32" spans="2:6">
      <c r="B32" s="34" t="s">
        <v>97</v>
      </c>
      <c r="C32" s="34"/>
      <c r="D32" s="34"/>
      <c r="E32" s="34"/>
      <c r="F32" s="34"/>
    </row>
    <row r="33" spans="2:7">
      <c r="B33" s="34" t="s">
        <v>98</v>
      </c>
      <c r="C33" s="34" t="s">
        <v>99</v>
      </c>
      <c r="D33" s="34" t="s">
        <v>100</v>
      </c>
      <c r="E33" s="34" t="s">
        <v>101</v>
      </c>
      <c r="F33" s="34" t="s">
        <v>101</v>
      </c>
    </row>
    <row r="34" spans="2:7">
      <c r="B34" s="39" t="s">
        <v>102</v>
      </c>
      <c r="C34" s="44">
        <v>5000</v>
      </c>
      <c r="D34" s="36">
        <v>312.89</v>
      </c>
      <c r="E34" s="43">
        <v>0</v>
      </c>
      <c r="F34" s="36">
        <f>MAX(D34-C6*E34,0)</f>
        <v>312.89</v>
      </c>
    </row>
    <row r="35" spans="2:7">
      <c r="B35" s="39" t="s">
        <v>103</v>
      </c>
      <c r="C35" s="44">
        <v>7350</v>
      </c>
      <c r="D35" s="36">
        <v>978.62</v>
      </c>
      <c r="E35" s="43">
        <v>0.13314500000000001</v>
      </c>
      <c r="F35" s="36">
        <f>MAX(D35-C6*E35,0)</f>
        <v>0</v>
      </c>
    </row>
    <row r="37" spans="2:7">
      <c r="B37" s="18" t="s">
        <v>104</v>
      </c>
    </row>
    <row r="38" spans="2:7">
      <c r="B38" s="23" t="s">
        <v>105</v>
      </c>
    </row>
    <row r="39" spans="2:7">
      <c r="B39" s="25" t="s">
        <v>106</v>
      </c>
    </row>
    <row r="40" spans="2:7">
      <c r="B40" s="25" t="s">
        <v>107</v>
      </c>
    </row>
    <row r="41" spans="2:7">
      <c r="B41" s="26" t="s">
        <v>108</v>
      </c>
      <c r="C41" s="27"/>
      <c r="D41" s="27"/>
      <c r="E41" s="27"/>
      <c r="F41" s="27"/>
    </row>
    <row r="42" spans="2:7">
      <c r="B42" s="34" t="s">
        <v>109</v>
      </c>
      <c r="C42" s="34" t="s">
        <v>110</v>
      </c>
      <c r="D42" s="34" t="s">
        <v>111</v>
      </c>
      <c r="E42" s="34" t="s">
        <v>112</v>
      </c>
      <c r="F42" s="34" t="s">
        <v>113</v>
      </c>
    </row>
    <row r="43" spans="2:7">
      <c r="B43" s="39" t="s">
        <v>114</v>
      </c>
      <c r="C43" s="44" t="s">
        <v>115</v>
      </c>
      <c r="D43" s="42">
        <v>0</v>
      </c>
      <c r="E43" s="43">
        <v>0</v>
      </c>
      <c r="F43" s="36">
        <v>600000</v>
      </c>
    </row>
    <row r="44" spans="2:7">
      <c r="B44" s="39" t="s">
        <v>116</v>
      </c>
      <c r="C44" s="44" t="s">
        <v>117</v>
      </c>
      <c r="D44" s="42" t="s">
        <v>118</v>
      </c>
      <c r="E44" s="36">
        <v>600000.01</v>
      </c>
      <c r="F44" s="36">
        <v>1199999.99</v>
      </c>
      <c r="G44" s="24"/>
    </row>
    <row r="45" spans="2:7">
      <c r="B45" s="39" t="s">
        <v>119</v>
      </c>
      <c r="C45" s="44" t="s">
        <v>120</v>
      </c>
      <c r="D45" s="42">
        <v>0.1</v>
      </c>
      <c r="E45" s="36">
        <v>1200000</v>
      </c>
      <c r="F45" s="36">
        <v>9999999</v>
      </c>
    </row>
    <row r="47" spans="2:7">
      <c r="B47" s="34" t="s">
        <v>121</v>
      </c>
      <c r="C47" s="16" t="s">
        <v>122</v>
      </c>
    </row>
    <row r="48" spans="2:7">
      <c r="B48" s="39" t="str">
        <f>B6</f>
        <v>Renda Bruta Mensal (PF)</v>
      </c>
      <c r="C48" s="36">
        <f>D28</f>
        <v>1200000</v>
      </c>
    </row>
    <row r="49" spans="2:6">
      <c r="B49" s="39" t="str">
        <f>B7</f>
        <v>Renda Bruta Mensal (Dividendos)</v>
      </c>
      <c r="C49" s="36">
        <f>C7*12</f>
        <v>1485632.4</v>
      </c>
    </row>
    <row r="50" spans="2:6">
      <c r="B50" s="39" t="s">
        <v>123</v>
      </c>
      <c r="C50" s="36">
        <f>SUM(C48:C49)</f>
        <v>2685632.4</v>
      </c>
    </row>
    <row r="51" spans="2:6">
      <c r="B51" s="39" t="s">
        <v>124</v>
      </c>
      <c r="C51" s="46">
        <f>MAX(MIN((C50/60000-10)/100,10%),0)</f>
        <v>0.1</v>
      </c>
      <c r="F51" s="28"/>
    </row>
    <row r="52" spans="2:6">
      <c r="B52" s="39" t="s">
        <v>125</v>
      </c>
      <c r="C52" s="36">
        <f>C50*C51</f>
        <v>268563.24</v>
      </c>
    </row>
    <row r="53" spans="2:6">
      <c r="B53" s="39" t="s">
        <v>126</v>
      </c>
      <c r="C53" s="36">
        <f>D29</f>
        <v>317091.48000000004</v>
      </c>
    </row>
    <row r="54" spans="2:6">
      <c r="B54" s="39" t="s">
        <v>127</v>
      </c>
      <c r="C54" s="36">
        <f>MAX(C52-C53,0)</f>
        <v>0</v>
      </c>
    </row>
    <row r="56" spans="2:6">
      <c r="B56" s="34" t="s">
        <v>128</v>
      </c>
      <c r="C56" s="16"/>
    </row>
    <row r="57" spans="2:6">
      <c r="B57" s="39" t="s">
        <v>129</v>
      </c>
      <c r="C57" s="36">
        <f>D29</f>
        <v>317091.48000000004</v>
      </c>
    </row>
    <row r="58" spans="2:6">
      <c r="B58" s="39" t="s">
        <v>130</v>
      </c>
      <c r="C58" s="36">
        <f>C54</f>
        <v>0</v>
      </c>
    </row>
    <row r="59" spans="2:6">
      <c r="B59" s="40" t="s">
        <v>131</v>
      </c>
      <c r="C59" s="15">
        <f>C57+C58</f>
        <v>317091.48000000004</v>
      </c>
    </row>
    <row r="60" spans="2:6">
      <c r="B60" s="39" t="s">
        <v>132</v>
      </c>
      <c r="C60" s="46">
        <f>IF(C50=0,0,C59/C50)</f>
        <v>0.11806957646176745</v>
      </c>
    </row>
    <row r="61" spans="2:6">
      <c r="B61" s="39" t="s">
        <v>133</v>
      </c>
      <c r="C61" s="36">
        <f>C50-C59</f>
        <v>2368540.92</v>
      </c>
    </row>
    <row r="63" spans="2:6">
      <c r="B63" s="29" t="s">
        <v>134</v>
      </c>
    </row>
    <row r="64" spans="2:6">
      <c r="B64" s="25" t="s">
        <v>135</v>
      </c>
    </row>
    <row r="65" spans="2:2">
      <c r="B65" s="25" t="s">
        <v>136</v>
      </c>
    </row>
    <row r="66" spans="2:2">
      <c r="B66" s="25" t="s">
        <v>137</v>
      </c>
    </row>
    <row r="67" spans="2:2">
      <c r="B67" s="25" t="s">
        <v>138</v>
      </c>
    </row>
  </sheetData>
  <sheetProtection algorithmName="SHA-512" hashValue="wHKSA1MKVgFSnPdhhNzcj6HDoobko3YrlrHyeaHMYM5wc2jQ1O+s/meoxt7eteNpOhoVBEfB4RKW3dQlJ+37WQ==" saltValue="8PORE+tx/sUzHihI6mYfcw==" spinCount="100000" sheet="1" objects="1" scenarios="1"/>
  <pageMargins left="0.511811024" right="0.511811024" top="0.78740157499999996" bottom="0.78740157499999996" header="0.31496062000000002" footer="0.31496062000000002"/>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C654C-713D-4A23-BEFE-01B79C31D0D2}">
  <sheetPr codeName="Planilha4"/>
  <dimension ref="B2:P29"/>
  <sheetViews>
    <sheetView zoomScale="70" zoomScaleNormal="70" workbookViewId="0"/>
  </sheetViews>
  <sheetFormatPr defaultColWidth="8.88671875" defaultRowHeight="14.4"/>
  <cols>
    <col min="1" max="1" width="3.6640625" style="1" customWidth="1"/>
    <col min="2" max="2" width="20.109375" style="1" customWidth="1"/>
    <col min="3" max="3" width="15.6640625" style="1" bestFit="1" customWidth="1"/>
    <col min="4" max="4" width="22.44140625" style="1" customWidth="1"/>
    <col min="5" max="5" width="13.33203125" style="1" customWidth="1"/>
    <col min="6" max="16384" width="8.88671875" style="1"/>
  </cols>
  <sheetData>
    <row r="2" spans="2:16">
      <c r="B2" s="58" t="s">
        <v>139</v>
      </c>
      <c r="C2" s="58"/>
      <c r="D2" s="58"/>
      <c r="E2" s="58"/>
      <c r="F2" s="58"/>
      <c r="G2" s="58"/>
      <c r="H2" s="58"/>
      <c r="I2" s="58"/>
      <c r="J2" s="58"/>
      <c r="K2" s="58"/>
      <c r="L2" s="58"/>
      <c r="M2" s="58"/>
      <c r="N2" s="58"/>
      <c r="O2" s="58"/>
      <c r="P2" s="58"/>
    </row>
    <row r="3" spans="2:16">
      <c r="B3" s="58" t="s">
        <v>140</v>
      </c>
      <c r="C3" s="62">
        <v>240000</v>
      </c>
      <c r="D3" s="58" t="s">
        <v>141</v>
      </c>
      <c r="E3" s="58"/>
      <c r="F3" s="58"/>
      <c r="G3" s="58"/>
      <c r="H3" s="58"/>
      <c r="I3" s="58"/>
      <c r="J3" s="58"/>
      <c r="K3" s="58"/>
      <c r="L3" s="58"/>
      <c r="M3" s="58"/>
      <c r="N3" s="58"/>
      <c r="O3" s="58"/>
      <c r="P3" s="58"/>
    </row>
    <row r="4" spans="2:16">
      <c r="B4" s="58" t="s">
        <v>142</v>
      </c>
      <c r="C4" s="63">
        <v>3</v>
      </c>
      <c r="D4" s="58" t="s">
        <v>143</v>
      </c>
      <c r="E4" s="58"/>
      <c r="F4" s="58"/>
      <c r="G4" s="58"/>
      <c r="H4" s="58"/>
      <c r="I4" s="58"/>
      <c r="J4" s="58"/>
      <c r="K4" s="58"/>
      <c r="L4" s="58"/>
      <c r="M4" s="58"/>
      <c r="N4" s="58"/>
      <c r="O4" s="58"/>
      <c r="P4" s="58"/>
    </row>
    <row r="5" spans="2:16">
      <c r="B5" s="58" t="s">
        <v>144</v>
      </c>
      <c r="C5" s="58"/>
      <c r="D5" s="58"/>
      <c r="E5" s="58"/>
      <c r="F5" s="58"/>
      <c r="G5" s="58"/>
      <c r="H5" s="58"/>
      <c r="I5" s="58"/>
      <c r="J5" s="58"/>
      <c r="K5" s="58"/>
      <c r="L5" s="58"/>
      <c r="M5" s="58"/>
      <c r="N5" s="58"/>
      <c r="O5" s="58"/>
      <c r="P5" s="58"/>
    </row>
    <row r="6" spans="2:16">
      <c r="B6" s="58" t="s">
        <v>140</v>
      </c>
      <c r="C6" s="64">
        <v>0.2</v>
      </c>
      <c r="D6" s="58" t="s">
        <v>145</v>
      </c>
      <c r="E6" s="59">
        <f>(1+C6)*C3</f>
        <v>288000</v>
      </c>
      <c r="F6" s="58"/>
      <c r="G6" s="58"/>
      <c r="H6" s="58"/>
      <c r="I6" s="58"/>
      <c r="J6" s="58"/>
      <c r="K6" s="58"/>
      <c r="L6" s="58"/>
      <c r="M6" s="58"/>
      <c r="N6" s="58"/>
      <c r="O6" s="58"/>
      <c r="P6" s="58"/>
    </row>
    <row r="7" spans="2:16">
      <c r="B7" s="58"/>
      <c r="C7" s="58"/>
      <c r="D7" s="58"/>
      <c r="E7" s="58"/>
      <c r="F7" s="58"/>
      <c r="G7" s="58"/>
      <c r="H7" s="58"/>
      <c r="I7" s="58"/>
      <c r="J7" s="58"/>
      <c r="K7" s="58"/>
      <c r="L7" s="58"/>
      <c r="M7" s="58"/>
      <c r="N7" s="58"/>
      <c r="O7" s="58"/>
      <c r="P7" s="58"/>
    </row>
    <row r="8" spans="2:16">
      <c r="B8" s="58" t="s">
        <v>146</v>
      </c>
      <c r="C8" s="58"/>
      <c r="D8" s="58"/>
      <c r="E8" s="58"/>
      <c r="F8" s="58"/>
      <c r="G8" s="58"/>
      <c r="H8" s="58"/>
      <c r="I8" s="58"/>
      <c r="J8" s="58"/>
      <c r="K8" s="58"/>
      <c r="L8" s="58"/>
      <c r="M8" s="58"/>
      <c r="N8" s="58"/>
      <c r="O8" s="58"/>
      <c r="P8" s="58"/>
    </row>
    <row r="9" spans="2:16">
      <c r="B9" s="58" t="s">
        <v>147</v>
      </c>
      <c r="C9" s="63">
        <v>90</v>
      </c>
      <c r="D9" s="58" t="s">
        <v>148</v>
      </c>
      <c r="E9" s="60" t="s">
        <v>149</v>
      </c>
      <c r="F9" s="58"/>
      <c r="G9" s="58"/>
      <c r="H9" s="58"/>
      <c r="I9" s="58"/>
      <c r="J9" s="58"/>
      <c r="K9" s="58"/>
      <c r="L9" s="58"/>
      <c r="M9" s="58"/>
      <c r="N9" s="58"/>
      <c r="O9" s="58"/>
      <c r="P9" s="58"/>
    </row>
    <row r="10" spans="2:16">
      <c r="B10" s="58" t="s">
        <v>150</v>
      </c>
      <c r="C10" s="63">
        <v>90</v>
      </c>
      <c r="D10" s="58" t="s">
        <v>148</v>
      </c>
      <c r="E10" s="60" t="s">
        <v>151</v>
      </c>
      <c r="F10" s="58"/>
      <c r="G10" s="58"/>
      <c r="H10" s="58"/>
      <c r="I10" s="58"/>
      <c r="J10" s="58"/>
      <c r="K10" s="58"/>
      <c r="L10" s="58"/>
      <c r="M10" s="58"/>
      <c r="N10" s="58"/>
      <c r="O10" s="58"/>
      <c r="P10" s="58"/>
    </row>
    <row r="11" spans="2:16">
      <c r="B11" s="58"/>
      <c r="C11" s="58"/>
      <c r="D11" s="58"/>
      <c r="E11" s="58"/>
      <c r="F11" s="58"/>
      <c r="G11" s="58"/>
      <c r="H11" s="58"/>
      <c r="I11" s="58"/>
      <c r="J11" s="58"/>
      <c r="K11" s="58"/>
      <c r="L11" s="58"/>
      <c r="M11" s="58"/>
      <c r="N11" s="58"/>
      <c r="O11" s="58"/>
      <c r="P11" s="58"/>
    </row>
    <row r="12" spans="2:16">
      <c r="B12" s="58" t="s">
        <v>152</v>
      </c>
      <c r="C12" s="65">
        <v>0.26500000000000001</v>
      </c>
      <c r="D12" s="58"/>
      <c r="E12" s="58"/>
      <c r="F12" s="58"/>
      <c r="G12" s="58"/>
      <c r="H12" s="58"/>
      <c r="I12" s="58"/>
      <c r="J12" s="58"/>
      <c r="K12" s="58"/>
      <c r="L12" s="58"/>
      <c r="M12" s="58"/>
      <c r="N12" s="58"/>
      <c r="O12" s="58"/>
      <c r="P12" s="58"/>
    </row>
    <row r="13" spans="2:16">
      <c r="B13" s="58"/>
      <c r="C13" s="58"/>
      <c r="D13" s="58"/>
      <c r="E13" s="58"/>
      <c r="F13" s="58"/>
      <c r="G13" s="58"/>
      <c r="H13" s="58"/>
      <c r="I13" s="58"/>
      <c r="J13" s="58"/>
      <c r="K13" s="58"/>
      <c r="L13" s="58"/>
      <c r="M13" s="58"/>
      <c r="N13" s="58"/>
      <c r="O13" s="58"/>
      <c r="P13" s="58"/>
    </row>
    <row r="14" spans="2:16">
      <c r="B14" s="58" t="s">
        <v>153</v>
      </c>
      <c r="C14" s="58"/>
      <c r="D14" s="58"/>
      <c r="E14" s="64">
        <v>0.7</v>
      </c>
      <c r="F14" s="58" t="s">
        <v>154</v>
      </c>
      <c r="G14" s="58"/>
      <c r="H14" s="61">
        <f>C12*(1-E14)</f>
        <v>7.9500000000000015E-2</v>
      </c>
      <c r="I14" s="58"/>
      <c r="J14" s="58"/>
      <c r="K14" s="58"/>
      <c r="L14" s="58"/>
      <c r="M14" s="58"/>
      <c r="N14" s="58"/>
      <c r="O14" s="58"/>
      <c r="P14" s="58"/>
    </row>
    <row r="15" spans="2:16">
      <c r="B15" s="58" t="s">
        <v>34</v>
      </c>
      <c r="C15" s="66">
        <v>600</v>
      </c>
      <c r="D15" s="58" t="s">
        <v>155</v>
      </c>
      <c r="E15" s="58"/>
      <c r="F15" s="58"/>
      <c r="G15" s="58"/>
      <c r="H15" s="58"/>
      <c r="I15" s="58"/>
      <c r="J15" s="58"/>
      <c r="K15" s="58"/>
      <c r="L15" s="58"/>
      <c r="M15" s="58"/>
      <c r="N15" s="58"/>
      <c r="O15" s="58"/>
      <c r="P15" s="58"/>
    </row>
    <row r="16" spans="2:16">
      <c r="B16" s="58" t="s">
        <v>156</v>
      </c>
      <c r="C16" s="58"/>
      <c r="D16" s="58"/>
      <c r="E16" s="64">
        <v>0.4</v>
      </c>
      <c r="F16" s="58" t="s">
        <v>154</v>
      </c>
      <c r="G16" s="58"/>
      <c r="H16" s="61">
        <f>C12*(1-E16)</f>
        <v>0.159</v>
      </c>
      <c r="I16" s="58"/>
      <c r="J16" s="58"/>
      <c r="K16" s="58"/>
      <c r="L16" s="58"/>
      <c r="M16" s="58"/>
      <c r="N16" s="58"/>
      <c r="O16" s="58"/>
      <c r="P16" s="58"/>
    </row>
    <row r="17" spans="2:16">
      <c r="B17" s="58" t="s">
        <v>157</v>
      </c>
      <c r="C17" s="58"/>
      <c r="D17" s="58"/>
      <c r="E17" s="64">
        <v>0.7</v>
      </c>
      <c r="F17" s="58" t="s">
        <v>154</v>
      </c>
      <c r="G17" s="58"/>
      <c r="H17" s="61">
        <f>C12*(1-E17)</f>
        <v>7.9500000000000015E-2</v>
      </c>
      <c r="I17" s="58"/>
      <c r="J17" s="58"/>
      <c r="K17" s="58"/>
      <c r="L17" s="58"/>
      <c r="M17" s="58"/>
      <c r="N17" s="58"/>
      <c r="O17" s="58"/>
      <c r="P17" s="58"/>
    </row>
    <row r="18" spans="2:16">
      <c r="B18" s="58"/>
      <c r="C18" s="58"/>
      <c r="D18" s="58"/>
      <c r="E18" s="58"/>
      <c r="F18" s="58"/>
      <c r="G18" s="58"/>
      <c r="H18" s="58"/>
      <c r="I18" s="58"/>
      <c r="J18" s="58"/>
      <c r="K18" s="58"/>
      <c r="L18" s="58"/>
      <c r="M18" s="58"/>
      <c r="N18" s="58"/>
      <c r="O18" s="58"/>
      <c r="P18" s="58"/>
    </row>
    <row r="19" spans="2:16">
      <c r="B19" s="58" t="s">
        <v>158</v>
      </c>
      <c r="C19" s="58"/>
      <c r="D19" s="58"/>
      <c r="E19" s="58"/>
      <c r="F19" s="58"/>
      <c r="G19" s="58"/>
      <c r="H19" s="58"/>
      <c r="I19" s="58"/>
      <c r="J19" s="58"/>
      <c r="K19" s="58"/>
      <c r="L19" s="58"/>
      <c r="M19" s="58"/>
      <c r="N19" s="58"/>
      <c r="O19" s="58"/>
      <c r="P19" s="58"/>
    </row>
    <row r="20" spans="2:16">
      <c r="B20" s="58"/>
      <c r="C20" s="58"/>
      <c r="D20" s="58"/>
      <c r="E20" s="58"/>
      <c r="F20" s="58"/>
      <c r="G20" s="58"/>
      <c r="H20" s="58"/>
      <c r="I20" s="58"/>
      <c r="J20" s="58"/>
      <c r="K20" s="58"/>
      <c r="L20" s="58"/>
      <c r="M20" s="58"/>
      <c r="N20" s="58"/>
      <c r="O20" s="58"/>
      <c r="P20" s="58"/>
    </row>
    <row r="21" spans="2:16">
      <c r="B21" s="58" t="s">
        <v>159</v>
      </c>
      <c r="C21" s="65">
        <v>0.32</v>
      </c>
      <c r="D21" s="58"/>
      <c r="E21" s="58"/>
      <c r="F21" s="58"/>
      <c r="G21" s="58"/>
      <c r="H21" s="58"/>
      <c r="I21" s="58"/>
      <c r="J21" s="58"/>
      <c r="K21" s="58"/>
      <c r="L21" s="58"/>
      <c r="M21" s="58"/>
      <c r="N21" s="58"/>
      <c r="O21" s="58"/>
      <c r="P21" s="58"/>
    </row>
    <row r="22" spans="2:16">
      <c r="B22" s="58" t="s">
        <v>160</v>
      </c>
      <c r="C22" s="65">
        <v>0.1</v>
      </c>
      <c r="D22" s="58"/>
      <c r="E22" s="62">
        <v>5000000</v>
      </c>
      <c r="F22" s="58"/>
      <c r="G22" s="58"/>
      <c r="H22" s="58"/>
      <c r="I22" s="58"/>
      <c r="J22" s="58"/>
      <c r="K22" s="58"/>
      <c r="L22" s="58"/>
      <c r="M22" s="58"/>
      <c r="N22" s="58"/>
      <c r="O22" s="58"/>
      <c r="P22" s="58"/>
    </row>
    <row r="23" spans="2:16">
      <c r="B23" s="58" t="s">
        <v>56</v>
      </c>
      <c r="C23" s="65">
        <v>0.15</v>
      </c>
      <c r="D23" s="58"/>
      <c r="E23" s="58"/>
      <c r="F23" s="58"/>
      <c r="G23" s="58"/>
      <c r="H23" s="58"/>
      <c r="I23" s="58"/>
      <c r="J23" s="58"/>
      <c r="K23" s="58"/>
      <c r="L23" s="58"/>
      <c r="M23" s="58"/>
      <c r="N23" s="58"/>
      <c r="O23" s="58"/>
      <c r="P23" s="58"/>
    </row>
    <row r="24" spans="2:16">
      <c r="B24" s="58" t="s">
        <v>161</v>
      </c>
      <c r="C24" s="65">
        <v>0.1</v>
      </c>
      <c r="D24" s="58"/>
      <c r="E24" s="62">
        <v>240000</v>
      </c>
      <c r="F24" s="58"/>
      <c r="G24" s="58"/>
      <c r="H24" s="58"/>
      <c r="I24" s="58"/>
      <c r="J24" s="58"/>
      <c r="K24" s="58"/>
      <c r="L24" s="58"/>
      <c r="M24" s="58"/>
      <c r="N24" s="58"/>
      <c r="O24" s="58"/>
      <c r="P24" s="58"/>
    </row>
    <row r="25" spans="2:16">
      <c r="B25" s="58" t="s">
        <v>60</v>
      </c>
      <c r="C25" s="65">
        <v>0.09</v>
      </c>
      <c r="D25" s="58"/>
      <c r="E25" s="58"/>
      <c r="F25" s="58"/>
      <c r="G25" s="58"/>
      <c r="H25" s="58"/>
      <c r="I25" s="58"/>
      <c r="J25" s="58"/>
      <c r="K25" s="58"/>
      <c r="L25" s="58"/>
      <c r="M25" s="58"/>
      <c r="N25" s="58"/>
      <c r="O25" s="58"/>
      <c r="P25" s="58"/>
    </row>
    <row r="26" spans="2:16">
      <c r="B26" s="58"/>
      <c r="C26" s="58"/>
      <c r="D26" s="58"/>
      <c r="E26" s="58"/>
      <c r="F26" s="58"/>
      <c r="G26" s="58"/>
      <c r="H26" s="58"/>
      <c r="I26" s="58"/>
      <c r="J26" s="58"/>
      <c r="K26" s="58"/>
      <c r="L26" s="58"/>
      <c r="M26" s="58"/>
      <c r="N26" s="58"/>
      <c r="O26" s="58"/>
      <c r="P26" s="58"/>
    </row>
    <row r="27" spans="2:16">
      <c r="B27" s="67" t="s">
        <v>40</v>
      </c>
      <c r="C27" s="67" t="s">
        <v>47</v>
      </c>
      <c r="D27" s="58"/>
      <c r="E27" s="58"/>
      <c r="F27" s="58"/>
      <c r="G27" s="58"/>
      <c r="H27" s="58"/>
      <c r="I27" s="58"/>
      <c r="J27" s="58"/>
      <c r="K27" s="58"/>
      <c r="L27" s="58"/>
      <c r="M27" s="58"/>
      <c r="N27" s="58"/>
      <c r="O27" s="58"/>
      <c r="P27" s="58"/>
    </row>
    <row r="28" spans="2:16">
      <c r="B28" s="58" t="s">
        <v>43</v>
      </c>
      <c r="C28" s="58" t="s">
        <v>43</v>
      </c>
      <c r="D28" s="58"/>
      <c r="E28" s="58"/>
      <c r="F28" s="58"/>
      <c r="G28" s="58"/>
      <c r="H28" s="58"/>
      <c r="I28" s="58"/>
      <c r="J28" s="58"/>
      <c r="K28" s="58"/>
      <c r="L28" s="58"/>
      <c r="M28" s="58"/>
      <c r="N28" s="58"/>
      <c r="O28" s="58"/>
      <c r="P28" s="58"/>
    </row>
    <row r="29" spans="2:16">
      <c r="B29" s="58" t="s">
        <v>41</v>
      </c>
      <c r="C29" s="58"/>
      <c r="D29" s="58"/>
      <c r="E29" s="58"/>
      <c r="F29" s="58"/>
      <c r="G29" s="58"/>
      <c r="H29" s="58"/>
      <c r="I29" s="58"/>
      <c r="J29" s="58"/>
      <c r="K29" s="58"/>
      <c r="L29" s="58"/>
      <c r="M29" s="58"/>
      <c r="N29" s="58"/>
      <c r="O29" s="58"/>
      <c r="P29" s="58"/>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2</vt:i4>
      </vt:variant>
    </vt:vector>
  </HeadingPairs>
  <TitlesOfParts>
    <vt:vector size="7" baseType="lpstr">
      <vt:lpstr>Disclaimer</vt:lpstr>
      <vt:lpstr>Autor</vt:lpstr>
      <vt:lpstr>Cálculo</vt:lpstr>
      <vt:lpstr>IRPF 2026</vt:lpstr>
      <vt:lpstr>Apoio - Tributação Locação</vt:lpstr>
      <vt:lpstr>Comercial</vt:lpstr>
      <vt:lpstr>Residencial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Burckas</dc:creator>
  <cp:keywords/>
  <dc:description/>
  <cp:lastModifiedBy>Francisco Burckas</cp:lastModifiedBy>
  <cp:revision/>
  <dcterms:created xsi:type="dcterms:W3CDTF">2026-04-07T19:35:12Z</dcterms:created>
  <dcterms:modified xsi:type="dcterms:W3CDTF">2026-05-11T17:46:06Z</dcterms:modified>
  <cp:category/>
  <cp:contentStatus/>
</cp:coreProperties>
</file>